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png" ContentType="image/png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DATABASE" sheetId="2" state="visible" r:id="rId4"/>
    <sheet name="CARI" sheetId="3" state="visible" r:id="rId5"/>
    <sheet name="REKAP" sheetId="4" state="visible" r:id="rId6"/>
    <sheet name="TARGET" sheetId="5" state="visible" r:id="rId7"/>
    <sheet name="VALIDASI" sheetId="6" state="visible" r:id="rId8"/>
    <sheet name="CETAK" sheetId="7" state="visible" r:id="rId9"/>
    <sheet name="KARTU" sheetId="8" state="visible" r:id="rId10"/>
    <sheet name="ABSENSI" sheetId="9" state="visible" r:id="rId11"/>
    <sheet name="PROFIL" sheetId="10" state="visible" r:id="rId12"/>
    <sheet name="REFERENSI" sheetId="11" state="visible" r:id="rId13"/>
    <sheet name="PETUNJUK" sheetId="12" state="visible" r:id="rId14"/>
  </sheets>
  <definedNames>
    <definedName function="false" hidden="false" localSheetId="8" name="_xlnm.Print_Area" vbProcedure="false">ABSENSI!$A$1:$E$46</definedName>
    <definedName function="false" hidden="false" localSheetId="2" name="_xlnm.Print_Area" vbProcedure="false">CARI!$A$1:$K$162</definedName>
    <definedName function="false" hidden="false" localSheetId="2" name="_xlnm.Print_Titles" vbProcedure="false">CARI!$12:$12</definedName>
    <definedName function="false" hidden="false" localSheetId="6" name="_xlnm.Print_Area" vbProcedure="false">CETAK!$A$1:$H$46</definedName>
    <definedName function="false" hidden="false" localSheetId="1" name="_xlnm.Print_Area" vbProcedure="false">DATABASE!$A$3:$W$2003</definedName>
    <definedName function="false" hidden="false" localSheetId="1" name="_xlnm.Print_Titles" vbProcedure="false">DATABASE!$3:$3</definedName>
    <definedName function="false" hidden="false" localSheetId="7" name="_xlnm.Print_Area" vbProcedure="false">KARTU!$B$4:$H$35</definedName>
    <definedName function="false" hidden="false" localSheetId="0" name="_xlnm.Print_Area" vbProcedure="false">MENU!$A$1:$I$40</definedName>
    <definedName function="false" hidden="false" localSheetId="11" name="_xlnm.Print_Area" vbProcedure="false">PETUNJUK!$A$1:$E$122</definedName>
    <definedName function="false" hidden="false" localSheetId="9" name="_xlnm.Print_Area" vbProcedure="false">PROFIL!$A$1:$F$48</definedName>
    <definedName function="false" hidden="false" localSheetId="3" name="_xlnm.Print_Area" vbProcedure="false">REKAP!$A$1:$W$125</definedName>
    <definedName function="false" hidden="false" localSheetId="4" name="_xlnm.Print_Area" vbProcedure="false">TARGET!$A$1:$H$33</definedName>
    <definedName function="false" hidden="false" localSheetId="5" name="_xlnm.Print_Area" vbProcedure="false">VALIDASI!$A$1:$H$171</definedName>
    <definedName function="false" hidden="false" localSheetId="5" name="_xlnm.Print_Titles" vbProcedure="false">VALIDASI!$21:$21</definedName>
    <definedName function="false" hidden="false" name="daftar_jabatan" vbProcedure="false">OFFSET(REFERENSI!$F$6,0,0,MAX(1,COUNTA(REFERENSI!$F$6:$F$45)),1)</definedName>
    <definedName function="false" hidden="false" name="daftar_kadus" vbProcedure="false">OFFSET(REFERENSI!$Q$6,0,0,MAX(1,COUNTA(REFERENSI!$Q$6:$Q$45)),1)</definedName>
    <definedName function="false" hidden="false" name="daftar_kampung" vbProcedure="false">OFFSET(REFERENSI!$B$6,0,0,MAX(1,COUNTA(REFERENSI!$B$6:$B$45)),1)</definedName>
    <definedName function="false" hidden="false" name="daftar_nama_rt" vbProcedure="false">OFFSET(REFERENSI!$O$6,0,0,MAX(1,COUNTA(REFERENSI!$O$6:$O$45)),1)</definedName>
    <definedName function="false" hidden="false" name="daftar_nama_rw" vbProcedure="false">OFFSET(REFERENSI!$P$6,0,0,MAX(1,COUNTA(REFERENSI!$P$6:$P$45)),1)</definedName>
    <definedName function="false" hidden="false" name="daftar_rt" vbProcedure="false">OFFSET(REFERENSI!$D$6,0,0,MAX(1,COUNTA(REFERENSI!$D$6:$D$45)),1)</definedName>
    <definedName function="false" hidden="false" name="daftar_rw" vbProcedure="false">OFFSET(REFERENSI!$E$6,0,0,MAX(1,COUNTA(REFERENSI!$E$6:$E$45)),1)</definedName>
    <definedName function="false" hidden="false" name="daftar_status" vbProcedure="false">OFFSET(REFERENSI!$J$6,0,0,MAX(1,COUNTA(REFERENSI!$J$6:$J$10)),1)</definedName>
    <definedName function="false" hidden="false" name="daftar_tps" vbProcedure="false">OFFSET(REFERENSI!$H$6,0,0,MAX(1,COUNTA(REFERENSI!$H$6:$H$45)),1)</definedName>
    <definedName function="false" hidden="false" name="id_calon" vbProcedure="false">REFERENSI!$C$49</definedName>
    <definedName function="false" hidden="false" name="id_desa" vbProcedure="false">REFERENSI!$C$53</definedName>
    <definedName function="false" hidden="false" name="id_jabatan_ttd" vbProcedure="false">REFERENSI!$C$57</definedName>
    <definedName function="false" hidden="false" name="id_kabupaten" vbProcedure="false">REFERENSI!$C$55</definedName>
    <definedName function="false" hidden="false" name="id_kecamatan" vbProcedure="false">REFERENSI!$C$54</definedName>
    <definedName function="false" hidden="false" name="id_ketua" vbProcedure="false">REFERENSI!$C$56</definedName>
    <definedName function="false" hidden="false" name="id_periode" vbProcedure="false">REFERENSI!$C$51</definedName>
    <definedName function="false" hidden="false" name="id_tahun" vbProcedure="false">REFERENSI!$C$52</definedName>
    <definedName function="false" hidden="false" name="id_team" vbProcedure="false">REFERENSI!$C$50</definedName>
    <definedName function="false" hidden="false" name="nama_anggota" vbProcedure="false">OFFSET(DATABASE!$B$4,0,0,MAX(1,COUNTA(DATABASE!$B$4:$B$2003)),1)</definedName>
    <definedName function="false" hidden="false" name="target_kadus" vbProcedure="false">REFERENSI!$C$6:$C$45</definedName>
    <definedName function="false" hidden="false" name="usia_label" vbProcedure="false">REFERENSI!$L$6:$L$11</definedName>
    <definedName function="false" hidden="false" name="usia_min" vbProcedure="false">REFERENSI!$M$6:$M$11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<sst xmlns="http://schemas.openxmlformats.org/spreadsheetml/2006/main" count="1083" uniqueCount="536">
  <si>
    <t xml:space="preserve">▌  MENU UTAMA</t>
  </si>
  <si>
    <t xml:space="preserve">▌  RINGKASAN DATA</t>
  </si>
  <si>
    <t xml:space="preserve">▶   INPUT / DATABASE ANGGOTA</t>
  </si>
  <si>
    <t xml:space="preserve">Total anggota terdata</t>
  </si>
  <si>
    <t xml:space="preserve">▶   CARI DATA ANGGOTA</t>
  </si>
  <si>
    <t xml:space="preserve">Anggota berstatus Aktif</t>
  </si>
  <si>
    <t xml:space="preserve">▶   REKAP &amp; ANALISA</t>
  </si>
  <si>
    <t xml:space="preserve">Laki-laki  /  Perempuan</t>
  </si>
  <si>
    <t xml:space="preserve">▶   TARGET &amp; CAPAIAN</t>
  </si>
  <si>
    <t xml:space="preserve">Jumlah kampung aktif</t>
  </si>
  <si>
    <t xml:space="preserve">▶   VALIDASI DATA</t>
  </si>
  <si>
    <t xml:space="preserve">Jumlah RT tercakup</t>
  </si>
  <si>
    <t xml:space="preserve">▶   CETAK DAFTAR / FORMULIR</t>
  </si>
  <si>
    <t xml:space="preserve">Rata-rata usia (tahun)</t>
  </si>
  <si>
    <t xml:space="preserve">▶   CETAK KARTU ANGGOTA</t>
  </si>
  <si>
    <t xml:space="preserve">Total target (semua Kadus)</t>
  </si>
  <si>
    <t xml:space="preserve">▶   CETAK DAFTAR HADIR</t>
  </si>
  <si>
    <t xml:space="preserve">Capaian terhadap target</t>
  </si>
  <si>
    <t xml:space="preserve">▶   PROFIL &amp; MEDIA KAMPANYE</t>
  </si>
  <si>
    <t xml:space="preserve">Data perlu diperbaiki</t>
  </si>
  <si>
    <t xml:space="preserve">▶   PENGATURAN KADUS / RT / JABATAN</t>
  </si>
  <si>
    <t xml:space="preserve">Sisa kapasitas baris</t>
  </si>
  <si>
    <t xml:space="preserve">▶   PETUNJUK PENGGUNAAN</t>
  </si>
  <si>
    <t xml:space="preserve">▌  JUMLAH ANGGOTA PER KAMPUNG</t>
  </si>
  <si>
    <t xml:space="preserve">KAMPUNG</t>
  </si>
  <si>
    <t xml:space="preserve">JUMLAH</t>
  </si>
  <si>
    <t xml:space="preserve">TARGET</t>
  </si>
  <si>
    <t xml:space="preserve">CAPAIAN</t>
  </si>
  <si>
    <t xml:space="preserve">TOTAL SEMUA KAMPUNG</t>
  </si>
  <si>
    <t xml:space="preserve">Menampilkan 12 kampung pertama — rekap lengkap ada di sheet REKAP dan TARGET.</t>
  </si>
  <si>
    <t xml:space="preserve">Alur kerja:  PENGATURAN  →  DATABASE (input)  →  VALIDASI (bersihkan)  →  REKAP / TARGET (pantau)  →  CETAK / KARTU / ABSENSI (formulir)</t>
  </si>
  <si>
    <t xml:space="preserve">Seluruh angka pada halaman ini dihitung otomatis dari sheet DATABASE. Simpan dengan Ctrl+S setiap selesai menginput.</t>
  </si>
  <si>
    <t xml:space="preserve">Sel berlatar kuning = boleh diisi/diubah.  Sel abu-abu = rumus otomatis, jangan diketik manual.</t>
  </si>
  <si>
    <t xml:space="preserve">DATABASE ANGGOTA TEAM PEMENANGAN</t>
  </si>
  <si>
    <t xml:space="preserve">◀  MENU</t>
  </si>
  <si>
    <t xml:space="preserve">Ketik pada baris kosong pertama. Kolom abu-abu (NO, KORWIL, USIA, KELOMPOK USIA) terisi otomatis — jangan diketik manual.</t>
  </si>
  <si>
    <t xml:space="preserve">TOTAL</t>
  </si>
  <si>
    <t xml:space="preserve">SISA BARIS</t>
  </si>
  <si>
    <t xml:space="preserve">NO</t>
  </si>
  <si>
    <t xml:space="preserve">NAMA LENGKAP</t>
  </si>
  <si>
    <t xml:space="preserve">NIK KTP (16 digit)</t>
  </si>
  <si>
    <t xml:space="preserve">NO. KK (16 digit)</t>
  </si>
  <si>
    <t xml:space="preserve">L/P</t>
  </si>
  <si>
    <t xml:space="preserve">RT</t>
  </si>
  <si>
    <t xml:space="preserve">RW</t>
  </si>
  <si>
    <t xml:space="preserve">ALAMAT</t>
  </si>
  <si>
    <t xml:space="preserve">NAMA RT</t>
  </si>
  <si>
    <t xml:space="preserve">NAMA RW</t>
  </si>
  <si>
    <t xml:space="preserve">NAMA KADUS</t>
  </si>
  <si>
    <t xml:space="preserve">KORWIL</t>
  </si>
  <si>
    <t xml:space="preserve">JABATAN</t>
  </si>
  <si>
    <t xml:space="preserve">NO. HP</t>
  </si>
  <si>
    <t xml:space="preserve">TPS</t>
  </si>
  <si>
    <t xml:space="preserve">TGL LAHIR</t>
  </si>
  <si>
    <t xml:space="preserve">USIA</t>
  </si>
  <si>
    <t xml:space="preserve">KELOMPOK USIA</t>
  </si>
  <si>
    <t xml:space="preserve">STATUS</t>
  </si>
  <si>
    <t xml:space="preserve">TGL GABUNG</t>
  </si>
  <si>
    <t xml:space="preserve">PEREKRUT</t>
  </si>
  <si>
    <t xml:space="preserve">CATATAN</t>
  </si>
  <si>
    <t xml:space="preserve">KEY</t>
  </si>
  <si>
    <t xml:space="preserve">MASALAH</t>
  </si>
  <si>
    <t xml:space="preserve">IDX_CARI</t>
  </si>
  <si>
    <t xml:space="preserve">IDX_MASALAH</t>
  </si>
  <si>
    <t xml:space="preserve">KEY_KAMPUNG</t>
  </si>
  <si>
    <t xml:space="preserve">IDX_CETAK</t>
  </si>
  <si>
    <t xml:space="preserve">IDX_ABSEN</t>
  </si>
  <si>
    <t xml:space="preserve">IDX_KARTU</t>
  </si>
  <si>
    <t xml:space="preserve">GURU BADRI</t>
  </si>
  <si>
    <t xml:space="preserve">Kp. Tenjolaut</t>
  </si>
  <si>
    <t xml:space="preserve">001</t>
  </si>
  <si>
    <t xml:space="preserve">Maska</t>
  </si>
  <si>
    <t xml:space="preserve">Kadus 1</t>
  </si>
  <si>
    <t xml:space="preserve">Anggota</t>
  </si>
  <si>
    <t xml:space="preserve">Aktif</t>
  </si>
  <si>
    <t xml:space="preserve">asli: Guru Badri Kp. Tenjolaut RT 001/001</t>
  </si>
  <si>
    <t xml:space="preserve">IDRUS KAMSENO</t>
  </si>
  <si>
    <t xml:space="preserve">Kp. Gamprit</t>
  </si>
  <si>
    <t xml:space="preserve">Ketua Team</t>
  </si>
  <si>
    <t xml:space="preserve">asli: Idrus Kamseno Kp. Gamprit</t>
  </si>
  <si>
    <t xml:space="preserve">ALI IBRO MALISI</t>
  </si>
  <si>
    <t xml:space="preserve">asli: Ali Ibro Malisi Kp Tenjolaut</t>
  </si>
  <si>
    <t xml:space="preserve">MURDIN (BENGKUNG)</t>
  </si>
  <si>
    <t xml:space="preserve">asli: Murdin/bengkung gamprit</t>
  </si>
  <si>
    <t xml:space="preserve">RUSTADI</t>
  </si>
  <si>
    <t xml:space="preserve">Kp. Wangkal</t>
  </si>
  <si>
    <t xml:space="preserve">asli: Rustadi kp wangkal</t>
  </si>
  <si>
    <t xml:space="preserve">ABDUL MANAN</t>
  </si>
  <si>
    <t xml:space="preserve">Kp. Kuda Kuda</t>
  </si>
  <si>
    <t xml:space="preserve">asli: Abdul manan kuda kuda</t>
  </si>
  <si>
    <t xml:space="preserve">IJAH</t>
  </si>
  <si>
    <t xml:space="preserve">Kp. Putri Melintang</t>
  </si>
  <si>
    <t xml:space="preserve">asli: Ijah mmh putri melintang</t>
  </si>
  <si>
    <t xml:space="preserve">JEBAG</t>
  </si>
  <si>
    <t xml:space="preserve">003</t>
  </si>
  <si>
    <t xml:space="preserve">Sutejo</t>
  </si>
  <si>
    <t xml:space="preserve">Kadus 2</t>
  </si>
  <si>
    <t xml:space="preserve">asli: Jebag kuda kuda 01/03</t>
  </si>
  <si>
    <t xml:space="preserve">DONY</t>
  </si>
  <si>
    <t xml:space="preserve">asli: Dony gamprit</t>
  </si>
  <si>
    <t xml:space="preserve">WAWAN</t>
  </si>
  <si>
    <t xml:space="preserve">004</t>
  </si>
  <si>
    <t xml:space="preserve">Ilyas</t>
  </si>
  <si>
    <t xml:space="preserve">asli: Wawan kuda kuda Rt 01/04</t>
  </si>
  <si>
    <t xml:space="preserve">MAS DENI</t>
  </si>
  <si>
    <t xml:space="preserve">asli: Mas Deni RT 01/04</t>
  </si>
  <si>
    <t xml:space="preserve">HARIS</t>
  </si>
  <si>
    <t xml:space="preserve">Basir</t>
  </si>
  <si>
    <t xml:space="preserve">asli: Haris kuda kuda Rt003/001 Rt basir</t>
  </si>
  <si>
    <t xml:space="preserve">NELIH</t>
  </si>
  <si>
    <t xml:space="preserve">006</t>
  </si>
  <si>
    <t xml:space="preserve">Saiman</t>
  </si>
  <si>
    <t xml:space="preserve">Kadus 3</t>
  </si>
  <si>
    <t xml:space="preserve">asli: Nelih wangkal 04/06</t>
  </si>
  <si>
    <t xml:space="preserve">RUDI</t>
  </si>
  <si>
    <t xml:space="preserve">Wandy Suwandi</t>
  </si>
  <si>
    <t xml:space="preserve">asli: Rudi kp gamprit RT wandi</t>
  </si>
  <si>
    <t xml:space="preserve">NIMAN</t>
  </si>
  <si>
    <t xml:space="preserve">002</t>
  </si>
  <si>
    <t xml:space="preserve">005</t>
  </si>
  <si>
    <t xml:space="preserve">Niman</t>
  </si>
  <si>
    <t xml:space="preserve">Ketua RW</t>
  </si>
  <si>
    <t xml:space="preserve">asli: RK NIMAN RT 002/ RW 005 kp gamprit</t>
  </si>
  <si>
    <t xml:space="preserve">RENALDI</t>
  </si>
  <si>
    <t xml:space="preserve">asli: Renaldi kp gamprit RT wandi</t>
  </si>
  <si>
    <t xml:space="preserve">JAYA</t>
  </si>
  <si>
    <t xml:space="preserve">asli: Jaya kp wangkal RT 04/06</t>
  </si>
  <si>
    <t xml:space="preserve">ADE RINO</t>
  </si>
  <si>
    <t xml:space="preserve">asli: Ade Rino kp gamprit RT wandi</t>
  </si>
  <si>
    <t xml:space="preserve">WINDA</t>
  </si>
  <si>
    <t xml:space="preserve">Onin</t>
  </si>
  <si>
    <t xml:space="preserve">asli: Winda kp kuda kuda RT onin</t>
  </si>
  <si>
    <t xml:space="preserve">HERMAN BOLON</t>
  </si>
  <si>
    <t xml:space="preserve">asli: Herman Bolon kp gamprit RT wandi</t>
  </si>
  <si>
    <t xml:space="preserve">TASBIH (BODONG)</t>
  </si>
  <si>
    <t xml:space="preserve">Nemin</t>
  </si>
  <si>
    <t xml:space="preserve">asli: Tasbih/bodong kp wangkal RT nemin</t>
  </si>
  <si>
    <t xml:space="preserve">MARDI</t>
  </si>
  <si>
    <t xml:space="preserve">asli: Mardi kp wangkal RT 05/06</t>
  </si>
  <si>
    <t xml:space="preserve">OTIH (AAL)</t>
  </si>
  <si>
    <t xml:space="preserve">asli: Otih/aal kp gamprit RT wandi</t>
  </si>
  <si>
    <t xml:space="preserve">KANDI</t>
  </si>
  <si>
    <t xml:space="preserve">asli: Kandi gamprit RT wandi</t>
  </si>
  <si>
    <t xml:space="preserve">EMIN (KOJEK)</t>
  </si>
  <si>
    <t xml:space="preserve">asli: Emin/Kojek kp wangkal RT 04/06</t>
  </si>
  <si>
    <t xml:space="preserve">KET NALIH</t>
  </si>
  <si>
    <t xml:space="preserve">asli: Ket Nalih kp wangkal RT 04/06</t>
  </si>
  <si>
    <t xml:space="preserve">FEI</t>
  </si>
  <si>
    <t xml:space="preserve">asli: Fei RT 004/001</t>
  </si>
  <si>
    <t xml:space="preserve">AAL</t>
  </si>
  <si>
    <t xml:space="preserve">Pasni</t>
  </si>
  <si>
    <t xml:space="preserve">asli: Aal rt. 04/02 rt. Onin</t>
  </si>
  <si>
    <t xml:space="preserve">OMAN</t>
  </si>
  <si>
    <t xml:space="preserve">asli: Oman RT. 003/002</t>
  </si>
  <si>
    <t xml:space="preserve">WACEP ACENK</t>
  </si>
  <si>
    <t xml:space="preserve">asli: Wacep Acenk RT. 003/003</t>
  </si>
  <si>
    <t xml:space="preserve">A. AZIZ MAULANA</t>
  </si>
  <si>
    <t xml:space="preserve">asli: A. Aziz Maulana RT. 002/002</t>
  </si>
  <si>
    <t xml:space="preserve">MARKUM</t>
  </si>
  <si>
    <t xml:space="preserve">Kadus</t>
  </si>
  <si>
    <t xml:space="preserve">asli: Kadus MARKUM Dusun 3</t>
  </si>
  <si>
    <t xml:space="preserve">ANAH</t>
  </si>
  <si>
    <t xml:space="preserve">asli: Anah RT.04/02 .RT onin</t>
  </si>
  <si>
    <t xml:space="preserve">SUGENG</t>
  </si>
  <si>
    <t xml:space="preserve">asli: Sugeng RT.04/02.rt onin</t>
  </si>
  <si>
    <t xml:space="preserve">YUSRON EFENDI</t>
  </si>
  <si>
    <t xml:space="preserve">asli: Yusron Efendi Kp Kuda2 003/001 Bpk RT. Basir</t>
  </si>
  <si>
    <t xml:space="preserve">SLAMET</t>
  </si>
  <si>
    <t xml:space="preserve">asli: Slamet RT. 005/002 gy</t>
  </si>
  <si>
    <t xml:space="preserve">MUMUN MULYASAROH</t>
  </si>
  <si>
    <t xml:space="preserve">asli: Mumun mulyasaroh rt04/02</t>
  </si>
  <si>
    <t xml:space="preserve">SUFI NURFAZRI (JAPUT)</t>
  </si>
  <si>
    <t xml:space="preserve">asli: Sufi Nurfazri/Japut</t>
  </si>
  <si>
    <t xml:space="preserve">DEDE PARIDA</t>
  </si>
  <si>
    <t xml:space="preserve">asli: Dede Parida</t>
  </si>
  <si>
    <t xml:space="preserve">HENDRA</t>
  </si>
  <si>
    <t xml:space="preserve">asli: Hendra gamprit Rt04/04</t>
  </si>
  <si>
    <t xml:space="preserve">NENDA (KHENZON)</t>
  </si>
  <si>
    <t xml:space="preserve">asli: Nenda/khenzon kp wangkal</t>
  </si>
  <si>
    <t xml:space="preserve">SAIH</t>
  </si>
  <si>
    <t xml:space="preserve">asli: Saih kp wangkal RT 05/06</t>
  </si>
  <si>
    <t xml:space="preserve">JEBING</t>
  </si>
  <si>
    <t xml:space="preserve">asli: jebing kuda kuda RT Basir</t>
  </si>
  <si>
    <t xml:space="preserve">IQWAL M.S</t>
  </si>
  <si>
    <t xml:space="preserve">Ropic</t>
  </si>
  <si>
    <t xml:space="preserve">Uding</t>
  </si>
  <si>
    <t xml:space="preserve">asli: iqwal M.s kp.Gamprit RT ropik</t>
  </si>
  <si>
    <t xml:space="preserve">HERMAN</t>
  </si>
  <si>
    <t xml:space="preserve">asli: Herman Kp Gampri</t>
  </si>
  <si>
    <t xml:space="preserve">asli: Wawan Gamprit rt04/02</t>
  </si>
  <si>
    <t xml:space="preserve">DETA NALA SRI M</t>
  </si>
  <si>
    <t xml:space="preserve">asli: Deta Nala sri M kuda kuda Rt Onin</t>
  </si>
  <si>
    <t xml:space="preserve">OPIC (ROPIK)</t>
  </si>
  <si>
    <t xml:space="preserve">Ketua RT</t>
  </si>
  <si>
    <t xml:space="preserve">asli: RT Opic / Ropik Rt 001/005</t>
  </si>
  <si>
    <t xml:space="preserve">KOMARUDIN</t>
  </si>
  <si>
    <t xml:space="preserve">asli: Komarudin Kp Wangkal</t>
  </si>
  <si>
    <t xml:space="preserve">ROHADI (ADE)</t>
  </si>
  <si>
    <t xml:space="preserve">Engkus</t>
  </si>
  <si>
    <t xml:space="preserve">asli: Rohadi /ade kp gamprit RT engkus</t>
  </si>
  <si>
    <t xml:space="preserve">ADE PRABOWO</t>
  </si>
  <si>
    <t xml:space="preserve">asli: Ade prabowo kp gamprit RT wandi</t>
  </si>
  <si>
    <t xml:space="preserve">ALI NURDIN</t>
  </si>
  <si>
    <t xml:space="preserve">asli: Ali Nurdin kp gamprit RT wandi</t>
  </si>
  <si>
    <t xml:space="preserve">CARI DATA ANGGOTA</t>
  </si>
  <si>
    <t xml:space="preserve">Ketik sebagian nama / NIK / no. HP / alamat pada sel kuning. Hasil muncul seketika.</t>
  </si>
  <si>
    <t xml:space="preserve">▌  KRITERIA PENCARIAN</t>
  </si>
  <si>
    <t xml:space="preserve">KATA KUNCI</t>
  </si>
  <si>
    <t xml:space="preserve">◀  ketik sebagian nama, NIK, no. HP, alamat, atau perekrut</t>
  </si>
  <si>
    <t xml:space="preserve">FILTER KADUS</t>
  </si>
  <si>
    <t xml:space="preserve">◀  kosongkan = semua Kadus</t>
  </si>
  <si>
    <t xml:space="preserve">FILTER RT</t>
  </si>
  <si>
    <t xml:space="preserve">◀  kosongkan = semua RT</t>
  </si>
  <si>
    <t xml:space="preserve">FILTER STATUS</t>
  </si>
  <si>
    <t xml:space="preserve">◀  kosongkan = semua status</t>
  </si>
  <si>
    <t xml:space="preserve">DITEMUKAN</t>
  </si>
  <si>
    <t xml:space="preserve">Maksimal 150 baris pertama yang ditampilkan di bawah. Persempit kata kunci bila hasil terpotong.</t>
  </si>
  <si>
    <t xml:space="preserve">NIK</t>
  </si>
  <si>
    <t xml:space="preserve">REKAP  •  ANALISA DATA ANGGOTA</t>
  </si>
  <si>
    <t xml:space="preserve">Seluruh angka dihitung otomatis dari sheet DATABASE.</t>
  </si>
  <si>
    <t xml:space="preserve">▌  A.  MATRIKS JUMLAH ANGGOTA PER KAMPUNG &amp; RT</t>
  </si>
  <si>
    <t xml:space="preserve">▌  B.  GENDER &amp; STATUS PER KAMPUNG</t>
  </si>
  <si>
    <t xml:space="preserve">LAKI-LAKI</t>
  </si>
  <si>
    <t xml:space="preserve">PEREMPUAN</t>
  </si>
  <si>
    <t xml:space="preserve">AKTIF</t>
  </si>
  <si>
    <t xml:space="preserve">CALON</t>
  </si>
  <si>
    <t xml:space="preserve">NONAKTIF</t>
  </si>
  <si>
    <t xml:space="preserve">% DARI TOTAL</t>
  </si>
  <si>
    <t xml:space="preserve">▌  C.  REKAP PER JABATAN</t>
  </si>
  <si>
    <t xml:space="preserve">% TOTAL</t>
  </si>
  <si>
    <t xml:space="preserve">▌  D.  SEGMEN USIA PEMILIH</t>
  </si>
  <si>
    <t xml:space="preserve">Tanpa tanggal lahir</t>
  </si>
  <si>
    <t xml:space="preserve">▌  E.  SEBARAN PER TPS</t>
  </si>
  <si>
    <t xml:space="preserve">▌  F.  DAFTAR ANGGOTA PER KORWIL</t>
  </si>
  <si>
    <t xml:space="preserve">PILIH KAMPUNG</t>
  </si>
  <si>
    <t xml:space="preserve">◀  isi sel kuning</t>
  </si>
  <si>
    <t xml:space="preserve">Butuh pencarian bebas (nama / NIK / no. HP)? Gunakan sheet CARI.</t>
  </si>
  <si>
    <t xml:space="preserve">TARGET &amp; CAPAIAN PER KAMPUNG</t>
  </si>
  <si>
    <t xml:space="preserve">Ubah angka target pada sheet PENGATURAN kolom TARGET.</t>
  </si>
  <si>
    <t xml:space="preserve">▌  PERBANDINGAN TARGET DENGAN REALISASI</t>
  </si>
  <si>
    <t xml:space="preserve">REALISASI</t>
  </si>
  <si>
    <t xml:space="preserve">KURANG</t>
  </si>
  <si>
    <t xml:space="preserve">% CAPAIAN</t>
  </si>
  <si>
    <t xml:space="preserve">GRAFIK CAPAIAN</t>
  </si>
  <si>
    <t xml:space="preserve">Keterangan warna:</t>
  </si>
  <si>
    <t xml:space="preserve">Hijau  : capaian sudah 100% atau lebih</t>
  </si>
  <si>
    <t xml:space="preserve">Kuning : capaian 50% – 99%</t>
  </si>
  <si>
    <t xml:space="preserve">Merah  : capaian di bawah 50%</t>
  </si>
  <si>
    <t xml:space="preserve">Angka TARGET adalah asumsi yang diisi pengguna pada sheet PENGATURAN (kolom TARGET, sebaris dengan nama Kadus) — bukan hasil perhitungan.</t>
  </si>
  <si>
    <t xml:space="preserve">VALIDASI  •  DATA YANG PERLU DIPERBAIKI</t>
  </si>
  <si>
    <t xml:space="preserve">Perbaiki langsung pada sheet DATABASE; daftar di bawah menyusut otomatis.</t>
  </si>
  <si>
    <t xml:space="preserve">▌  RINGKASAN MASALAH</t>
  </si>
  <si>
    <t xml:space="preserve">Total data terdata</t>
  </si>
  <si>
    <t xml:space="preserve">Total baris bermasalah</t>
  </si>
  <si>
    <t xml:space="preserve">NIK kosong</t>
  </si>
  <si>
    <t xml:space="preserve">NIK bukan 16 digit</t>
  </si>
  <si>
    <t xml:space="preserve">NIK ganda (dobel)</t>
  </si>
  <si>
    <t xml:space="preserve">Kadus kosong</t>
  </si>
  <si>
    <t xml:space="preserve">RT kosong</t>
  </si>
  <si>
    <t xml:space="preserve">Jabatan kosong</t>
  </si>
  <si>
    <t xml:space="preserve">No. HP kosong</t>
  </si>
  <si>
    <t xml:space="preserve">Alamat kosong</t>
  </si>
  <si>
    <t xml:space="preserve">Usia di bawah 17 tahun</t>
  </si>
  <si>
    <t xml:space="preserve">Tanpa status keanggotaan</t>
  </si>
  <si>
    <t xml:space="preserve">Satu baris hanya menampilkan satu masalah utama (urutan prioritas: NIK → Kadus → RT → Jabatan → HP → Alamat → usia). Setelah diperbaiki, masalah berikutnya pada baris yang sama akan muncul.</t>
  </si>
  <si>
    <t xml:space="preserve">▌  DAFTAR BARIS YANG PERLU DIPERBAIKI</t>
  </si>
  <si>
    <t xml:space="preserve">DAFTAR ANGGOTA TEAM PEMENANGAN</t>
  </si>
  <si>
    <t xml:space="preserve">PANEL — TIDAK IKUT DICETAK</t>
  </si>
  <si>
    <t xml:space="preserve">KELOMPOK</t>
  </si>
  <si>
    <t xml:space="preserve">:</t>
  </si>
  <si>
    <t xml:space="preserve">Pilih Kadus</t>
  </si>
  <si>
    <t xml:space="preserve">Pilih RT</t>
  </si>
  <si>
    <t xml:space="preserve">Pilih TPS</t>
  </si>
  <si>
    <t xml:space="preserve">NIK KTP</t>
  </si>
  <si>
    <t xml:space="preserve">NO. KK</t>
  </si>
  <si>
    <t xml:space="preserve">TANDA TANGAN</t>
  </si>
  <si>
    <t xml:space="preserve">Pilih Jabatan</t>
  </si>
  <si>
    <t xml:space="preserve">Pilih Status</t>
  </si>
  <si>
    <t xml:space="preserve">Halaman ke-</t>
  </si>
  <si>
    <t xml:space="preserve">Jumlah data</t>
  </si>
  <si>
    <t xml:space="preserve">Total halaman</t>
  </si>
  <si>
    <t xml:space="preserve">Kosongkan semua filter = cetak SELURUH anggota.</t>
  </si>
  <si>
    <t xml:space="preserve">Isi satu filter saja untuk cetak per Kadus, per RT, atau per TPS.</t>
  </si>
  <si>
    <t xml:space="preserve">Isi Kadus + RT sekaligus untuk cetak per korwil.</t>
  </si>
  <si>
    <t xml:space="preserve">Satu halaman memuat 25 nama. Bila Total halaman lebih dari 1,</t>
  </si>
  <si>
    <t xml:space="preserve">ganti angka Halaman ke- lalu Ctrl+P lagi.</t>
  </si>
  <si>
    <t xml:space="preserve">Daftar sangat panjang? Saring kolom di sheet DATABASE lalu Ctrl+P —</t>
  </si>
  <si>
    <t xml:space="preserve">baris yang tersembunyi filter tidak ikut tercetak.</t>
  </si>
  <si>
    <t xml:space="preserve">KARTU ANGGOTA  •  SIAP POTONG</t>
  </si>
  <si>
    <t xml:space="preserve">Isi nomor awal, lalu Ctrl+P. Satu halaman berisi 8 kartu.</t>
  </si>
  <si>
    <t xml:space="preserve">PANEL — TIDAK DICETAK</t>
  </si>
  <si>
    <t xml:space="preserve">NAMA</t>
  </si>
  <si>
    <t xml:space="preserve">Nomor awal</t>
  </si>
  <si>
    <t xml:space="preserve">Pilih Kampung</t>
  </si>
  <si>
    <t xml:space="preserve">Jumlah tersaring</t>
  </si>
  <si>
    <t xml:space="preserve">Halaman berikutnya</t>
  </si>
  <si>
    <t xml:space="preserve">Kosongkan filter = kartu untuk seluruh anggota.</t>
  </si>
  <si>
    <t xml:space="preserve">Potong mengikuti garis kotak. Kartu kosong berarti nomor tersebut belum ada datanya.</t>
  </si>
  <si>
    <t xml:space="preserve">DAFTAR HADIR KEGIATAN</t>
  </si>
  <si>
    <t xml:space="preserve">KEGIATAN</t>
  </si>
  <si>
    <t xml:space="preserve">Nama kegiatan</t>
  </si>
  <si>
    <t xml:space="preserve">HARI / TANGGAL</t>
  </si>
  <si>
    <t xml:space="preserve">Tanggal</t>
  </si>
  <si>
    <t xml:space="preserve">TEMPAT</t>
  </si>
  <si>
    <t xml:space="preserve">Tempat</t>
  </si>
  <si>
    <t xml:space="preserve">Jumlah anggota</t>
  </si>
  <si>
    <t xml:space="preserve">Kosongkan filter Kadus/RT/TPS = daftar hadir SELURUH anggota.</t>
  </si>
  <si>
    <t xml:space="preserve">Isi satu filter untuk per Kadus, per RT, atau per TPS;</t>
  </si>
  <si>
    <t xml:space="preserve">isi Kadus + RT sekaligus untuk per korwil.</t>
  </si>
  <si>
    <t xml:space="preserve">Satu halaman memuat 25 nama — ganti Halaman ke- lalu Ctrl+P.</t>
  </si>
  <si>
    <t xml:space="preserve">PROFIL &amp; MEDIA KAMPANYE</t>
  </si>
  <si>
    <t xml:space="preserve">Poster dan emblem resmi — siap dicetak atau dibagikan.</t>
  </si>
  <si>
    <t xml:space="preserve">▌  POSTER RESMI</t>
  </si>
  <si>
    <t xml:space="preserve">▌  EMBLEM RESMI</t>
  </si>
  <si>
    <t xml:space="preserve">Emblem utama — dipakai pada dasbor MENU, kop formulir CETAK dan ABSENSI, serta kartu anggota.</t>
  </si>
  <si>
    <t xml:space="preserve">Emblem alternatif tanpa pita nama — untuk spanduk, kaus, atau media yang butuh versi lebih ringkas.</t>
  </si>
  <si>
    <t xml:space="preserve">Mengganti gambar: klik kanan pada gambar &gt; Change Picture (Ganti Gambar). Ukuran dan posisinya tetap.</t>
  </si>
  <si>
    <t xml:space="preserve">Catatan ejaan: poster menuliskan JONI FAHAMSYAH, sedangkan pita pada emblem tertulis JONI FAHAMASYAH. Samakan lebih dulu bila keduanya dipakai berdampingan.</t>
  </si>
  <si>
    <t xml:space="preserve">PENGATURAN  •  DAFTAR PILIHAN, TARGET &amp; IDENTITAS</t>
  </si>
  <si>
    <t xml:space="preserve">Semua isian di sel kuning boleh diubah — dropdown dan kop surat ikut berubah otomatis.</t>
  </si>
  <si>
    <t xml:space="preserve">DAFTAR KAMPUNG</t>
  </si>
  <si>
    <t xml:space="preserve">DAFTAR RT</t>
  </si>
  <si>
    <t xml:space="preserve">DAFTAR RW</t>
  </si>
  <si>
    <t xml:space="preserve">DAFTAR JABATAN</t>
  </si>
  <si>
    <t xml:space="preserve">DAFTAR TPS</t>
  </si>
  <si>
    <t xml:space="preserve">STATUS ANGGOTA</t>
  </si>
  <si>
    <t xml:space="preserve">USIA MIN</t>
  </si>
  <si>
    <t xml:space="preserve">CATATAN PENTING</t>
  </si>
  <si>
    <t xml:space="preserve">01</t>
  </si>
  <si>
    <t xml:space="preserve">Di bawah 17 th</t>
  </si>
  <si>
    <t xml:space="preserve">Ikin Lois</t>
  </si>
  <si>
    <t xml:space="preserve">• Sel kuning = boleh diubah. Sel lain berisi rumus.</t>
  </si>
  <si>
    <t xml:space="preserve">Wakil Ketua</t>
  </si>
  <si>
    <t xml:space="preserve">02</t>
  </si>
  <si>
    <t xml:space="preserve">Calon</t>
  </si>
  <si>
    <t xml:space="preserve">Pemula 17-22 th</t>
  </si>
  <si>
    <t xml:space="preserve">Sarjan</t>
  </si>
  <si>
    <t xml:space="preserve">• TARGET diisi angka jumlah anggota yang ingin dicapai tiap Kadus;</t>
  </si>
  <si>
    <t xml:space="preserve">Sekretaris</t>
  </si>
  <si>
    <t xml:space="preserve">03</t>
  </si>
  <si>
    <t xml:space="preserve">Nonaktif</t>
  </si>
  <si>
    <t xml:space="preserve">Muda 23-35 th</t>
  </si>
  <si>
    <t xml:space="preserve">   dipakai pada sheet TARGET untuk menghitung % capaian.</t>
  </si>
  <si>
    <t xml:space="preserve">Bendahara</t>
  </si>
  <si>
    <t xml:space="preserve">04</t>
  </si>
  <si>
    <t xml:space="preserve">Dewasa 36-50 th</t>
  </si>
  <si>
    <t xml:space="preserve">• Menambah pilihan: tulis pada baris kosong tepat di bawah daftar.</t>
  </si>
  <si>
    <t xml:space="preserve">05</t>
  </si>
  <si>
    <t xml:space="preserve">Matang 51-65 th</t>
  </si>
  <si>
    <t xml:space="preserve">Tongket / Khidir</t>
  </si>
  <si>
    <t xml:space="preserve">  Dropdown bertambah otomatis (kapasitas 40 baris per daftar).</t>
  </si>
  <si>
    <t xml:space="preserve">06</t>
  </si>
  <si>
    <t xml:space="preserve">Senior 66 th +</t>
  </si>
  <si>
    <t xml:space="preserve">Saari</t>
  </si>
  <si>
    <t xml:space="preserve">• Menghapus pilihan: kosongkan selnya (Delete), jangan hapus barisnya.</t>
  </si>
  <si>
    <t xml:space="preserve">007</t>
  </si>
  <si>
    <t xml:space="preserve">07</t>
  </si>
  <si>
    <t xml:space="preserve">Dedi</t>
  </si>
  <si>
    <t xml:space="preserve">• Jangan menyisipkan baris di tengah daftar — rumus bisa bergeser.</t>
  </si>
  <si>
    <t xml:space="preserve">008</t>
  </si>
  <si>
    <t xml:space="preserve">Koordinator Wilayah</t>
  </si>
  <si>
    <t xml:space="preserve">08</t>
  </si>
  <si>
    <t xml:space="preserve">Rimun</t>
  </si>
  <si>
    <t xml:space="preserve">• Bila nama Kadus diganti, data lama pada DATABASE TIDAK ikut berubah.</t>
  </si>
  <si>
    <t xml:space="preserve">Koordinator Lapangan</t>
  </si>
  <si>
    <t xml:space="preserve">09</t>
  </si>
  <si>
    <t xml:space="preserve">Adi Ardiansyah</t>
  </si>
  <si>
    <t xml:space="preserve">  Perbaiki lewat filter kolom KADUS di sheet DATABASE.</t>
  </si>
  <si>
    <t xml:space="preserve">10</t>
  </si>
  <si>
    <t xml:space="preserve">Kusnadi</t>
  </si>
  <si>
    <t xml:space="preserve">• USIA MIN harus urut dari kecil ke besar (0, 17, 23, ...).</t>
  </si>
  <si>
    <t xml:space="preserve">Relawan</t>
  </si>
  <si>
    <t xml:space="preserve">11</t>
  </si>
  <si>
    <t xml:space="preserve">• KELOMPOK USIA dipakai untuk rekap segmen pemilih.</t>
  </si>
  <si>
    <t xml:space="preserve">12</t>
  </si>
  <si>
    <t xml:space="preserve">13</t>
  </si>
  <si>
    <t xml:space="preserve">14</t>
  </si>
  <si>
    <t xml:space="preserve">Toyib</t>
  </si>
  <si>
    <t xml:space="preserve">15</t>
  </si>
  <si>
    <t xml:space="preserve">Sumintra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</si>
  <si>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</si>
  <si>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</si>
  <si>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</si>
  <si>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</si>
  <si>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</si>
  <si>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IDENTITAS APLIKASI  (dipakai pada kop MENU, CETAK, KARTU, ABSENSI)</t>
  </si>
  <si>
    <t xml:space="preserve">NAMA CALON</t>
  </si>
  <si>
    <t xml:space="preserve">JONI FAHAMSYAH</t>
  </si>
  <si>
    <t xml:space="preserve">NAMA TEAM</t>
  </si>
  <si>
    <t xml:space="preserve">TEAM PEMENANGAN JF JILID 3</t>
  </si>
  <si>
    <t xml:space="preserve">PERIODE</t>
  </si>
  <si>
    <t xml:space="preserve">PERIODE 2026 S/D 2034</t>
  </si>
  <si>
    <t xml:space="preserve">TAHUN</t>
  </si>
  <si>
    <t xml:space="preserve">2026</t>
  </si>
  <si>
    <t xml:space="preserve">DESA</t>
  </si>
  <si>
    <t xml:space="preserve">SUKAKARYA</t>
  </si>
  <si>
    <t xml:space="preserve">KECAMATAN</t>
  </si>
  <si>
    <t xml:space="preserve">-</t>
  </si>
  <si>
    <t xml:space="preserve">KABUPATEN</t>
  </si>
  <si>
    <t xml:space="preserve">KETUA TEAM</t>
  </si>
  <si>
    <t xml:space="preserve">JABATAN PENANDATANGAN</t>
  </si>
  <si>
    <t xml:space="preserve">STRUKTUR PENGURUS  •  ACUAN NAMA RT, RW, DAN KADUS</t>
  </si>
  <si>
    <t xml:space="preserve">(belum ada nama)</t>
  </si>
  <si>
    <t xml:space="preserve">RW 001</t>
  </si>
  <si>
    <t xml:space="preserve">RW 002</t>
  </si>
  <si>
    <t xml:space="preserve">RT 001</t>
  </si>
  <si>
    <t xml:space="preserve">RW ?</t>
  </si>
  <si>
    <t xml:space="preserve">RT 002</t>
  </si>
  <si>
    <t xml:space="preserve">RT 003</t>
  </si>
  <si>
    <t xml:space="preserve">RT 004</t>
  </si>
  <si>
    <t xml:space="preserve">RT 005</t>
  </si>
  <si>
    <t xml:space="preserve">RT 006</t>
  </si>
  <si>
    <t xml:space="preserve">RW 003</t>
  </si>
  <si>
    <t xml:space="preserve">RW 004</t>
  </si>
  <si>
    <t xml:space="preserve">Markum</t>
  </si>
  <si>
    <t xml:space="preserve">RW 005</t>
  </si>
  <si>
    <t xml:space="preserve">RW 006</t>
  </si>
  <si>
    <t xml:space="preserve">Nomor RT berulang di tiap kadus dan Kampung Gamprit ada di Kadus 2 maupun Kadus 3 — nama pengurusnyalah yang membedakan. Nomor RW 001-006 berlaku satu desa, jadi nomornya sudah menentukan ketuanya.</t>
  </si>
  <si>
    <t xml:space="preserve">PETUNJUK PENGGUNAAN APLIKASI</t>
  </si>
  <si>
    <t xml:space="preserve">A.  ALUR KERJA SINGKAT</t>
  </si>
  <si>
    <t xml:space="preserve">1.  Buka sheet PENGATURAN. Sesuaikan nama Kadus, daftar RT, TPS, jabatan,</t>
  </si>
  <si>
    <t xml:space="preserve">     angka TARGET tiap Kadus, serta identitas (nama calon, desa, ketua team).</t>
  </si>
  <si>
    <t xml:space="preserve">2.  Buka sheet DATABASE. Ketik data anggota mulai baris kosong pertama.</t>
  </si>
  <si>
    <t xml:space="preserve">3.  Kolom NO, KORWIL, USIA, dan KELOMPOK USIA terisi sendiri (berlatar abu-abu).</t>
  </si>
  <si>
    <t xml:space="preserve">4.  Buka sheet VALIDASI, perbaiki semua baris yang muncul di sana.</t>
  </si>
  <si>
    <t xml:space="preserve">5.  Pantau perkembangan di sheet REKAP dan TARGET.</t>
  </si>
  <si>
    <t xml:space="preserve">6.  Cetak lewat sheet CETAK (formulir), KARTU (kartu anggota), atau ABSENSI.</t>
  </si>
  <si>
    <t xml:space="preserve">7.  Sheet PROFIL memuat poster dan emblem resmi yang siap dicetak.</t>
  </si>
  <si>
    <t xml:space="preserve">B.  LOGO &amp; KOP SURAT</t>
  </si>
  <si>
    <t xml:space="preserve">Emblem tampil di dasbor MENU, kop sheet CETAK dan ABSENSI, serta di setiap</t>
  </si>
  <si>
    <t xml:space="preserve">kartu pada sheet KARTU. Semuanya memakai berkas gambar yang sama.</t>
  </si>
  <si>
    <t xml:space="preserve">Mengganti logo: klik kanan pada gambar &gt; Change Picture (Ganti Gambar);</t>
  </si>
  <si>
    <t xml:space="preserve">ukuran dan posisinya tetap, jadi tata letak tidak perlu diatur ulang.</t>
  </si>
  <si>
    <t xml:space="preserve">Nama desa dan nama calon pada kop diambil dari sheet PENGATURAN, bukan</t>
  </si>
  <si>
    <t xml:space="preserve">dari gambar — ubah di sana bila berganti wilayah atau periode.</t>
  </si>
  <si>
    <t xml:space="preserve">C.  MENCETAK — SEMUA, PER KADUS, PER RT, PER KORWIL, PER TPS</t>
  </si>
  <si>
    <t xml:space="preserve">Sheet CETAK punya lima filter di panel kanan: Kadus, RT, TPS, jabatan, status.</t>
  </si>
  <si>
    <t xml:space="preserve">Filter yang dikosongkan berarti SEMUA, jadi satu sheet melayani semua kebutuhan:</t>
  </si>
  <si>
    <t xml:space="preserve">   •  semua filter kosong          →  seluruh anggota</t>
  </si>
  <si>
    <t xml:space="preserve">   •  isi Kampung saja             →  per kampung</t>
  </si>
  <si>
    <t xml:space="preserve">   •  isi RT saja                  →  per RT</t>
  </si>
  <si>
    <t xml:space="preserve">   •  isi Kampung + RT             →  per korwil</t>
  </si>
  <si>
    <t xml:space="preserve">   •  isi TPS saja                 →  per TPS</t>
  </si>
  <si>
    <t xml:space="preserve">Judul dan jumlah pada kop ikut berubah sendiri. Bila Total halaman lebih dari 1,</t>
  </si>
  <si>
    <t xml:space="preserve">ganti angka Halaman ke- lalu Ctrl+P lagi. Sheet ABSENSI memakai cara yang sama,</t>
  </si>
  <si>
    <t xml:space="preserve">sheet KARTU bisa disaring per Kadus/RT/TPS.</t>
  </si>
  <si>
    <t xml:space="preserve">Daftar sangat panjang dalam sekali cetak: buka sheet DATABASE, klik panah pada</t>
  </si>
  <si>
    <t xml:space="preserve">judul kolom (TPS, RT, KADUS, KORWIL) untuk menyaring, lalu Ctrl+P. Baris yang</t>
  </si>
  <si>
    <t xml:space="preserve">disembunyikan filter tidak ikut tercetak, jadi tidak ada halaman kosong.</t>
  </si>
  <si>
    <t xml:space="preserve">D.  ARTI WARNA</t>
  </si>
  <si>
    <t xml:space="preserve">Kuning   : sel isian — boleh diketik/dipilih.</t>
  </si>
  <si>
    <t xml:space="preserve">Abu-abu  : hasil rumus otomatis — jangan diketik manual.</t>
  </si>
  <si>
    <t xml:space="preserve">Merah muda pada DATABASE : NIK ganda (dobel) — periksa dan perbaiki.</t>
  </si>
  <si>
    <t xml:space="preserve">Kuning muda pada DATABASE: NIK bukan 16 digit.</t>
  </si>
  <si>
    <t xml:space="preserve">Abu-abu miring pada DATABASE: anggota berstatus Nonaktif.</t>
  </si>
  <si>
    <t xml:space="preserve">E.  KOLOM PADA SHEET DATABASE</t>
  </si>
  <si>
    <t xml:space="preserve">Identitas : NAMA LENGKAP, NIK KTP (16 digit), NO. KK (16 digit), L/P.</t>
  </si>
  <si>
    <t xml:space="preserve">Alamat    : KAMPUNG, RT, RW, ALAMAT (keterangan tambahan).</t>
  </si>
  <si>
    <t xml:space="preserve">Pengurus  : NAMA RT, NAMA RW, NAMA KADUS — lihat daftar di sheet PENGATURAN.</t>
  </si>
  <si>
    <t xml:space="preserve">Lainnya   : TPS, JABATAN, NO. HP, TGL LAHIR, STATUS, TGL GABUNG, PEREKRUT.</t>
  </si>
  <si>
    <t xml:space="preserve">KORWIL, USIA, dan KELOMPOK USIA terisi otomatis — jangan diketik.</t>
  </si>
  <si>
    <t xml:space="preserve">NIK KTP milik perorangan dan tidak boleh kembar; NO. KK milik satu keluarga</t>
  </si>
  <si>
    <t xml:space="preserve">sehingga beberapa anggota boleh punya nomor yang sama.</t>
  </si>
  <si>
    <t xml:space="preserve">F.  STRUKTUR PENGURUS — KENAPA MEMAKAI NAMA, BUKAN NOMOR</t>
  </si>
  <si>
    <t xml:space="preserve">Nomor RT berulang di tiap kadus: RT 001 ada di Kadus 1, 2, maupun 3.</t>
  </si>
  <si>
    <t xml:space="preserve">Kampung Gamprit pun dipakai Kadus 2 dan Kadus 3 sekaligus.</t>
  </si>
  <si>
    <t xml:space="preserve">Karena itu nama pengurusnyalah yang membedakan satu RT dari RT lain.</t>
  </si>
  <si>
    <t xml:space="preserve">Daftar lengkapnya ada di sheet PENGATURAN, di bawah judul STRUKTUR PENGURUS,</t>
  </si>
  <si>
    <t xml:space="preserve">berisi kadus, ketua RW, ketua RT, kampung, dan nomor RW masing-masing.</t>
  </si>
  <si>
    <t xml:space="preserve">G.  MENYIMPAN &amp; CADANGAN</t>
  </si>
  <si>
    <t xml:space="preserve">Tekan Ctrl+S setiap selesai menginput — seluruh sheet tersimpan sekaligus.</t>
  </si>
  <si>
    <t xml:space="preserve">Buat salinan cadangan tiap minggu: File &gt; Save As, beri nama + tanggal.</t>
  </si>
  <si>
    <t xml:space="preserve">Simpan juga satu salinan di HP atau flashdisk sebagai cadangan kedua.</t>
  </si>
  <si>
    <t xml:space="preserve">H.  SHEET TERKUNCI</t>
  </si>
  <si>
    <t xml:space="preserve">Sheet REKAP, TARGET, VALIDASI, CARI, CETAK, KARTU, dan ABSENSI dikunci agar</t>
  </si>
  <si>
    <t xml:space="preserve">rumus tidak terhapus. Sel kuning tetap bisa diisi. Bila perlu mengubah isinya:</t>
  </si>
  <si>
    <t xml:space="preserve">tab Review (Tinjau) &gt; Unprotect Sheet — tanpa kata sandi.</t>
  </si>
  <si>
    <t xml:space="preserve">Sheet DATABASE dan PENGATURAN sengaja tidak dikunci agar bebas disunting.</t>
  </si>
  <si>
    <t xml:space="preserve">I.  KAPASITAS</t>
  </si>
  <si>
    <t xml:space="preserve">Kapasitas 2.000 baris anggota, 40 pilihan Kadus/RT/jabatan/TPS,</t>
  </si>
  <si>
    <t xml:space="preserve">20 Kadus dan 20 RT pada matriks REKAP, 150 baris hasil pada CARI dan VALIDASI,</t>
  </si>
  <si>
    <t xml:space="preserve">25 nama per halaman pada CETAK dan ABSENSI, 8 kartu per halaman pada KARTU.</t>
  </si>
  <si>
    <t xml:space="preserve">Sisa kapasitas terlihat di sheet MENU dan pojok kanan atas sheet DATABASE.</t>
  </si>
  <si>
    <t xml:space="preserve">J.  MENAMBAH TOMBOL MAKRO — OPSIONAL</t>
  </si>
  <si>
    <t xml:space="preserve">Tombol pada aplikasi ini memakai hyperlink sehingga aman dibuka di HP maupun</t>
  </si>
  <si>
    <t xml:space="preserve">komputer tanpa peringatan keamanan. Bila ingin tombol SIMPAN dan FILTER otomatis:</t>
  </si>
  <si>
    <t xml:space="preserve">1.  File &gt; Save As &gt; pilih tipe Excel Macro-Enabled Workbook (*.xlsm).</t>
  </si>
  <si>
    <t xml:space="preserve">2.  Tekan Alt+F11 &gt; menu Insert &gt; Module &gt; tempel kode di bawah ini.</t>
  </si>
  <si>
    <t xml:space="preserve">3.  Kembali ke Excel &gt; tab Developer &gt; Insert &gt; Button (Form Control),</t>
  </si>
  <si>
    <t xml:space="preserve">     gambar tombol pada sheet MENU, lalu pilih nama makronya.</t>
  </si>
  <si>
    <t xml:space="preserve">Sub SimpanData()</t>
  </si>
  <si>
    <t xml:space="preserve">    ThisWorkbook.Save</t>
  </si>
  <si>
    <t xml:space="preserve">    MsgBox "Data berhasil disimpan.", vbInformation, "Team Pemenangan"</t>
  </si>
  <si>
    <t xml:space="preserve">End Sub</t>
  </si>
  <si>
    <t xml:space="preserve">Sub TampilkanPerKorwil()</t>
  </si>
  <si>
    <t xml:space="preserve">    Dim k As String</t>
  </si>
  <si>
    <t xml:space="preserve">    k = InputBox("Ketik KORWIL, contoh: Kadus I - RT 001")</t>
  </si>
  <si>
    <t xml:space="preserve">    If k = "" Then Exit Sub</t>
  </si>
  <si>
    <t xml:space="preserve">    Sheets("DATABASE").Activate</t>
  </si>
  <si>
    <t xml:space="preserve">    Sheets("DATABASE").ListObjects("tblAnggota").Range.AutoFilter _</t>
  </si>
  <si>
    <t xml:space="preserve">        Field:=7, Criteria1:=k</t>
  </si>
  <si>
    <t xml:space="preserve">Sub TampilkanSemua()</t>
  </si>
  <si>
    <t xml:space="preserve">    Sheets("DATABASE").ListObjects("tblAnggota").Range.AutoFilter Field:=7</t>
  </si>
  <si>
    <t xml:space="preserve">K.  CONTOH FORMAT PENGISIAN SHEET DATABASE</t>
  </si>
  <si>
    <t xml:space="preserve">KOLOM</t>
  </si>
  <si>
    <t xml:space="preserve">CONTOH ISI</t>
  </si>
  <si>
    <t xml:space="preserve">KETERANGAN</t>
  </si>
  <si>
    <t xml:space="preserve">BUDI SANTOSO</t>
  </si>
  <si>
    <t xml:space="preserve">huruf kapital, sesuai KTP</t>
  </si>
  <si>
    <t xml:space="preserve">NIK (16 digit)</t>
  </si>
  <si>
    <t xml:space="preserve">3201011203800001</t>
  </si>
  <si>
    <t xml:space="preserve">16 angka, tanpa spasi</t>
  </si>
  <si>
    <t xml:space="preserve">L</t>
  </si>
  <si>
    <t xml:space="preserve">pilih L atau P dari dropdown</t>
  </si>
  <si>
    <t xml:space="preserve">Kadus I</t>
  </si>
  <si>
    <t xml:space="preserve">pilih dari dropdown</t>
  </si>
  <si>
    <t xml:space="preserve">pilih dari dropdown, 3 angka</t>
  </si>
  <si>
    <t xml:space="preserve">Kadus I - RT 001</t>
  </si>
  <si>
    <t xml:space="preserve">terisi otomatis, jangan diketik</t>
  </si>
  <si>
    <t xml:space="preserve">081234567890</t>
  </si>
  <si>
    <t xml:space="preserve">boleh diawali angka 0</t>
  </si>
  <si>
    <t xml:space="preserve">dekat masjid</t>
  </si>
  <si>
    <t xml:space="preserve">keterangan tambahan, boleh kosong</t>
  </si>
  <si>
    <t xml:space="preserve">pilih dari dropdown, 01 sampai 20</t>
  </si>
  <si>
    <t xml:space="preserve">12/03/1980</t>
  </si>
  <si>
    <t xml:space="preserve">format hh/bb/tttt</t>
  </si>
  <si>
    <t xml:space="preserve">45</t>
  </si>
  <si>
    <t xml:space="preserve">terisi otomatis dari tanggal lahir</t>
  </si>
  <si>
    <t xml:space="preserve">terisi otomatis</t>
  </si>
  <si>
    <t xml:space="preserve">Aktif / Calon / Nonaktif</t>
  </si>
  <si>
    <t xml:space="preserve">01/02/2026</t>
  </si>
  <si>
    <t xml:space="preserve">tanggal mulai bergabung</t>
  </si>
  <si>
    <t xml:space="preserve">nama anggota yang merekrut</t>
  </si>
  <si>
    <t xml:space="preserve">koordinator TPS 01</t>
  </si>
  <si>
    <t xml:space="preserve">catatan bebas</t>
  </si>
  <si>
    <t xml:space="preserve">Baris di atas hanya contoh format — bukan data anggota. Jangan disalin ke sheet DATABASE.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</si>
</sst>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@"/>
    <numFmt numFmtId="167" formatCode="0.0%"/>
    <numFmt numFmtId="168" formatCode="General"/>
    <numFmt numFmtId="169" formatCode="dd/mm/yyyy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u val="single"/>
      <sz val="10"/>
      <color rgb="FF2E75B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375623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808080"/>
      <name val="Arial"/>
      <family val="0"/>
      <charset val="1"/>
    </font>
    <font>
      <sz val="8"/>
      <color rgb="FF595959"/>
      <name val="Arial"/>
      <family val="0"/>
      <charset val="1"/>
    </font>
    <font>
      <sz val="8"/>
      <color rgb="FF80808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9"/>
      <color rgb="FF1F4E79"/>
      <name val="Consolas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EDF3F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4F2ED"/>
      </patternFill>
    </fill>
    <fill>
      <patternFill patternType="solid">
        <fgColor rgb="FFF4F2ED"/>
        <bgColor rgb="FFF2F2F2"/>
      </patternFill>
    </fill>
    <fill>
      <patternFill patternType="solid">
        <fgColor rgb="FFFFF6D5"/>
        <bgColor rgb="FFFFF2CC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FF6D5"/>
      </patternFill>
    </fill>
    <fill>
      <patternFill patternType="solid">
        <fgColor rgb="FFE2EFDA"/>
        <bgColor rgb="FFF4F2ED"/>
      </patternFill>
    </fill>
    <fill>
      <patternFill patternType="solid">
        <fgColor rgb="FFFFC7CE"/>
        <bgColor rgb="FFD9D9D9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BE72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8A2E"/>
      </bottom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8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5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8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0" fillId="8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Arial"/>
        <charset val="1"/>
        <family val="0"/>
        <b val="1"/>
        <color rgb="FFC00000"/>
        <sz val="11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i val="1"/>
        <color rgb="FF808080"/>
        <sz val="10"/>
      </font>
    </dxf>
    <dxf>
      <font>
        <name val="Arial"/>
        <charset val="1"/>
        <family val="0"/>
        <b val="1"/>
        <color rgb="FF375623"/>
        <sz val="1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8A2E"/>
      <rgbColor rgb="FF800080"/>
      <rgbColor rgb="FF008080"/>
      <rgbColor rgb="FFBFBFBF"/>
      <rgbColor rgb="FF808080"/>
      <rgbColor rgb="FF9999FF"/>
      <rgbColor rgb="FFC0504D"/>
      <rgbColor rgb="FFFFF6D5"/>
      <rgbColor rgb="FFEDF3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F4F2ED"/>
      <rgbColor rgb="FFFF99CC"/>
      <rgbColor rgb="FFCC99FF"/>
      <rgbColor rgb="FFFFC7CE"/>
      <rgbColor rgb="FF2E75B6"/>
      <rgbColor rgb="FF33CCCC"/>
      <rgbColor rgb="FF99CC00"/>
      <rgbColor rgb="FFE0BE72"/>
      <rgbColor rgb="FFFF9900"/>
      <rgbColor rgb="FFFF6600"/>
      <rgbColor rgb="FF6B6B6B"/>
      <rgbColor rgb="FF878787"/>
      <rgbColor rgb="FF1F3864"/>
      <rgbColor rgb="FF4F81BD"/>
      <rgbColor rgb="FF003300"/>
      <rgbColor rgb="FF375623"/>
      <rgbColor rgb="FF993300"/>
      <rgbColor rgb="FF595959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Jumlah Anggota per Kadus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REKAP!$B$6:$B$25</c:f>
              <c:strCache>
                <c:ptCount val="20"/>
                <c:pt idx="0">
                  <c:v>Kp. Gamprit</c:v>
                </c:pt>
                <c:pt idx="1">
                  <c:v>Kp. Kuda Kuda</c:v>
                </c:pt>
                <c:pt idx="2">
                  <c:v>Kp. Wangkal</c:v>
                </c:pt>
                <c:pt idx="3">
                  <c:v>Kp. Tenjolaut</c:v>
                </c:pt>
                <c:pt idx="4">
                  <c:v>Kp. Putri Melintang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REKAP!$W$6:$W$25</c:f>
              <c:numCache>
                <c:formatCode>General</c:formatCode>
                <c:ptCount val="20"/>
                <c:pt idx="0">
                  <c:v>18</c:v>
                </c:pt>
                <c:pt idx="1">
                  <c:v>11</c:v>
                </c:pt>
                <c:pt idx="2">
                  <c:v>10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57957471"/>
        <c:axId val="80803050"/>
      </c:barChart>
      <c:catAx>
        <c:axId val="5795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03050"/>
        <c:crosses val="autoZero"/>
        <c:auto val="1"/>
        <c:lblAlgn val="ctr"/>
        <c:lblOffset val="100"/>
        <c:noMultiLvlLbl val="0"/>
      </c:catAx>
      <c:valAx>
        <c:axId val="808030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574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Komposisi Laki-laki / Perempuan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REKAP!$C$29:$D$29</c:f>
              <c:strCache>
                <c:ptCount val="2"/>
                <c:pt idx="0">
                  <c:v>LAKI-LAKI</c:v>
                </c:pt>
                <c:pt idx="1">
                  <c:v>PEREMPUAN</c:v>
                </c:pt>
              </c:strCache>
            </c:strRef>
          </c:cat>
          <c:val>
            <c:numRef>
              <c:f>REKAP!$C$50:$D$50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Target vs Realisasi per Kadus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TARGET!C5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TARGET!$B$6:$B$25</c:f>
              <c:strCache>
                <c:ptCount val="20"/>
                <c:pt idx="0">
                  <c:v>Kp. Gamprit</c:v>
                </c:pt>
                <c:pt idx="1">
                  <c:v>Kp. Kuda Kuda</c:v>
                </c:pt>
                <c:pt idx="2">
                  <c:v>Kp. Wangkal</c:v>
                </c:pt>
                <c:pt idx="3">
                  <c:v>Kp. Tenjolaut</c:v>
                </c:pt>
                <c:pt idx="4">
                  <c:v>Kp. Putri Melintang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TARGET!$C$6:$C$25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TARGET!D5</c:f>
              <c:strCache>
                <c:ptCount val="1"/>
                <c:pt idx="0">
                  <c:v>REALISASI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TARGET!$B$6:$B$25</c:f>
              <c:strCache>
                <c:ptCount val="20"/>
                <c:pt idx="0">
                  <c:v>Kp. Gamprit</c:v>
                </c:pt>
                <c:pt idx="1">
                  <c:v>Kp. Kuda Kuda</c:v>
                </c:pt>
                <c:pt idx="2">
                  <c:v>Kp. Wangkal</c:v>
                </c:pt>
                <c:pt idx="3">
                  <c:v>Kp. Tenjolaut</c:v>
                </c:pt>
                <c:pt idx="4">
                  <c:v>Kp. Putri Melintang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TARGET!$D$6:$D$25</c:f>
              <c:numCache>
                <c:formatCode>#,##0</c:formatCode>
                <c:ptCount val="20"/>
                <c:pt idx="0">
                  <c:v>18</c:v>
                </c:pt>
                <c:pt idx="1">
                  <c:v>11</c:v>
                </c:pt>
                <c:pt idx="2">
                  <c:v>10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91446901"/>
        <c:axId val="23073841"/>
      </c:barChart>
      <c:catAx>
        <c:axId val="914469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73841"/>
        <c:crosses val="autoZero"/>
        <c:auto val="1"/>
        <c:lblAlgn val="ctr"/>
        <c:lblOffset val="100"/>
        <c:noMultiLvlLbl val="0"/>
      </c:catAx>
      <c:valAx>
        <c:axId val="230738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469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1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190440</xdr:rowOff>
    </xdr:from>
    <xdr:to>
      <xdr:col>8</xdr:col>
      <xdr:colOff>1428480</xdr:colOff>
      <xdr:row>8</xdr:row>
      <xdr:rowOff>48600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9156600" y="380880"/>
          <a:ext cx="1428480" cy="1428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126</xdr:row>
      <xdr:rowOff>0</xdr:rowOff>
    </xdr:from>
    <xdr:to>
      <xdr:col>7</xdr:col>
      <xdr:colOff>292320</xdr:colOff>
      <xdr:row>140</xdr:row>
      <xdr:rowOff>32760</xdr:rowOff>
    </xdr:to>
    <xdr:graphicFrame>
      <xdr:nvGraphicFramePr>
        <xdr:cNvPr id="1" name="Chart 1"/>
        <xdr:cNvGraphicFramePr/>
      </xdr:nvGraphicFramePr>
      <xdr:xfrm>
        <a:off x="177840" y="244792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126</xdr:row>
      <xdr:rowOff>0</xdr:rowOff>
    </xdr:from>
    <xdr:to>
      <xdr:col>16</xdr:col>
      <xdr:colOff>266040</xdr:colOff>
      <xdr:row>140</xdr:row>
      <xdr:rowOff>32760</xdr:rowOff>
    </xdr:to>
    <xdr:graphicFrame>
      <xdr:nvGraphicFramePr>
        <xdr:cNvPr id="2" name="Chart 2"/>
        <xdr:cNvGraphicFramePr/>
      </xdr:nvGraphicFramePr>
      <xdr:xfrm>
        <a:off x="8712360" y="24479280"/>
        <a:ext cx="35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34</xdr:row>
      <xdr:rowOff>0</xdr:rowOff>
    </xdr:from>
    <xdr:to>
      <xdr:col>6</xdr:col>
      <xdr:colOff>78840</xdr:colOff>
      <xdr:row>52</xdr:row>
      <xdr:rowOff>170640</xdr:rowOff>
    </xdr:to>
    <xdr:graphicFrame>
      <xdr:nvGraphicFramePr>
        <xdr:cNvPr id="3" name="Chart 1"/>
        <xdr:cNvGraphicFramePr/>
      </xdr:nvGraphicFramePr>
      <xdr:xfrm>
        <a:off x="177840" y="66675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</xdr:col>
      <xdr:colOff>482040</xdr:colOff>
      <xdr:row>4</xdr:row>
      <xdr:rowOff>176760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190440"/>
          <a:ext cx="837720" cy="837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57240</xdr:colOff>
      <xdr:row>5</xdr:row>
      <xdr:rowOff>38160</xdr:rowOff>
    </xdr:from>
    <xdr:to>
      <xdr:col>1</xdr:col>
      <xdr:colOff>647280</xdr:colOff>
      <xdr:row>7</xdr:row>
      <xdr:rowOff>209160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235080" y="1200240"/>
          <a:ext cx="5900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57240</xdr:colOff>
      <xdr:row>5</xdr:row>
      <xdr:rowOff>38160</xdr:rowOff>
    </xdr:from>
    <xdr:to>
      <xdr:col>5</xdr:col>
      <xdr:colOff>647280</xdr:colOff>
      <xdr:row>7</xdr:row>
      <xdr:rowOff>209160</xdr:rowOff>
    </xdr:to>
    <xdr:pic>
      <xdr:nvPicPr>
        <xdr:cNvPr id="6" name="Image 2" descr="Picture"/>
        <xdr:cNvPicPr/>
      </xdr:nvPicPr>
      <xdr:blipFill>
        <a:blip r:embed="rId2"/>
        <a:stretch/>
      </xdr:blipFill>
      <xdr:spPr>
        <a:xfrm>
          <a:off x="4413240" y="1200240"/>
          <a:ext cx="5900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57240</xdr:colOff>
      <xdr:row>13</xdr:row>
      <xdr:rowOff>38160</xdr:rowOff>
    </xdr:from>
    <xdr:to>
      <xdr:col>1</xdr:col>
      <xdr:colOff>647280</xdr:colOff>
      <xdr:row>15</xdr:row>
      <xdr:rowOff>209160</xdr:rowOff>
    </xdr:to>
    <xdr:pic>
      <xdr:nvPicPr>
        <xdr:cNvPr id="7" name="Image 3" descr="Picture"/>
        <xdr:cNvPicPr/>
      </xdr:nvPicPr>
      <xdr:blipFill>
        <a:blip r:embed="rId3"/>
        <a:stretch/>
      </xdr:blipFill>
      <xdr:spPr>
        <a:xfrm>
          <a:off x="235080" y="2876760"/>
          <a:ext cx="5900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57240</xdr:colOff>
      <xdr:row>13</xdr:row>
      <xdr:rowOff>38160</xdr:rowOff>
    </xdr:from>
    <xdr:to>
      <xdr:col>5</xdr:col>
      <xdr:colOff>647280</xdr:colOff>
      <xdr:row>15</xdr:row>
      <xdr:rowOff>209160</xdr:rowOff>
    </xdr:to>
    <xdr:pic>
      <xdr:nvPicPr>
        <xdr:cNvPr id="8" name="Image 4" descr="Picture"/>
        <xdr:cNvPicPr/>
      </xdr:nvPicPr>
      <xdr:blipFill>
        <a:blip r:embed="rId4"/>
        <a:stretch/>
      </xdr:blipFill>
      <xdr:spPr>
        <a:xfrm>
          <a:off x="4413240" y="2876760"/>
          <a:ext cx="5900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57240</xdr:colOff>
      <xdr:row>21</xdr:row>
      <xdr:rowOff>38160</xdr:rowOff>
    </xdr:from>
    <xdr:to>
      <xdr:col>1</xdr:col>
      <xdr:colOff>647280</xdr:colOff>
      <xdr:row>23</xdr:row>
      <xdr:rowOff>209160</xdr:rowOff>
    </xdr:to>
    <xdr:pic>
      <xdr:nvPicPr>
        <xdr:cNvPr id="9" name="Image 5" descr="Picture"/>
        <xdr:cNvPicPr/>
      </xdr:nvPicPr>
      <xdr:blipFill>
        <a:blip r:embed="rId5"/>
        <a:stretch/>
      </xdr:blipFill>
      <xdr:spPr>
        <a:xfrm>
          <a:off x="235080" y="4552920"/>
          <a:ext cx="5900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57240</xdr:colOff>
      <xdr:row>21</xdr:row>
      <xdr:rowOff>38160</xdr:rowOff>
    </xdr:from>
    <xdr:to>
      <xdr:col>5</xdr:col>
      <xdr:colOff>647280</xdr:colOff>
      <xdr:row>23</xdr:row>
      <xdr:rowOff>209160</xdr:rowOff>
    </xdr:to>
    <xdr:pic>
      <xdr:nvPicPr>
        <xdr:cNvPr id="10" name="Image 6" descr="Picture"/>
        <xdr:cNvPicPr/>
      </xdr:nvPicPr>
      <xdr:blipFill>
        <a:blip r:embed="rId6"/>
        <a:stretch/>
      </xdr:blipFill>
      <xdr:spPr>
        <a:xfrm>
          <a:off x="4413240" y="4552920"/>
          <a:ext cx="5900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57240</xdr:colOff>
      <xdr:row>29</xdr:row>
      <xdr:rowOff>38160</xdr:rowOff>
    </xdr:from>
    <xdr:to>
      <xdr:col>1</xdr:col>
      <xdr:colOff>647280</xdr:colOff>
      <xdr:row>31</xdr:row>
      <xdr:rowOff>209160</xdr:rowOff>
    </xdr:to>
    <xdr:pic>
      <xdr:nvPicPr>
        <xdr:cNvPr id="11" name="Image 7" descr="Picture"/>
        <xdr:cNvPicPr/>
      </xdr:nvPicPr>
      <xdr:blipFill>
        <a:blip r:embed="rId7"/>
        <a:stretch/>
      </xdr:blipFill>
      <xdr:spPr>
        <a:xfrm>
          <a:off x="235080" y="6229440"/>
          <a:ext cx="5900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57240</xdr:colOff>
      <xdr:row>29</xdr:row>
      <xdr:rowOff>38160</xdr:rowOff>
    </xdr:from>
    <xdr:to>
      <xdr:col>5</xdr:col>
      <xdr:colOff>647280</xdr:colOff>
      <xdr:row>31</xdr:row>
      <xdr:rowOff>209160</xdr:rowOff>
    </xdr:to>
    <xdr:pic>
      <xdr:nvPicPr>
        <xdr:cNvPr id="12" name="Image 8" descr="Picture"/>
        <xdr:cNvPicPr/>
      </xdr:nvPicPr>
      <xdr:blipFill>
        <a:blip r:embed="rId8"/>
        <a:stretch/>
      </xdr:blipFill>
      <xdr:spPr>
        <a:xfrm>
          <a:off x="4413240" y="6229440"/>
          <a:ext cx="59004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</xdr:col>
      <xdr:colOff>228240</xdr:colOff>
      <xdr:row>4</xdr:row>
      <xdr:rowOff>130680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0" y="190440"/>
          <a:ext cx="761760" cy="761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5</xdr:col>
      <xdr:colOff>1066680</xdr:colOff>
      <xdr:row>45</xdr:row>
      <xdr:rowOff>190080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177840" y="952560"/>
          <a:ext cx="5333760" cy="800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1904760</xdr:colOff>
      <xdr:row>13</xdr:row>
      <xdr:rowOff>190440</xdr:rowOff>
    </xdr:to>
    <xdr:pic>
      <xdr:nvPicPr>
        <xdr:cNvPr id="15" name="Image 2" descr="Picture"/>
        <xdr:cNvPicPr/>
      </xdr:nvPicPr>
      <xdr:blipFill>
        <a:blip r:embed="rId2"/>
        <a:stretch/>
      </xdr:blipFill>
      <xdr:spPr>
        <a:xfrm>
          <a:off x="5867280" y="952560"/>
          <a:ext cx="1904760" cy="1904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1904760</xdr:colOff>
      <xdr:row>28</xdr:row>
      <xdr:rowOff>171000</xdr:rowOff>
    </xdr:to>
    <xdr:pic>
      <xdr:nvPicPr>
        <xdr:cNvPr id="16" name="Image 3" descr="Picture"/>
        <xdr:cNvPicPr/>
      </xdr:nvPicPr>
      <xdr:blipFill>
        <a:blip r:embed="rId3"/>
        <a:stretch/>
      </xdr:blipFill>
      <xdr:spPr>
        <a:xfrm>
          <a:off x="5867280" y="3809880"/>
          <a:ext cx="1904760" cy="18856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blAnggota" displayName="tblAnggota" ref="A3:W2003" headerRowCount="1" totalsRowCount="0" totalsRowShown="0">
  <autoFilter ref="A3:W2003"/>
  <tableColumns count="23">
    <tableColumn id="1" name="NO"/>
    <tableColumn id="2" name="NAMA LENGKAP"/>
    <tableColumn id="3" name="NIK KTP (16 digit)"/>
    <tableColumn id="4" name="NO. KK (16 digit)"/>
    <tableColumn id="5" name="L/P"/>
    <tableColumn id="6" name="KAMPUNG"/>
    <tableColumn id="7" name="RT"/>
    <tableColumn id="8" name="RW"/>
    <tableColumn id="9" name="ALAMAT"/>
    <tableColumn id="10" name="NAMA RT"/>
    <tableColumn id="11" name="NAMA RW"/>
    <tableColumn id="12" name="NAMA KADUS"/>
    <tableColumn id="13" name="KORWIL"/>
    <tableColumn id="14" name="JABATAN"/>
    <tableColumn id="15" name="NO. HP"/>
    <tableColumn id="16" name="TPS"/>
    <tableColumn id="17" name="TGL LAHIR"/>
    <tableColumn id="18" name="USIA"/>
    <tableColumn id="19" name="KELOMPOK USIA"/>
    <tableColumn id="20" name="STATUS"/>
    <tableColumn id="21" name="TGL GABUNG"/>
    <tableColumn id="22" name="PEREKRUT"/>
    <tableColumn id="23" name="CATATA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I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4" min="3" style="0" width="3"/>
    <col collapsed="false" customWidth="true" hidden="false" outlineLevel="0" max="5" min="5" style="0" width="30"/>
    <col collapsed="false" customWidth="true" hidden="false" outlineLevel="0" max="7" min="6" style="0" width="12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0" min="10" style="0" width="10"/>
  </cols>
  <sheetData>
    <row r="2" customFormat="false" ht="24.45" hidden="false" customHeight="false" outlineLevel="0" collapsed="false">
      <c r="B2" s="1" t="str">
        <f aca="false">id_team</f>
        <v>TEAM PEMENANGAN JF JILID 3</v>
      </c>
      <c r="I2" s="2" t="str">
        <f aca="true">"Hari ini: "&amp;TEXT(TODAY(),"dd/mm/yyyy")</f>
        <v>Hari ini: 03/08/2026</v>
      </c>
    </row>
    <row r="3" customFormat="false" ht="19.7" hidden="false" customHeight="false" outlineLevel="0" collapsed="false">
      <c r="B3" s="3" t="str">
        <f aca="false">id_calon</f>
        <v>JONI FAHAMSYAH</v>
      </c>
    </row>
    <row r="4" customFormat="false" ht="15" hidden="false" customHeight="false" outlineLevel="0" collapsed="false">
      <c r="B4" s="4" t="str">
        <f aca="false">id_periode</f>
        <v>PERIODE 2026 S/D 2034</v>
      </c>
    </row>
    <row r="6" customFormat="false" ht="15" hidden="false" customHeight="false" outlineLevel="0" collapsed="false">
      <c r="B6" s="5" t="str">
        <f aca="false">"APLIKASI DATABASE ANGGOTA   •   DESA "&amp;id_desa</f>
        <v>APLIKASI DATABASE ANGGOTA   •   DESA SUKAKARYA</v>
      </c>
      <c r="C6" s="5"/>
      <c r="D6" s="5"/>
      <c r="E6" s="5"/>
      <c r="F6" s="5"/>
      <c r="G6" s="5"/>
    </row>
    <row r="8" customFormat="false" ht="19.5" hidden="false" customHeight="true" outlineLevel="0" collapsed="false">
      <c r="B8" s="6" t="s">
        <v>0</v>
      </c>
      <c r="C8" s="6"/>
      <c r="E8" s="5" t="s">
        <v>1</v>
      </c>
      <c r="F8" s="5"/>
      <c r="G8" s="5"/>
    </row>
    <row r="9" customFormat="false" ht="18.75" hidden="false" customHeight="true" outlineLevel="0" collapsed="false">
      <c r="B9" s="7" t="s">
        <v>2</v>
      </c>
      <c r="C9" s="8"/>
      <c r="E9" s="9" t="s">
        <v>3</v>
      </c>
      <c r="F9" s="10" t="n">
        <f aca="false">COUNTA(DATABASE!$B$4:$B$2003)</f>
        <v>52</v>
      </c>
      <c r="G9" s="10"/>
    </row>
    <row r="10" customFormat="false" ht="18.75" hidden="false" customHeight="true" outlineLevel="0" collapsed="false">
      <c r="B10" s="11" t="s">
        <v>4</v>
      </c>
      <c r="C10" s="12"/>
      <c r="E10" s="13" t="s">
        <v>5</v>
      </c>
      <c r="F10" s="14" t="n">
        <f aca="false">COUNTIF(DATABASE!$T$4:$T$2003,"Aktif")</f>
        <v>52</v>
      </c>
      <c r="G10" s="14"/>
    </row>
    <row r="11" customFormat="false" ht="18.75" hidden="false" customHeight="true" outlineLevel="0" collapsed="false">
      <c r="B11" s="7" t="s">
        <v>6</v>
      </c>
      <c r="C11" s="8"/>
      <c r="E11" s="9" t="s">
        <v>7</v>
      </c>
      <c r="F11" s="15" t="str">
        <f aca="false">COUNTIF(DATABASE!$E$4:$E$2003,"L")&amp;"  /  "&amp;COUNTIF(DATABASE!$E$4:$E$2003,"P")</f>
        <v>0  /  0</v>
      </c>
      <c r="G11" s="15"/>
    </row>
    <row r="12" customFormat="false" ht="18.75" hidden="false" customHeight="true" outlineLevel="0" collapsed="false">
      <c r="B12" s="11" t="s">
        <v>8</v>
      </c>
      <c r="C12" s="12"/>
      <c r="E12" s="13" t="s">
        <v>9</v>
      </c>
      <c r="F12" s="14" t="n">
        <f aca="false">SUMPRODUCT((COUNTIF(DATABASE!$F$4:$F$2003,REFERENSI!$B$6:$B$45)&gt;0)*(REFERENSI!$B$6:$B$45&lt;&gt;""))</f>
        <v>5</v>
      </c>
      <c r="G12" s="14"/>
    </row>
    <row r="13" customFormat="false" ht="18.75" hidden="false" customHeight="true" outlineLevel="0" collapsed="false">
      <c r="B13" s="7" t="s">
        <v>10</v>
      </c>
      <c r="C13" s="8"/>
      <c r="E13" s="9" t="s">
        <v>11</v>
      </c>
      <c r="F13" s="10" t="n">
        <f aca="false">SUMPRODUCT((COUNTIF(DATABASE!$G$4:$G$2003,REFERENSI!$D$6:$D$45)&gt;0)*(REFERENSI!$D$6:$D$45&lt;&gt;""))</f>
        <v>5</v>
      </c>
      <c r="G13" s="10"/>
    </row>
    <row r="14" customFormat="false" ht="18.75" hidden="false" customHeight="true" outlineLevel="0" collapsed="false">
      <c r="B14" s="11" t="s">
        <v>12</v>
      </c>
      <c r="C14" s="12"/>
      <c r="E14" s="13" t="s">
        <v>13</v>
      </c>
      <c r="F14" s="14" t="str">
        <f aca="false">IFERROR(ROUND(AVERAGE(DATABASE!$R$4:$R$2003),0),"-")</f>
        <v>-</v>
      </c>
      <c r="G14" s="14"/>
    </row>
    <row r="15" customFormat="false" ht="18.75" hidden="false" customHeight="true" outlineLevel="0" collapsed="false">
      <c r="B15" s="7" t="s">
        <v>14</v>
      </c>
      <c r="C15" s="8"/>
      <c r="E15" s="9" t="s">
        <v>15</v>
      </c>
      <c r="F15" s="10" t="n">
        <f aca="false">SUM(REFERENSI!$C$6:$C$45)</f>
        <v>0</v>
      </c>
      <c r="G15" s="10"/>
    </row>
    <row r="16" customFormat="false" ht="18.75" hidden="false" customHeight="true" outlineLevel="0" collapsed="false">
      <c r="B16" s="11" t="s">
        <v>16</v>
      </c>
      <c r="C16" s="12"/>
      <c r="E16" s="13" t="s">
        <v>17</v>
      </c>
      <c r="F16" s="16" t="str">
        <f aca="false">IFERROR(COUNTA(DATABASE!$B$4:$B$2003)/SUM(REFERENSI!$C$6:$C$45),"-")</f>
        <v>-</v>
      </c>
      <c r="G16" s="16"/>
    </row>
    <row r="17" customFormat="false" ht="18.75" hidden="false" customHeight="true" outlineLevel="0" collapsed="false">
      <c r="B17" s="7" t="s">
        <v>18</v>
      </c>
      <c r="C17" s="8"/>
      <c r="E17" s="9" t="s">
        <v>19</v>
      </c>
      <c r="F17" s="10" t="n">
        <f aca="false">COUNT(DATABASE!$AA$4:$AA$2003)</f>
        <v>52</v>
      </c>
      <c r="G17" s="10"/>
    </row>
    <row r="18" customFormat="false" ht="18.75" hidden="false" customHeight="true" outlineLevel="0" collapsed="false">
      <c r="B18" s="11" t="s">
        <v>20</v>
      </c>
      <c r="C18" s="12"/>
      <c r="E18" s="13" t="s">
        <v>21</v>
      </c>
      <c r="F18" s="14" t="n">
        <f aca="false">2000-COUNTA(DATABASE!$B$4:$B$2003)</f>
        <v>1948</v>
      </c>
      <c r="G18" s="14"/>
    </row>
    <row r="19" customFormat="false" ht="18.75" hidden="false" customHeight="true" outlineLevel="0" collapsed="false">
      <c r="B19" s="7" t="s">
        <v>22</v>
      </c>
      <c r="C19" s="8"/>
    </row>
    <row r="21" customFormat="false" ht="19.5" hidden="false" customHeight="true" outlineLevel="0" collapsed="false">
      <c r="B21" s="6" t="s">
        <v>23</v>
      </c>
      <c r="C21" s="6"/>
      <c r="D21" s="6"/>
      <c r="E21" s="6"/>
      <c r="F21" s="6"/>
      <c r="G21" s="6"/>
    </row>
    <row r="22" customFormat="false" ht="21.75" hidden="false" customHeight="true" outlineLevel="0" collapsed="false">
      <c r="B22" s="17" t="s">
        <v>24</v>
      </c>
      <c r="C22" s="17"/>
      <c r="D22" s="17"/>
      <c r="E22" s="17" t="s">
        <v>25</v>
      </c>
      <c r="F22" s="17" t="s">
        <v>26</v>
      </c>
      <c r="G22" s="17" t="s">
        <v>27</v>
      </c>
    </row>
    <row r="23" customFormat="false" ht="15" hidden="false" customHeight="false" outlineLevel="0" collapsed="false">
      <c r="B23" s="9" t="str">
        <f aca="true">IFERROR(INDEX(daftar_kampung,1),"")</f>
        <v>Kp. Gamprit</v>
      </c>
      <c r="C23" s="9"/>
      <c r="D23" s="9"/>
      <c r="E23" s="18" t="n">
        <f aca="false">IF($B23="","",COUNTIF(DATABASE!$F$4:$F$2003,$B23))</f>
        <v>18</v>
      </c>
      <c r="F23" s="19" t="n">
        <f aca="false">IF($B23="","",IFERROR(INDEX(REFERENSI!$C$6:$C$45,1),0))</f>
        <v>0</v>
      </c>
      <c r="G23" s="20" t="str">
        <f aca="false">IF(OR($B23="",$F23=0),"",$E23/$F23)</f>
        <v/>
      </c>
    </row>
    <row r="24" customFormat="false" ht="15" hidden="false" customHeight="false" outlineLevel="0" collapsed="false">
      <c r="B24" s="13" t="str">
        <f aca="true">IFERROR(INDEX(daftar_kampung,2),"")</f>
        <v>Kp. Kuda Kuda</v>
      </c>
      <c r="C24" s="13"/>
      <c r="D24" s="13"/>
      <c r="E24" s="21" t="n">
        <f aca="false">IF($B24="","",COUNTIF(DATABASE!$F$4:$F$2003,$B24))</f>
        <v>11</v>
      </c>
      <c r="F24" s="22" t="n">
        <f aca="false">IF($B24="","",IFERROR(INDEX(REFERENSI!$C$6:$C$45,2),0))</f>
        <v>0</v>
      </c>
      <c r="G24" s="23" t="str">
        <f aca="false">IF(OR($B24="",$F24=0),"",$E24/$F24)</f>
        <v/>
      </c>
    </row>
    <row r="25" customFormat="false" ht="15" hidden="false" customHeight="false" outlineLevel="0" collapsed="false">
      <c r="B25" s="9" t="str">
        <f aca="true">IFERROR(INDEX(daftar_kampung,3),"")</f>
        <v>Kp. Wangkal</v>
      </c>
      <c r="C25" s="9"/>
      <c r="D25" s="9"/>
      <c r="E25" s="18" t="n">
        <f aca="false">IF($B25="","",COUNTIF(DATABASE!$F$4:$F$2003,$B25))</f>
        <v>10</v>
      </c>
      <c r="F25" s="19" t="n">
        <f aca="false">IF($B25="","",IFERROR(INDEX(REFERENSI!$C$6:$C$45,3),0))</f>
        <v>0</v>
      </c>
      <c r="G25" s="20" t="str">
        <f aca="false">IF(OR($B25="",$F25=0),"",$E25/$F25)</f>
        <v/>
      </c>
    </row>
    <row r="26" customFormat="false" ht="15" hidden="false" customHeight="false" outlineLevel="0" collapsed="false">
      <c r="B26" s="13" t="str">
        <f aca="true">IFERROR(INDEX(daftar_kampung,4),"")</f>
        <v>Kp. Tenjolaut</v>
      </c>
      <c r="C26" s="13"/>
      <c r="D26" s="13"/>
      <c r="E26" s="21" t="n">
        <f aca="false">IF($B26="","",COUNTIF(DATABASE!$F$4:$F$2003,$B26))</f>
        <v>2</v>
      </c>
      <c r="F26" s="22" t="n">
        <f aca="false">IF($B26="","",IFERROR(INDEX(REFERENSI!$C$6:$C$45,4),0))</f>
        <v>0</v>
      </c>
      <c r="G26" s="23" t="str">
        <f aca="false">IF(OR($B26="",$F26=0),"",$E26/$F26)</f>
        <v/>
      </c>
    </row>
    <row r="27" customFormat="false" ht="15" hidden="false" customHeight="false" outlineLevel="0" collapsed="false">
      <c r="B27" s="9" t="str">
        <f aca="true">IFERROR(INDEX(daftar_kampung,5),"")</f>
        <v>Kp. Putri Melintang</v>
      </c>
      <c r="C27" s="9"/>
      <c r="D27" s="9"/>
      <c r="E27" s="18" t="n">
        <f aca="false">IF($B27="","",COUNTIF(DATABASE!$F$4:$F$2003,$B27))</f>
        <v>1</v>
      </c>
      <c r="F27" s="19" t="n">
        <f aca="false">IF($B27="","",IFERROR(INDEX(REFERENSI!$C$6:$C$45,5),0))</f>
        <v>0</v>
      </c>
      <c r="G27" s="20" t="str">
        <f aca="false">IF(OR($B27="",$F27=0),"",$E27/$F27)</f>
        <v/>
      </c>
    </row>
    <row r="28" customFormat="false" ht="15" hidden="false" customHeight="false" outlineLevel="0" collapsed="false">
      <c r="B28" s="13" t="str">
        <f aca="true">IFERROR(INDEX(daftar_kampung,6),"")</f>
        <v/>
      </c>
      <c r="C28" s="13"/>
      <c r="D28" s="13"/>
      <c r="E28" s="21" t="str">
        <f aca="false">IF($B28="","",COUNTIF(DATABASE!$F$4:$F$2003,$B28))</f>
        <v/>
      </c>
      <c r="F28" s="22" t="str">
        <f aca="false">IF($B28="","",IFERROR(INDEX(REFERENSI!$C$6:$C$45,6),0))</f>
        <v/>
      </c>
      <c r="G28" s="23" t="str">
        <f aca="false">IF(OR($B28="",$F28=0),"",$E28/$F28)</f>
        <v/>
      </c>
    </row>
    <row r="29" customFormat="false" ht="15" hidden="false" customHeight="false" outlineLevel="0" collapsed="false">
      <c r="B29" s="9" t="str">
        <f aca="true">IFERROR(INDEX(daftar_kampung,7),"")</f>
        <v/>
      </c>
      <c r="C29" s="9"/>
      <c r="D29" s="9"/>
      <c r="E29" s="18" t="str">
        <f aca="false">IF($B29="","",COUNTIF(DATABASE!$F$4:$F$2003,$B29))</f>
        <v/>
      </c>
      <c r="F29" s="19" t="str">
        <f aca="false">IF($B29="","",IFERROR(INDEX(REFERENSI!$C$6:$C$45,7),0))</f>
        <v/>
      </c>
      <c r="G29" s="20" t="str">
        <f aca="false">IF(OR($B29="",$F29=0),"",$E29/$F29)</f>
        <v/>
      </c>
    </row>
    <row r="30" customFormat="false" ht="15" hidden="false" customHeight="false" outlineLevel="0" collapsed="false">
      <c r="B30" s="13" t="str">
        <f aca="true">IFERROR(INDEX(daftar_kampung,8),"")</f>
        <v/>
      </c>
      <c r="C30" s="13"/>
      <c r="D30" s="13"/>
      <c r="E30" s="21" t="str">
        <f aca="false">IF($B30="","",COUNTIF(DATABASE!$F$4:$F$2003,$B30))</f>
        <v/>
      </c>
      <c r="F30" s="22" t="str">
        <f aca="false">IF($B30="","",IFERROR(INDEX(REFERENSI!$C$6:$C$45,8),0))</f>
        <v/>
      </c>
      <c r="G30" s="23" t="str">
        <f aca="false">IF(OR($B30="",$F30=0),"",$E30/$F30)</f>
        <v/>
      </c>
    </row>
    <row r="31" customFormat="false" ht="15" hidden="false" customHeight="false" outlineLevel="0" collapsed="false">
      <c r="B31" s="9" t="str">
        <f aca="true">IFERROR(INDEX(daftar_kampung,9),"")</f>
        <v/>
      </c>
      <c r="C31" s="9"/>
      <c r="D31" s="9"/>
      <c r="E31" s="18" t="str">
        <f aca="false">IF($B31="","",COUNTIF(DATABASE!$F$4:$F$2003,$B31))</f>
        <v/>
      </c>
      <c r="F31" s="19" t="str">
        <f aca="false">IF($B31="","",IFERROR(INDEX(REFERENSI!$C$6:$C$45,9),0))</f>
        <v/>
      </c>
      <c r="G31" s="20" t="str">
        <f aca="false">IF(OR($B31="",$F31=0),"",$E31/$F31)</f>
        <v/>
      </c>
    </row>
    <row r="32" customFormat="false" ht="15" hidden="false" customHeight="false" outlineLevel="0" collapsed="false">
      <c r="B32" s="13" t="str">
        <f aca="true">IFERROR(INDEX(daftar_kampung,10),"")</f>
        <v/>
      </c>
      <c r="C32" s="13"/>
      <c r="D32" s="13"/>
      <c r="E32" s="21" t="str">
        <f aca="false">IF($B32="","",COUNTIF(DATABASE!$F$4:$F$2003,$B32))</f>
        <v/>
      </c>
      <c r="F32" s="22" t="str">
        <f aca="false">IF($B32="","",IFERROR(INDEX(REFERENSI!$C$6:$C$45,10),0))</f>
        <v/>
      </c>
      <c r="G32" s="23" t="str">
        <f aca="false">IF(OR($B32="",$F32=0),"",$E32/$F32)</f>
        <v/>
      </c>
    </row>
    <row r="33" customFormat="false" ht="15" hidden="false" customHeight="false" outlineLevel="0" collapsed="false">
      <c r="B33" s="9" t="str">
        <f aca="true">IFERROR(INDEX(daftar_kampung,11),"")</f>
        <v/>
      </c>
      <c r="C33" s="9"/>
      <c r="D33" s="9"/>
      <c r="E33" s="18" t="str">
        <f aca="false">IF($B33="","",COUNTIF(DATABASE!$F$4:$F$2003,$B33))</f>
        <v/>
      </c>
      <c r="F33" s="19" t="str">
        <f aca="false">IF($B33="","",IFERROR(INDEX(REFERENSI!$C$6:$C$45,11),0))</f>
        <v/>
      </c>
      <c r="G33" s="20" t="str">
        <f aca="false">IF(OR($B33="",$F33=0),"",$E33/$F33)</f>
        <v/>
      </c>
    </row>
    <row r="34" customFormat="false" ht="15" hidden="false" customHeight="false" outlineLevel="0" collapsed="false">
      <c r="B34" s="13" t="str">
        <f aca="true">IFERROR(INDEX(daftar_kampung,12),"")</f>
        <v/>
      </c>
      <c r="C34" s="13"/>
      <c r="D34" s="13"/>
      <c r="E34" s="21" t="str">
        <f aca="false">IF($B34="","",COUNTIF(DATABASE!$F$4:$F$2003,$B34))</f>
        <v/>
      </c>
      <c r="F34" s="22" t="str">
        <f aca="false">IF($B34="","",IFERROR(INDEX(REFERENSI!$C$6:$C$45,12),0))</f>
        <v/>
      </c>
      <c r="G34" s="23" t="str">
        <f aca="false">IF(OR($B34="",$F34=0),"",$E34/$F34)</f>
        <v/>
      </c>
    </row>
    <row r="35" customFormat="false" ht="15" hidden="false" customHeight="false" outlineLevel="0" collapsed="false">
      <c r="B35" s="24" t="s">
        <v>28</v>
      </c>
      <c r="C35" s="24"/>
      <c r="D35" s="24"/>
      <c r="E35" s="25" t="n">
        <f aca="false">COUNTA(DATABASE!$B$4:$B$2003)</f>
        <v>52</v>
      </c>
      <c r="F35" s="25" t="n">
        <f aca="false">SUM(REFERENSI!$C$6:$C$45)</f>
        <v>0</v>
      </c>
      <c r="G35" s="26" t="str">
        <f aca="false">IF($F35=0,"",$E35/$F35)</f>
        <v/>
      </c>
    </row>
    <row r="36" customFormat="false" ht="15" hidden="false" customHeight="false" outlineLevel="0" collapsed="false">
      <c r="B36" s="27" t="s">
        <v>29</v>
      </c>
      <c r="C36" s="27"/>
      <c r="D36" s="27"/>
      <c r="E36" s="27"/>
      <c r="F36" s="27"/>
      <c r="G36" s="27"/>
    </row>
    <row r="38" customFormat="false" ht="15" hidden="false" customHeight="false" outlineLevel="0" collapsed="false">
      <c r="B38" s="28" t="s">
        <v>30</v>
      </c>
      <c r="C38" s="28"/>
      <c r="D38" s="28"/>
      <c r="E38" s="28"/>
      <c r="F38" s="28"/>
      <c r="G38" s="28"/>
      <c r="H38" s="28"/>
      <c r="I38" s="28"/>
    </row>
    <row r="39" customFormat="false" ht="15" hidden="false" customHeight="false" outlineLevel="0" collapsed="false">
      <c r="B39" s="27" t="s">
        <v>31</v>
      </c>
      <c r="C39" s="27"/>
      <c r="D39" s="27"/>
      <c r="E39" s="27"/>
      <c r="F39" s="27"/>
      <c r="G39" s="27"/>
      <c r="H39" s="27"/>
      <c r="I39" s="27"/>
    </row>
    <row r="40" customFormat="false" ht="15" hidden="false" customHeight="false" outlineLevel="0" collapsed="false">
      <c r="B40" s="27" t="s">
        <v>32</v>
      </c>
      <c r="C40" s="27"/>
      <c r="D40" s="27"/>
      <c r="E40" s="27"/>
      <c r="F40" s="27"/>
      <c r="G40" s="27"/>
      <c r="H40" s="27"/>
      <c r="I40" s="27"/>
    </row>
  </sheetData>
  <mergeCells count="32">
    <mergeCell ref="B6:G6"/>
    <mergeCell ref="B8:C8"/>
    <mergeCell ref="E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B21:G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G36"/>
    <mergeCell ref="B38:I38"/>
    <mergeCell ref="B39:I39"/>
    <mergeCell ref="B40:I40"/>
  </mergeCells>
  <conditionalFormatting sqref="F17:G17">
    <cfRule type="cellIs" priority="2" operator="greaterThan" aboveAverage="0" equalAverage="0" bottom="0" percent="0" rank="0" text="" dxfId="0">
      <formula>0</formula>
    </cfRule>
  </conditionalFormatting>
  <conditionalFormatting sqref="G23:G34">
    <cfRule type="cellIs" priority="3" operator="greaterThanOrEqual" aboveAverage="0" equalAverage="0" bottom="0" percent="0" rank="0" text="" dxfId="1">
      <formula>1</formula>
    </cfRule>
    <cfRule type="cellIs" priority="4" operator="lessThan" aboveAverage="0" equalAverage="0" bottom="0" percent="0" rank="0" text="" dxfId="2">
      <formula>0.5</formula>
    </cfRule>
  </conditionalFormatting>
  <hyperlinks>
    <hyperlink ref="B9" location="DATABASE!A1" display="▶   INPUT / DATABASE ANGGOTA"/>
    <hyperlink ref="B10" location="CARI!A1" display="▶   CARI DATA ANGGOTA"/>
    <hyperlink ref="B11" location="REKAP!A1" display="▶   REKAP &amp; ANALISA"/>
    <hyperlink ref="B12" location="TARGET!A1" display="▶   TARGET &amp; CAPAIAN"/>
    <hyperlink ref="B13" location="VALIDASI!A1" display="▶   VALIDASI DATA"/>
    <hyperlink ref="B14" location="CETAK!A1" display="▶   CETAK DAFTAR / FORMULIR"/>
    <hyperlink ref="B15" location="KARTU!A1" display="▶   CETAK KARTU ANGGOTA"/>
    <hyperlink ref="B16" location="ABSENSI!A1" display="▶   CETAK DAFTAR HADIR"/>
    <hyperlink ref="B17" location="PROFIL!A1" display="▶   PROFIL &amp; MEDIA KAMPANYE"/>
    <hyperlink ref="B18" location="REFERENSI!A1" display="▶   PENGATURAN KADUS / RT / JABATAN"/>
    <hyperlink ref="B19" location="PETUNJUK!A1" display="▶   PETUNJUK PENGGUNAAN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AE2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4" min="3" style="0" width="20"/>
    <col collapsed="false" customWidth="true" hidden="false" outlineLevel="0" max="5" min="5" style="0" width="6"/>
    <col collapsed="false" customWidth="true" hidden="false" outlineLevel="0" max="6" min="6" style="0" width="18"/>
    <col collapsed="false" customWidth="true" hidden="false" outlineLevel="0" max="8" min="7" style="0" width="7"/>
    <col collapsed="false" customWidth="true" hidden="false" outlineLevel="0" max="9" min="9" style="0" width="26"/>
    <col collapsed="false" customWidth="true" hidden="false" outlineLevel="0" max="12" min="10" style="0" width="14"/>
    <col collapsed="false" customWidth="true" hidden="false" outlineLevel="0" max="13" min="13" style="0" width="24"/>
    <col collapsed="false" customWidth="true" hidden="false" outlineLevel="0" max="14" min="14" style="0" width="20"/>
    <col collapsed="false" customWidth="true" hidden="false" outlineLevel="0" max="15" min="15" style="0" width="15"/>
    <col collapsed="false" customWidth="true" hidden="false" outlineLevel="0" max="16" min="16" style="0" width="7"/>
    <col collapsed="false" customWidth="true" hidden="false" outlineLevel="0" max="17" min="17" style="0" width="13"/>
    <col collapsed="false" customWidth="true" hidden="false" outlineLevel="0" max="18" min="18" style="0" width="7"/>
    <col collapsed="false" customWidth="true" hidden="false" outlineLevel="0" max="19" min="19" style="0" width="18"/>
    <col collapsed="false" customWidth="true" hidden="false" outlineLevel="0" max="20" min="20" style="0" width="11"/>
    <col collapsed="false" customWidth="true" hidden="false" outlineLevel="0" max="21" min="21" style="0" width="13"/>
    <col collapsed="false" customWidth="true" hidden="false" outlineLevel="0" max="22" min="22" style="0" width="22"/>
    <col collapsed="false" customWidth="true" hidden="false" outlineLevel="0" max="23" min="23" style="0" width="30"/>
    <col collapsed="false" customWidth="true" hidden="true" outlineLevel="0" max="24" min="24" style="0" width="24"/>
    <col collapsed="false" customWidth="true" hidden="true" outlineLevel="0" max="25" min="25" style="0" width="26"/>
    <col collapsed="false" customWidth="true" hidden="true" outlineLevel="0" max="26" min="26" style="0" width="10"/>
    <col collapsed="false" customWidth="true" hidden="true" outlineLevel="0" max="27" min="27" style="0" width="12"/>
    <col collapsed="false" customWidth="true" hidden="true" outlineLevel="0" max="28" min="28" style="0" width="22"/>
    <col collapsed="false" customWidth="true" hidden="true" outlineLevel="0" max="31" min="29" style="0" width="10"/>
  </cols>
  <sheetData>
    <row r="1" customFormat="false" ht="25.5" hidden="false" customHeight="true" outlineLevel="0" collapsed="false">
      <c r="A1" s="29" t="s">
        <v>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customFormat="false" ht="15" hidden="false" customHeight="false" outlineLevel="0" collapsed="false">
      <c r="A2" s="30" t="s">
        <v>34</v>
      </c>
      <c r="C2" s="31" t="s">
        <v>35</v>
      </c>
      <c r="T2" s="32" t="s">
        <v>36</v>
      </c>
      <c r="U2" s="33" t="n">
        <f aca="false">COUNTA($B$4:$B$2003)</f>
        <v>52</v>
      </c>
      <c r="V2" s="32" t="s">
        <v>37</v>
      </c>
      <c r="W2" s="34" t="n">
        <f aca="false">2000-COUNTA($B$4:$B$2003)</f>
        <v>1948</v>
      </c>
    </row>
    <row r="3" customFormat="false" ht="21.75" hidden="false" customHeight="true" outlineLevel="0" collapsed="false">
      <c r="A3" s="17" t="s">
        <v>38</v>
      </c>
      <c r="B3" s="17" t="s">
        <v>39</v>
      </c>
      <c r="C3" s="17" t="s">
        <v>40</v>
      </c>
      <c r="D3" s="17" t="s">
        <v>41</v>
      </c>
      <c r="E3" s="17" t="s">
        <v>42</v>
      </c>
      <c r="F3" s="17" t="s">
        <v>24</v>
      </c>
      <c r="G3" s="17" t="s">
        <v>43</v>
      </c>
      <c r="H3" s="17" t="s">
        <v>44</v>
      </c>
      <c r="I3" s="17" t="s">
        <v>45</v>
      </c>
      <c r="J3" s="17" t="s">
        <v>46</v>
      </c>
      <c r="K3" s="17" t="s">
        <v>47</v>
      </c>
      <c r="L3" s="17" t="s">
        <v>48</v>
      </c>
      <c r="M3" s="17" t="s">
        <v>49</v>
      </c>
      <c r="N3" s="17" t="s">
        <v>50</v>
      </c>
      <c r="O3" s="17" t="s">
        <v>51</v>
      </c>
      <c r="P3" s="17" t="s">
        <v>52</v>
      </c>
      <c r="Q3" s="17" t="s">
        <v>53</v>
      </c>
      <c r="R3" s="17" t="s">
        <v>54</v>
      </c>
      <c r="S3" s="17" t="s">
        <v>55</v>
      </c>
      <c r="T3" s="17" t="s">
        <v>56</v>
      </c>
      <c r="U3" s="17" t="s">
        <v>57</v>
      </c>
      <c r="V3" s="17" t="s">
        <v>58</v>
      </c>
      <c r="W3" s="17" t="s">
        <v>59</v>
      </c>
      <c r="X3" s="17" t="s">
        <v>60</v>
      </c>
      <c r="Y3" s="17" t="s">
        <v>61</v>
      </c>
      <c r="Z3" s="17" t="s">
        <v>62</v>
      </c>
      <c r="AA3" s="17" t="s">
        <v>63</v>
      </c>
      <c r="AB3" s="17" t="s">
        <v>64</v>
      </c>
      <c r="AC3" s="17" t="s">
        <v>65</v>
      </c>
      <c r="AD3" s="17" t="s">
        <v>66</v>
      </c>
      <c r="AE3" s="17" t="s">
        <v>67</v>
      </c>
    </row>
    <row r="4" customFormat="false" ht="15" hidden="false" customHeight="false" outlineLevel="0" collapsed="false">
      <c r="A4" s="35" t="n">
        <f aca="false">IF($B4="","",COUNTA($B$4:$B4))</f>
        <v>1</v>
      </c>
      <c r="B4" s="36" t="s">
        <v>68</v>
      </c>
      <c r="C4" s="37"/>
      <c r="D4" s="37"/>
      <c r="E4" s="38"/>
      <c r="F4" s="36" t="s">
        <v>69</v>
      </c>
      <c r="G4" s="39" t="s">
        <v>70</v>
      </c>
      <c r="H4" s="39" t="s">
        <v>70</v>
      </c>
      <c r="I4" s="36"/>
      <c r="J4" s="36"/>
      <c r="K4" s="36" t="s">
        <v>71</v>
      </c>
      <c r="L4" s="36" t="s">
        <v>72</v>
      </c>
      <c r="M4" s="40" t="str">
        <f aca="false">IF($F4="","",$F4&amp;IF($G4="",""," - RT "&amp;$G4&amp;IF($H4="","","/"&amp;$H4)))</f>
        <v>Kp. Tenjolaut - RT 001/001</v>
      </c>
      <c r="N4" s="36" t="s">
        <v>73</v>
      </c>
      <c r="O4" s="37"/>
      <c r="P4" s="39"/>
      <c r="Q4" s="41"/>
      <c r="R4" s="35" t="str">
        <f aca="true">IF(OR($B4="",$Q4=""),"",DATEDIF($Q4,TODAY(),"Y"))</f>
        <v/>
      </c>
      <c r="S4" s="40" t="str">
        <f aca="false">IF($R4="","",INDEX(usia_label,MATCH($R4,usia_min,1)))</f>
        <v/>
      </c>
      <c r="T4" s="36" t="s">
        <v>74</v>
      </c>
      <c r="U4" s="41"/>
      <c r="V4" s="36"/>
      <c r="W4" s="36" t="s">
        <v>75</v>
      </c>
      <c r="X4" s="40" t="str">
        <f aca="false">IF($M4="","",$M4&amp;"#"&amp;COUNTIF($M$4:$M4,$M4))</f>
        <v>Kp. Tenjolaut - RT 001/001#1</v>
      </c>
      <c r="Y4" s="40" t="str">
        <f aca="false">IF($B4="","",IF($C4="","NIK kosong",IF(LEN($C4)&lt;&gt;16,"NIK bukan 16 digit",IF(COUNTIF($C$4:$C$2003,$C4&amp;"*")&gt;1,"NIK ganda",IF(AND($D4&lt;&gt;"",LEN($D4)&lt;&gt;16),"No. KK bukan 16 digit",IF(AND($F4="",$I4=""),"Alamat kosong",IF($N4="","Jabatan kosong",IF($O4="","No. HP kosong",IF(AND($R4&lt;&gt;"",$R4&lt;17),"Usia di bawah 17","")))))))))</f>
        <v>NIK kosong</v>
      </c>
      <c r="Z4" s="40" t="n">
        <f aca="false">IF($B4="","",IF(AND(OR(CARI!$C$5="",ISNUMBER(SEARCH(CARI!$C$5,$B4&amp;" "&amp;$C4&amp;" "&amp;$D4&amp;" "&amp;$O4&amp;" "&amp;$I4&amp;" "&amp;$F4&amp;" "&amp;$J4&amp;" "&amp;$K4&amp;" "&amp;$L4&amp;" "&amp;$V4))),OR(CARI!$C$6="",$F4=CARI!$C$6),OR(CARI!$C$7="",$G4=CARI!$C$7),OR(CARI!$C$8="",$T4=CARI!$C$8)),MAX($Z$3:Z3)+1,""))</f>
        <v>1</v>
      </c>
      <c r="AA4" s="40" t="n">
        <f aca="false">IF($Y4="","",MAX($AA$3:AA3)+1)</f>
        <v>1</v>
      </c>
      <c r="AB4" s="40" t="str">
        <f aca="false">IF($F4="","",$F4&amp;"#"&amp;COUNTIF($F$4:$F4,$F4))</f>
        <v>Kp. Tenjolaut#1</v>
      </c>
      <c r="AC4" s="40" t="n">
        <f aca="false">IF($B4="","",IF(AND(OR(CETAK!$J$10="",$F4=CETAK!$J$10),OR(CETAK!$J$11="",$G4=CETAK!$J$11),OR(CETAK!$J$12="",$P4=CETAK!$J$12),OR(CETAK!$J$13="",$N4=CETAK!$J$13),OR(CETAK!$J$14="",$T4=CETAK!$J$14)),MAX($AC$3:AC3)+1,""))</f>
        <v>1</v>
      </c>
      <c r="AD4" s="40" t="n">
        <f aca="false">IF($B4="","",IF(AND(OR(ABSENSI!$H$10="",$F4=ABSENSI!$H$10),OR(ABSENSI!$H$11="",$G4=ABSENSI!$H$11),OR(ABSENSI!$H$12="",$P4=ABSENSI!$H$12)),MAX($AD$3:AD3)+1,""))</f>
        <v>1</v>
      </c>
      <c r="AE4" s="40" t="n">
        <f aca="false">IF($B4="","",IF(AND(OR(KARTU!$K$6="",$F4=KARTU!$K$6),OR(KARTU!$K$7="",$G4=KARTU!$K$7),OR(KARTU!$K$8="",$P4=KARTU!$K$8)),MAX($AE$3:AE3)+1,""))</f>
        <v>1</v>
      </c>
    </row>
    <row r="5" customFormat="false" ht="15" hidden="false" customHeight="false" outlineLevel="0" collapsed="false">
      <c r="A5" s="35" t="n">
        <f aca="false">IF($B5="","",COUNTA($B$4:$B5))</f>
        <v>2</v>
      </c>
      <c r="B5" s="36" t="s">
        <v>76</v>
      </c>
      <c r="C5" s="37"/>
      <c r="D5" s="37"/>
      <c r="E5" s="38"/>
      <c r="F5" s="36" t="s">
        <v>77</v>
      </c>
      <c r="G5" s="39"/>
      <c r="H5" s="39"/>
      <c r="I5" s="36"/>
      <c r="J5" s="36"/>
      <c r="K5" s="36"/>
      <c r="L5" s="36"/>
      <c r="M5" s="40" t="str">
        <f aca="false">IF($F5="","",$F5&amp;IF($G5="",""," - RT "&amp;$G5&amp;IF($H5="","","/"&amp;$H5)))</f>
        <v>Kp. Gamprit</v>
      </c>
      <c r="N5" s="36" t="s">
        <v>78</v>
      </c>
      <c r="O5" s="37"/>
      <c r="P5" s="39"/>
      <c r="Q5" s="41"/>
      <c r="R5" s="35" t="str">
        <f aca="true">IF(OR($B5="",$Q5=""),"",DATEDIF($Q5,TODAY(),"Y"))</f>
        <v/>
      </c>
      <c r="S5" s="40" t="str">
        <f aca="false">IF($R5="","",INDEX(usia_label,MATCH($R5,usia_min,1)))</f>
        <v/>
      </c>
      <c r="T5" s="36" t="s">
        <v>74</v>
      </c>
      <c r="U5" s="41"/>
      <c r="V5" s="36"/>
      <c r="W5" s="36" t="s">
        <v>79</v>
      </c>
      <c r="X5" s="40" t="str">
        <f aca="false">IF($M5="","",$M5&amp;"#"&amp;COUNTIF($M$4:$M5,$M5))</f>
        <v>Kp. Gamprit#1</v>
      </c>
      <c r="Y5" s="40" t="str">
        <f aca="false">IF($B5="","",IF($C5="","NIK kosong",IF(LEN($C5)&lt;&gt;16,"NIK bukan 16 digit",IF(COUNTIF($C$4:$C$2003,$C5&amp;"*")&gt;1,"NIK ganda",IF(AND($D5&lt;&gt;"",LEN($D5)&lt;&gt;16),"No. KK bukan 16 digit",IF(AND($F5="",$I5=""),"Alamat kosong",IF($N5="","Jabatan kosong",IF($O5="","No. HP kosong",IF(AND($R5&lt;&gt;"",$R5&lt;17),"Usia di bawah 17","")))))))))</f>
        <v>NIK kosong</v>
      </c>
      <c r="Z5" s="40" t="n">
        <f aca="false">IF($B5="","",IF(AND(OR(CARI!$C$5="",ISNUMBER(SEARCH(CARI!$C$5,$B5&amp;" "&amp;$C5&amp;" "&amp;$D5&amp;" "&amp;$O5&amp;" "&amp;$I5&amp;" "&amp;$F5&amp;" "&amp;$J5&amp;" "&amp;$K5&amp;" "&amp;$L5&amp;" "&amp;$V5))),OR(CARI!$C$6="",$F5=CARI!$C$6),OR(CARI!$C$7="",$G5=CARI!$C$7),OR(CARI!$C$8="",$T5=CARI!$C$8)),MAX($Z$3:Z4)+1,""))</f>
        <v>2</v>
      </c>
      <c r="AA5" s="40" t="n">
        <f aca="false">IF($Y5="","",MAX($AA$3:AA4)+1)</f>
        <v>2</v>
      </c>
      <c r="AB5" s="40" t="str">
        <f aca="false">IF($F5="","",$F5&amp;"#"&amp;COUNTIF($F$4:$F5,$F5))</f>
        <v>Kp. Gamprit#1</v>
      </c>
      <c r="AC5" s="40" t="n">
        <f aca="false">IF($B5="","",IF(AND(OR(CETAK!$J$10="",$F5=CETAK!$J$10),OR(CETAK!$J$11="",$G5=CETAK!$J$11),OR(CETAK!$J$12="",$P5=CETAK!$J$12),OR(CETAK!$J$13="",$N5=CETAK!$J$13),OR(CETAK!$J$14="",$T5=CETAK!$J$14)),MAX($AC$3:AC4)+1,""))</f>
        <v>2</v>
      </c>
      <c r="AD5" s="40" t="n">
        <f aca="false">IF($B5="","",IF(AND(OR(ABSENSI!$H$10="",$F5=ABSENSI!$H$10),OR(ABSENSI!$H$11="",$G5=ABSENSI!$H$11),OR(ABSENSI!$H$12="",$P5=ABSENSI!$H$12)),MAX($AD$3:AD4)+1,""))</f>
        <v>2</v>
      </c>
      <c r="AE5" s="40" t="n">
        <f aca="false">IF($B5="","",IF(AND(OR(KARTU!$K$6="",$F5=KARTU!$K$6),OR(KARTU!$K$7="",$G5=KARTU!$K$7),OR(KARTU!$K$8="",$P5=KARTU!$K$8)),MAX($AE$3:AE4)+1,""))</f>
        <v>2</v>
      </c>
    </row>
    <row r="6" customFormat="false" ht="15" hidden="false" customHeight="false" outlineLevel="0" collapsed="false">
      <c r="A6" s="35" t="n">
        <f aca="false">IF($B6="","",COUNTA($B$4:$B6))</f>
        <v>3</v>
      </c>
      <c r="B6" s="36" t="s">
        <v>80</v>
      </c>
      <c r="C6" s="37"/>
      <c r="D6" s="37"/>
      <c r="E6" s="38"/>
      <c r="F6" s="36" t="s">
        <v>69</v>
      </c>
      <c r="G6" s="39"/>
      <c r="H6" s="39"/>
      <c r="I6" s="36"/>
      <c r="J6" s="36"/>
      <c r="K6" s="36"/>
      <c r="L6" s="36"/>
      <c r="M6" s="40" t="str">
        <f aca="false">IF($F6="","",$F6&amp;IF($G6="",""," - RT "&amp;$G6&amp;IF($H6="","","/"&amp;$H6)))</f>
        <v>Kp. Tenjolaut</v>
      </c>
      <c r="N6" s="36" t="s">
        <v>73</v>
      </c>
      <c r="O6" s="37"/>
      <c r="P6" s="39"/>
      <c r="Q6" s="41"/>
      <c r="R6" s="35" t="str">
        <f aca="true">IF(OR($B6="",$Q6=""),"",DATEDIF($Q6,TODAY(),"Y"))</f>
        <v/>
      </c>
      <c r="S6" s="40" t="str">
        <f aca="false">IF($R6="","",INDEX(usia_label,MATCH($R6,usia_min,1)))</f>
        <v/>
      </c>
      <c r="T6" s="36" t="s">
        <v>74</v>
      </c>
      <c r="U6" s="41"/>
      <c r="V6" s="36"/>
      <c r="W6" s="36" t="s">
        <v>81</v>
      </c>
      <c r="X6" s="40" t="str">
        <f aca="false">IF($M6="","",$M6&amp;"#"&amp;COUNTIF($M$4:$M6,$M6))</f>
        <v>Kp. Tenjolaut#1</v>
      </c>
      <c r="Y6" s="40" t="str">
        <f aca="false">IF($B6="","",IF($C6="","NIK kosong",IF(LEN($C6)&lt;&gt;16,"NIK bukan 16 digit",IF(COUNTIF($C$4:$C$2003,$C6&amp;"*")&gt;1,"NIK ganda",IF(AND($D6&lt;&gt;"",LEN($D6)&lt;&gt;16),"No. KK bukan 16 digit",IF(AND($F6="",$I6=""),"Alamat kosong",IF($N6="","Jabatan kosong",IF($O6="","No. HP kosong",IF(AND($R6&lt;&gt;"",$R6&lt;17),"Usia di bawah 17","")))))))))</f>
        <v>NIK kosong</v>
      </c>
      <c r="Z6" s="40" t="n">
        <f aca="false">IF($B6="","",IF(AND(OR(CARI!$C$5="",ISNUMBER(SEARCH(CARI!$C$5,$B6&amp;" "&amp;$C6&amp;" "&amp;$D6&amp;" "&amp;$O6&amp;" "&amp;$I6&amp;" "&amp;$F6&amp;" "&amp;$J6&amp;" "&amp;$K6&amp;" "&amp;$L6&amp;" "&amp;$V6))),OR(CARI!$C$6="",$F6=CARI!$C$6),OR(CARI!$C$7="",$G6=CARI!$C$7),OR(CARI!$C$8="",$T6=CARI!$C$8)),MAX($Z$3:Z5)+1,""))</f>
        <v>3</v>
      </c>
      <c r="AA6" s="40" t="n">
        <f aca="false">IF($Y6="","",MAX($AA$3:AA5)+1)</f>
        <v>3</v>
      </c>
      <c r="AB6" s="40" t="str">
        <f aca="false">IF($F6="","",$F6&amp;"#"&amp;COUNTIF($F$4:$F6,$F6))</f>
        <v>Kp. Tenjolaut#2</v>
      </c>
      <c r="AC6" s="40" t="n">
        <f aca="false">IF($B6="","",IF(AND(OR(CETAK!$J$10="",$F6=CETAK!$J$10),OR(CETAK!$J$11="",$G6=CETAK!$J$11),OR(CETAK!$J$12="",$P6=CETAK!$J$12),OR(CETAK!$J$13="",$N6=CETAK!$J$13),OR(CETAK!$J$14="",$T6=CETAK!$J$14)),MAX($AC$3:AC5)+1,""))</f>
        <v>3</v>
      </c>
      <c r="AD6" s="40" t="n">
        <f aca="false">IF($B6="","",IF(AND(OR(ABSENSI!$H$10="",$F6=ABSENSI!$H$10),OR(ABSENSI!$H$11="",$G6=ABSENSI!$H$11),OR(ABSENSI!$H$12="",$P6=ABSENSI!$H$12)),MAX($AD$3:AD5)+1,""))</f>
        <v>3</v>
      </c>
      <c r="AE6" s="40" t="n">
        <f aca="false">IF($B6="","",IF(AND(OR(KARTU!$K$6="",$F6=KARTU!$K$6),OR(KARTU!$K$7="",$G6=KARTU!$K$7),OR(KARTU!$K$8="",$P6=KARTU!$K$8)),MAX($AE$3:AE5)+1,""))</f>
        <v>3</v>
      </c>
    </row>
    <row r="7" customFormat="false" ht="15" hidden="false" customHeight="false" outlineLevel="0" collapsed="false">
      <c r="A7" s="35" t="n">
        <f aca="false">IF($B7="","",COUNTA($B$4:$B7))</f>
        <v>4</v>
      </c>
      <c r="B7" s="36" t="s">
        <v>82</v>
      </c>
      <c r="C7" s="37"/>
      <c r="D7" s="37"/>
      <c r="E7" s="38"/>
      <c r="F7" s="36" t="s">
        <v>77</v>
      </c>
      <c r="G7" s="39"/>
      <c r="H7" s="39"/>
      <c r="I7" s="36"/>
      <c r="J7" s="36"/>
      <c r="K7" s="36"/>
      <c r="L7" s="36"/>
      <c r="M7" s="40" t="str">
        <f aca="false">IF($F7="","",$F7&amp;IF($G7="",""," - RT "&amp;$G7&amp;IF($H7="","","/"&amp;$H7)))</f>
        <v>Kp. Gamprit</v>
      </c>
      <c r="N7" s="36" t="s">
        <v>73</v>
      </c>
      <c r="O7" s="37"/>
      <c r="P7" s="39"/>
      <c r="Q7" s="41"/>
      <c r="R7" s="35" t="str">
        <f aca="true">IF(OR($B7="",$Q7=""),"",DATEDIF($Q7,TODAY(),"Y"))</f>
        <v/>
      </c>
      <c r="S7" s="40" t="str">
        <f aca="false">IF($R7="","",INDEX(usia_label,MATCH($R7,usia_min,1)))</f>
        <v/>
      </c>
      <c r="T7" s="36" t="s">
        <v>74</v>
      </c>
      <c r="U7" s="41"/>
      <c r="V7" s="36"/>
      <c r="W7" s="36" t="s">
        <v>83</v>
      </c>
      <c r="X7" s="40" t="str">
        <f aca="false">IF($M7="","",$M7&amp;"#"&amp;COUNTIF($M$4:$M7,$M7))</f>
        <v>Kp. Gamprit#2</v>
      </c>
      <c r="Y7" s="40" t="str">
        <f aca="false">IF($B7="","",IF($C7="","NIK kosong",IF(LEN($C7)&lt;&gt;16,"NIK bukan 16 digit",IF(COUNTIF($C$4:$C$2003,$C7&amp;"*")&gt;1,"NIK ganda",IF(AND($D7&lt;&gt;"",LEN($D7)&lt;&gt;16),"No. KK bukan 16 digit",IF(AND($F7="",$I7=""),"Alamat kosong",IF($N7="","Jabatan kosong",IF($O7="","No. HP kosong",IF(AND($R7&lt;&gt;"",$R7&lt;17),"Usia di bawah 17","")))))))))</f>
        <v>NIK kosong</v>
      </c>
      <c r="Z7" s="40" t="n">
        <f aca="false">IF($B7="","",IF(AND(OR(CARI!$C$5="",ISNUMBER(SEARCH(CARI!$C$5,$B7&amp;" "&amp;$C7&amp;" "&amp;$D7&amp;" "&amp;$O7&amp;" "&amp;$I7&amp;" "&amp;$F7&amp;" "&amp;$J7&amp;" "&amp;$K7&amp;" "&amp;$L7&amp;" "&amp;$V7))),OR(CARI!$C$6="",$F7=CARI!$C$6),OR(CARI!$C$7="",$G7=CARI!$C$7),OR(CARI!$C$8="",$T7=CARI!$C$8)),MAX($Z$3:Z6)+1,""))</f>
        <v>4</v>
      </c>
      <c r="AA7" s="40" t="n">
        <f aca="false">IF($Y7="","",MAX($AA$3:AA6)+1)</f>
        <v>4</v>
      </c>
      <c r="AB7" s="40" t="str">
        <f aca="false">IF($F7="","",$F7&amp;"#"&amp;COUNTIF($F$4:$F7,$F7))</f>
        <v>Kp. Gamprit#2</v>
      </c>
      <c r="AC7" s="40" t="n">
        <f aca="false">IF($B7="","",IF(AND(OR(CETAK!$J$10="",$F7=CETAK!$J$10),OR(CETAK!$J$11="",$G7=CETAK!$J$11),OR(CETAK!$J$12="",$P7=CETAK!$J$12),OR(CETAK!$J$13="",$N7=CETAK!$J$13),OR(CETAK!$J$14="",$T7=CETAK!$J$14)),MAX($AC$3:AC6)+1,""))</f>
        <v>4</v>
      </c>
      <c r="AD7" s="40" t="n">
        <f aca="false">IF($B7="","",IF(AND(OR(ABSENSI!$H$10="",$F7=ABSENSI!$H$10),OR(ABSENSI!$H$11="",$G7=ABSENSI!$H$11),OR(ABSENSI!$H$12="",$P7=ABSENSI!$H$12)),MAX($AD$3:AD6)+1,""))</f>
        <v>4</v>
      </c>
      <c r="AE7" s="40" t="n">
        <f aca="false">IF($B7="","",IF(AND(OR(KARTU!$K$6="",$F7=KARTU!$K$6),OR(KARTU!$K$7="",$G7=KARTU!$K$7),OR(KARTU!$K$8="",$P7=KARTU!$K$8)),MAX($AE$3:AE6)+1,""))</f>
        <v>4</v>
      </c>
    </row>
    <row r="8" customFormat="false" ht="15" hidden="false" customHeight="false" outlineLevel="0" collapsed="false">
      <c r="A8" s="35" t="n">
        <f aca="false">IF($B8="","",COUNTA($B$4:$B8))</f>
        <v>5</v>
      </c>
      <c r="B8" s="36" t="s">
        <v>84</v>
      </c>
      <c r="C8" s="37"/>
      <c r="D8" s="37"/>
      <c r="E8" s="38"/>
      <c r="F8" s="36" t="s">
        <v>85</v>
      </c>
      <c r="G8" s="39"/>
      <c r="H8" s="39"/>
      <c r="I8" s="36"/>
      <c r="J8" s="36"/>
      <c r="K8" s="36"/>
      <c r="L8" s="36"/>
      <c r="M8" s="40" t="str">
        <f aca="false">IF($F8="","",$F8&amp;IF($G8="",""," - RT "&amp;$G8&amp;IF($H8="","","/"&amp;$H8)))</f>
        <v>Kp. Wangkal</v>
      </c>
      <c r="N8" s="36" t="s">
        <v>73</v>
      </c>
      <c r="O8" s="37"/>
      <c r="P8" s="39"/>
      <c r="Q8" s="41"/>
      <c r="R8" s="35" t="str">
        <f aca="true">IF(OR($B8="",$Q8=""),"",DATEDIF($Q8,TODAY(),"Y"))</f>
        <v/>
      </c>
      <c r="S8" s="40" t="str">
        <f aca="false">IF($R8="","",INDEX(usia_label,MATCH($R8,usia_min,1)))</f>
        <v/>
      </c>
      <c r="T8" s="36" t="s">
        <v>74</v>
      </c>
      <c r="U8" s="41"/>
      <c r="V8" s="36"/>
      <c r="W8" s="36" t="s">
        <v>86</v>
      </c>
      <c r="X8" s="40" t="str">
        <f aca="false">IF($M8="","",$M8&amp;"#"&amp;COUNTIF($M$4:$M8,$M8))</f>
        <v>Kp. Wangkal#1</v>
      </c>
      <c r="Y8" s="40" t="str">
        <f aca="false">IF($B8="","",IF($C8="","NIK kosong",IF(LEN($C8)&lt;&gt;16,"NIK bukan 16 digit",IF(COUNTIF($C$4:$C$2003,$C8&amp;"*")&gt;1,"NIK ganda",IF(AND($D8&lt;&gt;"",LEN($D8)&lt;&gt;16),"No. KK bukan 16 digit",IF(AND($F8="",$I8=""),"Alamat kosong",IF($N8="","Jabatan kosong",IF($O8="","No. HP kosong",IF(AND($R8&lt;&gt;"",$R8&lt;17),"Usia di bawah 17","")))))))))</f>
        <v>NIK kosong</v>
      </c>
      <c r="Z8" s="40" t="n">
        <f aca="false">IF($B8="","",IF(AND(OR(CARI!$C$5="",ISNUMBER(SEARCH(CARI!$C$5,$B8&amp;" "&amp;$C8&amp;" "&amp;$D8&amp;" "&amp;$O8&amp;" "&amp;$I8&amp;" "&amp;$F8&amp;" "&amp;$J8&amp;" "&amp;$K8&amp;" "&amp;$L8&amp;" "&amp;$V8))),OR(CARI!$C$6="",$F8=CARI!$C$6),OR(CARI!$C$7="",$G8=CARI!$C$7),OR(CARI!$C$8="",$T8=CARI!$C$8)),MAX($Z$3:Z7)+1,""))</f>
        <v>5</v>
      </c>
      <c r="AA8" s="40" t="n">
        <f aca="false">IF($Y8="","",MAX($AA$3:AA7)+1)</f>
        <v>5</v>
      </c>
      <c r="AB8" s="40" t="str">
        <f aca="false">IF($F8="","",$F8&amp;"#"&amp;COUNTIF($F$4:$F8,$F8))</f>
        <v>Kp. Wangkal#1</v>
      </c>
      <c r="AC8" s="40" t="n">
        <f aca="false">IF($B8="","",IF(AND(OR(CETAK!$J$10="",$F8=CETAK!$J$10),OR(CETAK!$J$11="",$G8=CETAK!$J$11),OR(CETAK!$J$12="",$P8=CETAK!$J$12),OR(CETAK!$J$13="",$N8=CETAK!$J$13),OR(CETAK!$J$14="",$T8=CETAK!$J$14)),MAX($AC$3:AC7)+1,""))</f>
        <v>5</v>
      </c>
      <c r="AD8" s="40" t="n">
        <f aca="false">IF($B8="","",IF(AND(OR(ABSENSI!$H$10="",$F8=ABSENSI!$H$10),OR(ABSENSI!$H$11="",$G8=ABSENSI!$H$11),OR(ABSENSI!$H$12="",$P8=ABSENSI!$H$12)),MAX($AD$3:AD7)+1,""))</f>
        <v>5</v>
      </c>
      <c r="AE8" s="40" t="n">
        <f aca="false">IF($B8="","",IF(AND(OR(KARTU!$K$6="",$F8=KARTU!$K$6),OR(KARTU!$K$7="",$G8=KARTU!$K$7),OR(KARTU!$K$8="",$P8=KARTU!$K$8)),MAX($AE$3:AE7)+1,""))</f>
        <v>5</v>
      </c>
    </row>
    <row r="9" customFormat="false" ht="15" hidden="false" customHeight="false" outlineLevel="0" collapsed="false">
      <c r="A9" s="35" t="n">
        <f aca="false">IF($B9="","",COUNTA($B$4:$B9))</f>
        <v>6</v>
      </c>
      <c r="B9" s="36" t="s">
        <v>87</v>
      </c>
      <c r="C9" s="37"/>
      <c r="D9" s="37"/>
      <c r="E9" s="38"/>
      <c r="F9" s="36" t="s">
        <v>88</v>
      </c>
      <c r="G9" s="39"/>
      <c r="H9" s="39"/>
      <c r="I9" s="36"/>
      <c r="J9" s="36"/>
      <c r="K9" s="36"/>
      <c r="L9" s="36"/>
      <c r="M9" s="40" t="str">
        <f aca="false">IF($F9="","",$F9&amp;IF($G9="",""," - RT "&amp;$G9&amp;IF($H9="","","/"&amp;$H9)))</f>
        <v>Kp. Kuda Kuda</v>
      </c>
      <c r="N9" s="36" t="s">
        <v>73</v>
      </c>
      <c r="O9" s="37"/>
      <c r="P9" s="39"/>
      <c r="Q9" s="41"/>
      <c r="R9" s="35" t="str">
        <f aca="true">IF(OR($B9="",$Q9=""),"",DATEDIF($Q9,TODAY(),"Y"))</f>
        <v/>
      </c>
      <c r="S9" s="40" t="str">
        <f aca="false">IF($R9="","",INDEX(usia_label,MATCH($R9,usia_min,1)))</f>
        <v/>
      </c>
      <c r="T9" s="36" t="s">
        <v>74</v>
      </c>
      <c r="U9" s="41"/>
      <c r="V9" s="36"/>
      <c r="W9" s="36" t="s">
        <v>89</v>
      </c>
      <c r="X9" s="40" t="str">
        <f aca="false">IF($M9="","",$M9&amp;"#"&amp;COUNTIF($M$4:$M9,$M9))</f>
        <v>Kp. Kuda Kuda#1</v>
      </c>
      <c r="Y9" s="40" t="str">
        <f aca="false">IF($B9="","",IF($C9="","NIK kosong",IF(LEN($C9)&lt;&gt;16,"NIK bukan 16 digit",IF(COUNTIF($C$4:$C$2003,$C9&amp;"*")&gt;1,"NIK ganda",IF(AND($D9&lt;&gt;"",LEN($D9)&lt;&gt;16),"No. KK bukan 16 digit",IF(AND($F9="",$I9=""),"Alamat kosong",IF($N9="","Jabatan kosong",IF($O9="","No. HP kosong",IF(AND($R9&lt;&gt;"",$R9&lt;17),"Usia di bawah 17","")))))))))</f>
        <v>NIK kosong</v>
      </c>
      <c r="Z9" s="40" t="n">
        <f aca="false">IF($B9="","",IF(AND(OR(CARI!$C$5="",ISNUMBER(SEARCH(CARI!$C$5,$B9&amp;" "&amp;$C9&amp;" "&amp;$D9&amp;" "&amp;$O9&amp;" "&amp;$I9&amp;" "&amp;$F9&amp;" "&amp;$J9&amp;" "&amp;$K9&amp;" "&amp;$L9&amp;" "&amp;$V9))),OR(CARI!$C$6="",$F9=CARI!$C$6),OR(CARI!$C$7="",$G9=CARI!$C$7),OR(CARI!$C$8="",$T9=CARI!$C$8)),MAX($Z$3:Z8)+1,""))</f>
        <v>6</v>
      </c>
      <c r="AA9" s="40" t="n">
        <f aca="false">IF($Y9="","",MAX($AA$3:AA8)+1)</f>
        <v>6</v>
      </c>
      <c r="AB9" s="40" t="str">
        <f aca="false">IF($F9="","",$F9&amp;"#"&amp;COUNTIF($F$4:$F9,$F9))</f>
        <v>Kp. Kuda Kuda#1</v>
      </c>
      <c r="AC9" s="40" t="n">
        <f aca="false">IF($B9="","",IF(AND(OR(CETAK!$J$10="",$F9=CETAK!$J$10),OR(CETAK!$J$11="",$G9=CETAK!$J$11),OR(CETAK!$J$12="",$P9=CETAK!$J$12),OR(CETAK!$J$13="",$N9=CETAK!$J$13),OR(CETAK!$J$14="",$T9=CETAK!$J$14)),MAX($AC$3:AC8)+1,""))</f>
        <v>6</v>
      </c>
      <c r="AD9" s="40" t="n">
        <f aca="false">IF($B9="","",IF(AND(OR(ABSENSI!$H$10="",$F9=ABSENSI!$H$10),OR(ABSENSI!$H$11="",$G9=ABSENSI!$H$11),OR(ABSENSI!$H$12="",$P9=ABSENSI!$H$12)),MAX($AD$3:AD8)+1,""))</f>
        <v>6</v>
      </c>
      <c r="AE9" s="40" t="n">
        <f aca="false">IF($B9="","",IF(AND(OR(KARTU!$K$6="",$F9=KARTU!$K$6),OR(KARTU!$K$7="",$G9=KARTU!$K$7),OR(KARTU!$K$8="",$P9=KARTU!$K$8)),MAX($AE$3:AE8)+1,""))</f>
        <v>6</v>
      </c>
    </row>
    <row r="10" customFormat="false" ht="15" hidden="false" customHeight="false" outlineLevel="0" collapsed="false">
      <c r="A10" s="35" t="n">
        <f aca="false">IF($B10="","",COUNTA($B$4:$B10))</f>
        <v>7</v>
      </c>
      <c r="B10" s="36" t="s">
        <v>90</v>
      </c>
      <c r="C10" s="37"/>
      <c r="D10" s="37"/>
      <c r="E10" s="38"/>
      <c r="F10" s="36" t="s">
        <v>91</v>
      </c>
      <c r="G10" s="39"/>
      <c r="H10" s="39"/>
      <c r="I10" s="36"/>
      <c r="J10" s="36"/>
      <c r="K10" s="36"/>
      <c r="L10" s="36"/>
      <c r="M10" s="40" t="str">
        <f aca="false">IF($F10="","",$F10&amp;IF($G10="",""," - RT "&amp;$G10&amp;IF($H10="","","/"&amp;$H10)))</f>
        <v>Kp. Putri Melintang</v>
      </c>
      <c r="N10" s="36" t="s">
        <v>73</v>
      </c>
      <c r="O10" s="37"/>
      <c r="P10" s="39"/>
      <c r="Q10" s="41"/>
      <c r="R10" s="35" t="str">
        <f aca="true">IF(OR($B10="",$Q10=""),"",DATEDIF($Q10,TODAY(),"Y"))</f>
        <v/>
      </c>
      <c r="S10" s="40" t="str">
        <f aca="false">IF($R10="","",INDEX(usia_label,MATCH($R10,usia_min,1)))</f>
        <v/>
      </c>
      <c r="T10" s="36" t="s">
        <v>74</v>
      </c>
      <c r="U10" s="41"/>
      <c r="V10" s="36"/>
      <c r="W10" s="36" t="s">
        <v>92</v>
      </c>
      <c r="X10" s="40" t="str">
        <f aca="false">IF($M10="","",$M10&amp;"#"&amp;COUNTIF($M$4:$M10,$M10))</f>
        <v>Kp. Putri Melintang#1</v>
      </c>
      <c r="Y10" s="40" t="str">
        <f aca="false">IF($B10="","",IF($C10="","NIK kosong",IF(LEN($C10)&lt;&gt;16,"NIK bukan 16 digit",IF(COUNTIF($C$4:$C$2003,$C10&amp;"*")&gt;1,"NIK ganda",IF(AND($D10&lt;&gt;"",LEN($D10)&lt;&gt;16),"No. KK bukan 16 digit",IF(AND($F10="",$I10=""),"Alamat kosong",IF($N10="","Jabatan kosong",IF($O10="","No. HP kosong",IF(AND($R10&lt;&gt;"",$R10&lt;17),"Usia di bawah 17","")))))))))</f>
        <v>NIK kosong</v>
      </c>
      <c r="Z10" s="40" t="n">
        <f aca="false">IF($B10="","",IF(AND(OR(CARI!$C$5="",ISNUMBER(SEARCH(CARI!$C$5,$B10&amp;" "&amp;$C10&amp;" "&amp;$D10&amp;" "&amp;$O10&amp;" "&amp;$I10&amp;" "&amp;$F10&amp;" "&amp;$J10&amp;" "&amp;$K10&amp;" "&amp;$L10&amp;" "&amp;$V10))),OR(CARI!$C$6="",$F10=CARI!$C$6),OR(CARI!$C$7="",$G10=CARI!$C$7),OR(CARI!$C$8="",$T10=CARI!$C$8)),MAX($Z$3:Z9)+1,""))</f>
        <v>7</v>
      </c>
      <c r="AA10" s="40" t="n">
        <f aca="false">IF($Y10="","",MAX($AA$3:AA9)+1)</f>
        <v>7</v>
      </c>
      <c r="AB10" s="40" t="str">
        <f aca="false">IF($F10="","",$F10&amp;"#"&amp;COUNTIF($F$4:$F10,$F10))</f>
        <v>Kp. Putri Melintang#1</v>
      </c>
      <c r="AC10" s="40" t="n">
        <f aca="false">IF($B10="","",IF(AND(OR(CETAK!$J$10="",$F10=CETAK!$J$10),OR(CETAK!$J$11="",$G10=CETAK!$J$11),OR(CETAK!$J$12="",$P10=CETAK!$J$12),OR(CETAK!$J$13="",$N10=CETAK!$J$13),OR(CETAK!$J$14="",$T10=CETAK!$J$14)),MAX($AC$3:AC9)+1,""))</f>
        <v>7</v>
      </c>
      <c r="AD10" s="40" t="n">
        <f aca="false">IF($B10="","",IF(AND(OR(ABSENSI!$H$10="",$F10=ABSENSI!$H$10),OR(ABSENSI!$H$11="",$G10=ABSENSI!$H$11),OR(ABSENSI!$H$12="",$P10=ABSENSI!$H$12)),MAX($AD$3:AD9)+1,""))</f>
        <v>7</v>
      </c>
      <c r="AE10" s="40" t="n">
        <f aca="false">IF($B10="","",IF(AND(OR(KARTU!$K$6="",$F10=KARTU!$K$6),OR(KARTU!$K$7="",$G10=KARTU!$K$7),OR(KARTU!$K$8="",$P10=KARTU!$K$8)),MAX($AE$3:AE9)+1,""))</f>
        <v>7</v>
      </c>
    </row>
    <row r="11" customFormat="false" ht="15" hidden="false" customHeight="false" outlineLevel="0" collapsed="false">
      <c r="A11" s="35" t="n">
        <f aca="false">IF($B11="","",COUNTA($B$4:$B11))</f>
        <v>8</v>
      </c>
      <c r="B11" s="36" t="s">
        <v>93</v>
      </c>
      <c r="C11" s="37"/>
      <c r="D11" s="37"/>
      <c r="E11" s="38"/>
      <c r="F11" s="36" t="s">
        <v>88</v>
      </c>
      <c r="G11" s="39" t="s">
        <v>70</v>
      </c>
      <c r="H11" s="39" t="s">
        <v>94</v>
      </c>
      <c r="I11" s="36"/>
      <c r="J11" s="36"/>
      <c r="K11" s="36" t="s">
        <v>95</v>
      </c>
      <c r="L11" s="36" t="s">
        <v>96</v>
      </c>
      <c r="M11" s="40" t="str">
        <f aca="false">IF($F11="","",$F11&amp;IF($G11="",""," - RT "&amp;$G11&amp;IF($H11="","","/"&amp;$H11)))</f>
        <v>Kp. Kuda Kuda - RT 001/003</v>
      </c>
      <c r="N11" s="36" t="s">
        <v>73</v>
      </c>
      <c r="O11" s="37"/>
      <c r="P11" s="39"/>
      <c r="Q11" s="41"/>
      <c r="R11" s="35" t="str">
        <f aca="true">IF(OR($B11="",$Q11=""),"",DATEDIF($Q11,TODAY(),"Y"))</f>
        <v/>
      </c>
      <c r="S11" s="40" t="str">
        <f aca="false">IF($R11="","",INDEX(usia_label,MATCH($R11,usia_min,1)))</f>
        <v/>
      </c>
      <c r="T11" s="36" t="s">
        <v>74</v>
      </c>
      <c r="U11" s="41"/>
      <c r="V11" s="36"/>
      <c r="W11" s="36" t="s">
        <v>97</v>
      </c>
      <c r="X11" s="40" t="str">
        <f aca="false">IF($M11="","",$M11&amp;"#"&amp;COUNTIF($M$4:$M11,$M11))</f>
        <v>Kp. Kuda Kuda - RT 001/003#1</v>
      </c>
      <c r="Y11" s="40" t="str">
        <f aca="false">IF($B11="","",IF($C11="","NIK kosong",IF(LEN($C11)&lt;&gt;16,"NIK bukan 16 digit",IF(COUNTIF($C$4:$C$2003,$C11&amp;"*")&gt;1,"NIK ganda",IF(AND($D11&lt;&gt;"",LEN($D11)&lt;&gt;16),"No. KK bukan 16 digit",IF(AND($F11="",$I11=""),"Alamat kosong",IF($N11="","Jabatan kosong",IF($O11="","No. HP kosong",IF(AND($R11&lt;&gt;"",$R11&lt;17),"Usia di bawah 17","")))))))))</f>
        <v>NIK kosong</v>
      </c>
      <c r="Z11" s="40" t="n">
        <f aca="false">IF($B11="","",IF(AND(OR(CARI!$C$5="",ISNUMBER(SEARCH(CARI!$C$5,$B11&amp;" "&amp;$C11&amp;" "&amp;$D11&amp;" "&amp;$O11&amp;" "&amp;$I11&amp;" "&amp;$F11&amp;" "&amp;$J11&amp;" "&amp;$K11&amp;" "&amp;$L11&amp;" "&amp;$V11))),OR(CARI!$C$6="",$F11=CARI!$C$6),OR(CARI!$C$7="",$G11=CARI!$C$7),OR(CARI!$C$8="",$T11=CARI!$C$8)),MAX($Z$3:Z10)+1,""))</f>
        <v>8</v>
      </c>
      <c r="AA11" s="40" t="n">
        <f aca="false">IF($Y11="","",MAX($AA$3:AA10)+1)</f>
        <v>8</v>
      </c>
      <c r="AB11" s="40" t="str">
        <f aca="false">IF($F11="","",$F11&amp;"#"&amp;COUNTIF($F$4:$F11,$F11))</f>
        <v>Kp. Kuda Kuda#2</v>
      </c>
      <c r="AC11" s="40" t="n">
        <f aca="false">IF($B11="","",IF(AND(OR(CETAK!$J$10="",$F11=CETAK!$J$10),OR(CETAK!$J$11="",$G11=CETAK!$J$11),OR(CETAK!$J$12="",$P11=CETAK!$J$12),OR(CETAK!$J$13="",$N11=CETAK!$J$13),OR(CETAK!$J$14="",$T11=CETAK!$J$14)),MAX($AC$3:AC10)+1,""))</f>
        <v>8</v>
      </c>
      <c r="AD11" s="40" t="n">
        <f aca="false">IF($B11="","",IF(AND(OR(ABSENSI!$H$10="",$F11=ABSENSI!$H$10),OR(ABSENSI!$H$11="",$G11=ABSENSI!$H$11),OR(ABSENSI!$H$12="",$P11=ABSENSI!$H$12)),MAX($AD$3:AD10)+1,""))</f>
        <v>8</v>
      </c>
      <c r="AE11" s="40" t="n">
        <f aca="false">IF($B11="","",IF(AND(OR(KARTU!$K$6="",$F11=KARTU!$K$6),OR(KARTU!$K$7="",$G11=KARTU!$K$7),OR(KARTU!$K$8="",$P11=KARTU!$K$8)),MAX($AE$3:AE10)+1,""))</f>
        <v>8</v>
      </c>
    </row>
    <row r="12" customFormat="false" ht="15" hidden="false" customHeight="false" outlineLevel="0" collapsed="false">
      <c r="A12" s="35" t="n">
        <f aca="false">IF($B12="","",COUNTA($B$4:$B12))</f>
        <v>9</v>
      </c>
      <c r="B12" s="36" t="s">
        <v>98</v>
      </c>
      <c r="C12" s="37"/>
      <c r="D12" s="37"/>
      <c r="E12" s="38"/>
      <c r="F12" s="36" t="s">
        <v>77</v>
      </c>
      <c r="G12" s="39"/>
      <c r="H12" s="39"/>
      <c r="I12" s="36"/>
      <c r="J12" s="36"/>
      <c r="K12" s="36"/>
      <c r="L12" s="36"/>
      <c r="M12" s="40" t="str">
        <f aca="false">IF($F12="","",$F12&amp;IF($G12="",""," - RT "&amp;$G12&amp;IF($H12="","","/"&amp;$H12)))</f>
        <v>Kp. Gamprit</v>
      </c>
      <c r="N12" s="36" t="s">
        <v>73</v>
      </c>
      <c r="O12" s="37"/>
      <c r="P12" s="39"/>
      <c r="Q12" s="41"/>
      <c r="R12" s="35" t="str">
        <f aca="true">IF(OR($B12="",$Q12=""),"",DATEDIF($Q12,TODAY(),"Y"))</f>
        <v/>
      </c>
      <c r="S12" s="40" t="str">
        <f aca="false">IF($R12="","",INDEX(usia_label,MATCH($R12,usia_min,1)))</f>
        <v/>
      </c>
      <c r="T12" s="36" t="s">
        <v>74</v>
      </c>
      <c r="U12" s="41"/>
      <c r="V12" s="36"/>
      <c r="W12" s="36" t="s">
        <v>99</v>
      </c>
      <c r="X12" s="40" t="str">
        <f aca="false">IF($M12="","",$M12&amp;"#"&amp;COUNTIF($M$4:$M12,$M12))</f>
        <v>Kp. Gamprit#3</v>
      </c>
      <c r="Y12" s="40" t="str">
        <f aca="false">IF($B12="","",IF($C12="","NIK kosong",IF(LEN($C12)&lt;&gt;16,"NIK bukan 16 digit",IF(COUNTIF($C$4:$C$2003,$C12&amp;"*")&gt;1,"NIK ganda",IF(AND($D12&lt;&gt;"",LEN($D12)&lt;&gt;16),"No. KK bukan 16 digit",IF(AND($F12="",$I12=""),"Alamat kosong",IF($N12="","Jabatan kosong",IF($O12="","No. HP kosong",IF(AND($R12&lt;&gt;"",$R12&lt;17),"Usia di bawah 17","")))))))))</f>
        <v>NIK kosong</v>
      </c>
      <c r="Z12" s="40" t="n">
        <f aca="false">IF($B12="","",IF(AND(OR(CARI!$C$5="",ISNUMBER(SEARCH(CARI!$C$5,$B12&amp;" "&amp;$C12&amp;" "&amp;$D12&amp;" "&amp;$O12&amp;" "&amp;$I12&amp;" "&amp;$F12&amp;" "&amp;$J12&amp;" "&amp;$K12&amp;" "&amp;$L12&amp;" "&amp;$V12))),OR(CARI!$C$6="",$F12=CARI!$C$6),OR(CARI!$C$7="",$G12=CARI!$C$7),OR(CARI!$C$8="",$T12=CARI!$C$8)),MAX($Z$3:Z11)+1,""))</f>
        <v>9</v>
      </c>
      <c r="AA12" s="40" t="n">
        <f aca="false">IF($Y12="","",MAX($AA$3:AA11)+1)</f>
        <v>9</v>
      </c>
      <c r="AB12" s="40" t="str">
        <f aca="false">IF($F12="","",$F12&amp;"#"&amp;COUNTIF($F$4:$F12,$F12))</f>
        <v>Kp. Gamprit#3</v>
      </c>
      <c r="AC12" s="40" t="n">
        <f aca="false">IF($B12="","",IF(AND(OR(CETAK!$J$10="",$F12=CETAK!$J$10),OR(CETAK!$J$11="",$G12=CETAK!$J$11),OR(CETAK!$J$12="",$P12=CETAK!$J$12),OR(CETAK!$J$13="",$N12=CETAK!$J$13),OR(CETAK!$J$14="",$T12=CETAK!$J$14)),MAX($AC$3:AC11)+1,""))</f>
        <v>9</v>
      </c>
      <c r="AD12" s="40" t="n">
        <f aca="false">IF($B12="","",IF(AND(OR(ABSENSI!$H$10="",$F12=ABSENSI!$H$10),OR(ABSENSI!$H$11="",$G12=ABSENSI!$H$11),OR(ABSENSI!$H$12="",$P12=ABSENSI!$H$12)),MAX($AD$3:AD11)+1,""))</f>
        <v>9</v>
      </c>
      <c r="AE12" s="40" t="n">
        <f aca="false">IF($B12="","",IF(AND(OR(KARTU!$K$6="",$F12=KARTU!$K$6),OR(KARTU!$K$7="",$G12=KARTU!$K$7),OR(KARTU!$K$8="",$P12=KARTU!$K$8)),MAX($AE$3:AE11)+1,""))</f>
        <v>9</v>
      </c>
    </row>
    <row r="13" customFormat="false" ht="15" hidden="false" customHeight="false" outlineLevel="0" collapsed="false">
      <c r="A13" s="35" t="n">
        <f aca="false">IF($B13="","",COUNTA($B$4:$B13))</f>
        <v>10</v>
      </c>
      <c r="B13" s="36" t="s">
        <v>100</v>
      </c>
      <c r="C13" s="37"/>
      <c r="D13" s="37"/>
      <c r="E13" s="38"/>
      <c r="F13" s="36" t="s">
        <v>88</v>
      </c>
      <c r="G13" s="39" t="s">
        <v>70</v>
      </c>
      <c r="H13" s="39" t="s">
        <v>101</v>
      </c>
      <c r="I13" s="36"/>
      <c r="J13" s="36"/>
      <c r="K13" s="36" t="s">
        <v>102</v>
      </c>
      <c r="L13" s="36" t="s">
        <v>96</v>
      </c>
      <c r="M13" s="40" t="str">
        <f aca="false">IF($F13="","",$F13&amp;IF($G13="",""," - RT "&amp;$G13&amp;IF($H13="","","/"&amp;$H13)))</f>
        <v>Kp. Kuda Kuda - RT 001/004</v>
      </c>
      <c r="N13" s="36" t="s">
        <v>73</v>
      </c>
      <c r="O13" s="37"/>
      <c r="P13" s="39"/>
      <c r="Q13" s="41"/>
      <c r="R13" s="35" t="str">
        <f aca="true">IF(OR($B13="",$Q13=""),"",DATEDIF($Q13,TODAY(),"Y"))</f>
        <v/>
      </c>
      <c r="S13" s="40" t="str">
        <f aca="false">IF($R13="","",INDEX(usia_label,MATCH($R13,usia_min,1)))</f>
        <v/>
      </c>
      <c r="T13" s="36" t="s">
        <v>74</v>
      </c>
      <c r="U13" s="41"/>
      <c r="V13" s="36"/>
      <c r="W13" s="36" t="s">
        <v>103</v>
      </c>
      <c r="X13" s="40" t="str">
        <f aca="false">IF($M13="","",$M13&amp;"#"&amp;COUNTIF($M$4:$M13,$M13))</f>
        <v>Kp. Kuda Kuda - RT 001/004#1</v>
      </c>
      <c r="Y13" s="40" t="str">
        <f aca="false">IF($B13="","",IF($C13="","NIK kosong",IF(LEN($C13)&lt;&gt;16,"NIK bukan 16 digit",IF(COUNTIF($C$4:$C$2003,$C13&amp;"*")&gt;1,"NIK ganda",IF(AND($D13&lt;&gt;"",LEN($D13)&lt;&gt;16),"No. KK bukan 16 digit",IF(AND($F13="",$I13=""),"Alamat kosong",IF($N13="","Jabatan kosong",IF($O13="","No. HP kosong",IF(AND($R13&lt;&gt;"",$R13&lt;17),"Usia di bawah 17","")))))))))</f>
        <v>NIK kosong</v>
      </c>
      <c r="Z13" s="40" t="n">
        <f aca="false">IF($B13="","",IF(AND(OR(CARI!$C$5="",ISNUMBER(SEARCH(CARI!$C$5,$B13&amp;" "&amp;$C13&amp;" "&amp;$D13&amp;" "&amp;$O13&amp;" "&amp;$I13&amp;" "&amp;$F13&amp;" "&amp;$J13&amp;" "&amp;$K13&amp;" "&amp;$L13&amp;" "&amp;$V13))),OR(CARI!$C$6="",$F13=CARI!$C$6),OR(CARI!$C$7="",$G13=CARI!$C$7),OR(CARI!$C$8="",$T13=CARI!$C$8)),MAX($Z$3:Z12)+1,""))</f>
        <v>10</v>
      </c>
      <c r="AA13" s="40" t="n">
        <f aca="false">IF($Y13="","",MAX($AA$3:AA12)+1)</f>
        <v>10</v>
      </c>
      <c r="AB13" s="40" t="str">
        <f aca="false">IF($F13="","",$F13&amp;"#"&amp;COUNTIF($F$4:$F13,$F13))</f>
        <v>Kp. Kuda Kuda#3</v>
      </c>
      <c r="AC13" s="40" t="n">
        <f aca="false">IF($B13="","",IF(AND(OR(CETAK!$J$10="",$F13=CETAK!$J$10),OR(CETAK!$J$11="",$G13=CETAK!$J$11),OR(CETAK!$J$12="",$P13=CETAK!$J$12),OR(CETAK!$J$13="",$N13=CETAK!$J$13),OR(CETAK!$J$14="",$T13=CETAK!$J$14)),MAX($AC$3:AC12)+1,""))</f>
        <v>10</v>
      </c>
      <c r="AD13" s="40" t="n">
        <f aca="false">IF($B13="","",IF(AND(OR(ABSENSI!$H$10="",$F13=ABSENSI!$H$10),OR(ABSENSI!$H$11="",$G13=ABSENSI!$H$11),OR(ABSENSI!$H$12="",$P13=ABSENSI!$H$12)),MAX($AD$3:AD12)+1,""))</f>
        <v>10</v>
      </c>
      <c r="AE13" s="40" t="n">
        <f aca="false">IF($B13="","",IF(AND(OR(KARTU!$K$6="",$F13=KARTU!$K$6),OR(KARTU!$K$7="",$G13=KARTU!$K$7),OR(KARTU!$K$8="",$P13=KARTU!$K$8)),MAX($AE$3:AE12)+1,""))</f>
        <v>10</v>
      </c>
    </row>
    <row r="14" customFormat="false" ht="15" hidden="false" customHeight="false" outlineLevel="0" collapsed="false">
      <c r="A14" s="35" t="n">
        <f aca="false">IF($B14="","",COUNTA($B$4:$B14))</f>
        <v>11</v>
      </c>
      <c r="B14" s="36" t="s">
        <v>104</v>
      </c>
      <c r="C14" s="37"/>
      <c r="D14" s="37"/>
      <c r="E14" s="38"/>
      <c r="F14" s="36"/>
      <c r="G14" s="39" t="s">
        <v>70</v>
      </c>
      <c r="H14" s="39" t="s">
        <v>101</v>
      </c>
      <c r="I14" s="36"/>
      <c r="J14" s="36"/>
      <c r="K14" s="36" t="s">
        <v>102</v>
      </c>
      <c r="L14" s="36" t="s">
        <v>96</v>
      </c>
      <c r="M14" s="40" t="str">
        <f aca="false">IF($F14="","",$F14&amp;IF($G14="",""," - RT "&amp;$G14&amp;IF($H14="","","/"&amp;$H14)))</f>
        <v/>
      </c>
      <c r="N14" s="36" t="s">
        <v>73</v>
      </c>
      <c r="O14" s="37"/>
      <c r="P14" s="39"/>
      <c r="Q14" s="41"/>
      <c r="R14" s="35" t="str">
        <f aca="true">IF(OR($B14="",$Q14=""),"",DATEDIF($Q14,TODAY(),"Y"))</f>
        <v/>
      </c>
      <c r="S14" s="40" t="str">
        <f aca="false">IF($R14="","",INDEX(usia_label,MATCH($R14,usia_min,1)))</f>
        <v/>
      </c>
      <c r="T14" s="36" t="s">
        <v>74</v>
      </c>
      <c r="U14" s="41"/>
      <c r="V14" s="36"/>
      <c r="W14" s="36" t="s">
        <v>105</v>
      </c>
      <c r="X14" s="40" t="str">
        <f aca="false">IF($M14="","",$M14&amp;"#"&amp;COUNTIF($M$4:$M14,$M14))</f>
        <v/>
      </c>
      <c r="Y14" s="40" t="str">
        <f aca="false">IF($B14="","",IF($C14="","NIK kosong",IF(LEN($C14)&lt;&gt;16,"NIK bukan 16 digit",IF(COUNTIF($C$4:$C$2003,$C14&amp;"*")&gt;1,"NIK ganda",IF(AND($D14&lt;&gt;"",LEN($D14)&lt;&gt;16),"No. KK bukan 16 digit",IF(AND($F14="",$I14=""),"Alamat kosong",IF($N14="","Jabatan kosong",IF($O14="","No. HP kosong",IF(AND($R14&lt;&gt;"",$R14&lt;17),"Usia di bawah 17","")))))))))</f>
        <v>NIK kosong</v>
      </c>
      <c r="Z14" s="40" t="n">
        <f aca="false">IF($B14="","",IF(AND(OR(CARI!$C$5="",ISNUMBER(SEARCH(CARI!$C$5,$B14&amp;" "&amp;$C14&amp;" "&amp;$D14&amp;" "&amp;$O14&amp;" "&amp;$I14&amp;" "&amp;$F14&amp;" "&amp;$J14&amp;" "&amp;$K14&amp;" "&amp;$L14&amp;" "&amp;$V14))),OR(CARI!$C$6="",$F14=CARI!$C$6),OR(CARI!$C$7="",$G14=CARI!$C$7),OR(CARI!$C$8="",$T14=CARI!$C$8)),MAX($Z$3:Z13)+1,""))</f>
        <v>11</v>
      </c>
      <c r="AA14" s="40" t="n">
        <f aca="false">IF($Y14="","",MAX($AA$3:AA13)+1)</f>
        <v>11</v>
      </c>
      <c r="AB14" s="40" t="str">
        <f aca="false">IF($F14="","",$F14&amp;"#"&amp;COUNTIF($F$4:$F14,$F14))</f>
        <v/>
      </c>
      <c r="AC14" s="40" t="n">
        <f aca="false">IF($B14="","",IF(AND(OR(CETAK!$J$10="",$F14=CETAK!$J$10),OR(CETAK!$J$11="",$G14=CETAK!$J$11),OR(CETAK!$J$12="",$P14=CETAK!$J$12),OR(CETAK!$J$13="",$N14=CETAK!$J$13),OR(CETAK!$J$14="",$T14=CETAK!$J$14)),MAX($AC$3:AC13)+1,""))</f>
        <v>11</v>
      </c>
      <c r="AD14" s="40" t="n">
        <f aca="false">IF($B14="","",IF(AND(OR(ABSENSI!$H$10="",$F14=ABSENSI!$H$10),OR(ABSENSI!$H$11="",$G14=ABSENSI!$H$11),OR(ABSENSI!$H$12="",$P14=ABSENSI!$H$12)),MAX($AD$3:AD13)+1,""))</f>
        <v>11</v>
      </c>
      <c r="AE14" s="40" t="n">
        <f aca="false">IF($B14="","",IF(AND(OR(KARTU!$K$6="",$F14=KARTU!$K$6),OR(KARTU!$K$7="",$G14=KARTU!$K$7),OR(KARTU!$K$8="",$P14=KARTU!$K$8)),MAX($AE$3:AE13)+1,""))</f>
        <v>11</v>
      </c>
    </row>
    <row r="15" customFormat="false" ht="15" hidden="false" customHeight="false" outlineLevel="0" collapsed="false">
      <c r="A15" s="35" t="n">
        <f aca="false">IF($B15="","",COUNTA($B$4:$B15))</f>
        <v>12</v>
      </c>
      <c r="B15" s="36" t="s">
        <v>106</v>
      </c>
      <c r="C15" s="37"/>
      <c r="D15" s="37"/>
      <c r="E15" s="38"/>
      <c r="F15" s="36" t="s">
        <v>88</v>
      </c>
      <c r="G15" s="39" t="s">
        <v>94</v>
      </c>
      <c r="H15" s="39" t="s">
        <v>70</v>
      </c>
      <c r="I15" s="36"/>
      <c r="J15" s="36" t="s">
        <v>107</v>
      </c>
      <c r="K15" s="36" t="s">
        <v>71</v>
      </c>
      <c r="L15" s="36" t="s">
        <v>72</v>
      </c>
      <c r="M15" s="40" t="str">
        <f aca="false">IF($F15="","",$F15&amp;IF($G15="",""," - RT "&amp;$G15&amp;IF($H15="","","/"&amp;$H15)))</f>
        <v>Kp. Kuda Kuda - RT 003/001</v>
      </c>
      <c r="N15" s="36" t="s">
        <v>73</v>
      </c>
      <c r="O15" s="37"/>
      <c r="P15" s="39"/>
      <c r="Q15" s="41"/>
      <c r="R15" s="35" t="str">
        <f aca="true">IF(OR($B15="",$Q15=""),"",DATEDIF($Q15,TODAY(),"Y"))</f>
        <v/>
      </c>
      <c r="S15" s="40" t="str">
        <f aca="false">IF($R15="","",INDEX(usia_label,MATCH($R15,usia_min,1)))</f>
        <v/>
      </c>
      <c r="T15" s="36" t="s">
        <v>74</v>
      </c>
      <c r="U15" s="41"/>
      <c r="V15" s="36"/>
      <c r="W15" s="36" t="s">
        <v>108</v>
      </c>
      <c r="X15" s="40" t="str">
        <f aca="false">IF($M15="","",$M15&amp;"#"&amp;COUNTIF($M$4:$M15,$M15))</f>
        <v>Kp. Kuda Kuda - RT 003/001#1</v>
      </c>
      <c r="Y15" s="40" t="str">
        <f aca="false">IF($B15="","",IF($C15="","NIK kosong",IF(LEN($C15)&lt;&gt;16,"NIK bukan 16 digit",IF(COUNTIF($C$4:$C$2003,$C15&amp;"*")&gt;1,"NIK ganda",IF(AND($D15&lt;&gt;"",LEN($D15)&lt;&gt;16),"No. KK bukan 16 digit",IF(AND($F15="",$I15=""),"Alamat kosong",IF($N15="","Jabatan kosong",IF($O15="","No. HP kosong",IF(AND($R15&lt;&gt;"",$R15&lt;17),"Usia di bawah 17","")))))))))</f>
        <v>NIK kosong</v>
      </c>
      <c r="Z15" s="40" t="n">
        <f aca="false">IF($B15="","",IF(AND(OR(CARI!$C$5="",ISNUMBER(SEARCH(CARI!$C$5,$B15&amp;" "&amp;$C15&amp;" "&amp;$D15&amp;" "&amp;$O15&amp;" "&amp;$I15&amp;" "&amp;$F15&amp;" "&amp;$J15&amp;" "&amp;$K15&amp;" "&amp;$L15&amp;" "&amp;$V15))),OR(CARI!$C$6="",$F15=CARI!$C$6),OR(CARI!$C$7="",$G15=CARI!$C$7),OR(CARI!$C$8="",$T15=CARI!$C$8)),MAX($Z$3:Z14)+1,""))</f>
        <v>12</v>
      </c>
      <c r="AA15" s="40" t="n">
        <f aca="false">IF($Y15="","",MAX($AA$3:AA14)+1)</f>
        <v>12</v>
      </c>
      <c r="AB15" s="40" t="str">
        <f aca="false">IF($F15="","",$F15&amp;"#"&amp;COUNTIF($F$4:$F15,$F15))</f>
        <v>Kp. Kuda Kuda#4</v>
      </c>
      <c r="AC15" s="40" t="n">
        <f aca="false">IF($B15="","",IF(AND(OR(CETAK!$J$10="",$F15=CETAK!$J$10),OR(CETAK!$J$11="",$G15=CETAK!$J$11),OR(CETAK!$J$12="",$P15=CETAK!$J$12),OR(CETAK!$J$13="",$N15=CETAK!$J$13),OR(CETAK!$J$14="",$T15=CETAK!$J$14)),MAX($AC$3:AC14)+1,""))</f>
        <v>12</v>
      </c>
      <c r="AD15" s="40" t="n">
        <f aca="false">IF($B15="","",IF(AND(OR(ABSENSI!$H$10="",$F15=ABSENSI!$H$10),OR(ABSENSI!$H$11="",$G15=ABSENSI!$H$11),OR(ABSENSI!$H$12="",$P15=ABSENSI!$H$12)),MAX($AD$3:AD14)+1,""))</f>
        <v>12</v>
      </c>
      <c r="AE15" s="40" t="n">
        <f aca="false">IF($B15="","",IF(AND(OR(KARTU!$K$6="",$F15=KARTU!$K$6),OR(KARTU!$K$7="",$G15=KARTU!$K$7),OR(KARTU!$K$8="",$P15=KARTU!$K$8)),MAX($AE$3:AE14)+1,""))</f>
        <v>12</v>
      </c>
    </row>
    <row r="16" customFormat="false" ht="15" hidden="false" customHeight="false" outlineLevel="0" collapsed="false">
      <c r="A16" s="35" t="n">
        <f aca="false">IF($B16="","",COUNTA($B$4:$B16))</f>
        <v>13</v>
      </c>
      <c r="B16" s="36" t="s">
        <v>109</v>
      </c>
      <c r="C16" s="37"/>
      <c r="D16" s="37"/>
      <c r="E16" s="38"/>
      <c r="F16" s="36" t="s">
        <v>85</v>
      </c>
      <c r="G16" s="39" t="s">
        <v>101</v>
      </c>
      <c r="H16" s="39" t="s">
        <v>110</v>
      </c>
      <c r="I16" s="36"/>
      <c r="J16" s="36"/>
      <c r="K16" s="36" t="s">
        <v>111</v>
      </c>
      <c r="L16" s="36" t="s">
        <v>112</v>
      </c>
      <c r="M16" s="40" t="str">
        <f aca="false">IF($F16="","",$F16&amp;IF($G16="",""," - RT "&amp;$G16&amp;IF($H16="","","/"&amp;$H16)))</f>
        <v>Kp. Wangkal - RT 004/006</v>
      </c>
      <c r="N16" s="36" t="s">
        <v>73</v>
      </c>
      <c r="O16" s="37"/>
      <c r="P16" s="39"/>
      <c r="Q16" s="41"/>
      <c r="R16" s="35" t="str">
        <f aca="true">IF(OR($B16="",$Q16=""),"",DATEDIF($Q16,TODAY(),"Y"))</f>
        <v/>
      </c>
      <c r="S16" s="40" t="str">
        <f aca="false">IF($R16="","",INDEX(usia_label,MATCH($R16,usia_min,1)))</f>
        <v/>
      </c>
      <c r="T16" s="36" t="s">
        <v>74</v>
      </c>
      <c r="U16" s="41"/>
      <c r="V16" s="36"/>
      <c r="W16" s="36" t="s">
        <v>113</v>
      </c>
      <c r="X16" s="40" t="str">
        <f aca="false">IF($M16="","",$M16&amp;"#"&amp;COUNTIF($M$4:$M16,$M16))</f>
        <v>Kp. Wangkal - RT 004/006#1</v>
      </c>
      <c r="Y16" s="40" t="str">
        <f aca="false">IF($B16="","",IF($C16="","NIK kosong",IF(LEN($C16)&lt;&gt;16,"NIK bukan 16 digit",IF(COUNTIF($C$4:$C$2003,$C16&amp;"*")&gt;1,"NIK ganda",IF(AND($D16&lt;&gt;"",LEN($D16)&lt;&gt;16),"No. KK bukan 16 digit",IF(AND($F16="",$I16=""),"Alamat kosong",IF($N16="","Jabatan kosong",IF($O16="","No. HP kosong",IF(AND($R16&lt;&gt;"",$R16&lt;17),"Usia di bawah 17","")))))))))</f>
        <v>NIK kosong</v>
      </c>
      <c r="Z16" s="40" t="n">
        <f aca="false">IF($B16="","",IF(AND(OR(CARI!$C$5="",ISNUMBER(SEARCH(CARI!$C$5,$B16&amp;" "&amp;$C16&amp;" "&amp;$D16&amp;" "&amp;$O16&amp;" "&amp;$I16&amp;" "&amp;$F16&amp;" "&amp;$J16&amp;" "&amp;$K16&amp;" "&amp;$L16&amp;" "&amp;$V16))),OR(CARI!$C$6="",$F16=CARI!$C$6),OR(CARI!$C$7="",$G16=CARI!$C$7),OR(CARI!$C$8="",$T16=CARI!$C$8)),MAX($Z$3:Z15)+1,""))</f>
        <v>13</v>
      </c>
      <c r="AA16" s="40" t="n">
        <f aca="false">IF($Y16="","",MAX($AA$3:AA15)+1)</f>
        <v>13</v>
      </c>
      <c r="AB16" s="40" t="str">
        <f aca="false">IF($F16="","",$F16&amp;"#"&amp;COUNTIF($F$4:$F16,$F16))</f>
        <v>Kp. Wangkal#2</v>
      </c>
      <c r="AC16" s="40" t="n">
        <f aca="false">IF($B16="","",IF(AND(OR(CETAK!$J$10="",$F16=CETAK!$J$10),OR(CETAK!$J$11="",$G16=CETAK!$J$11),OR(CETAK!$J$12="",$P16=CETAK!$J$12),OR(CETAK!$J$13="",$N16=CETAK!$J$13),OR(CETAK!$J$14="",$T16=CETAK!$J$14)),MAX($AC$3:AC15)+1,""))</f>
        <v>13</v>
      </c>
      <c r="AD16" s="40" t="n">
        <f aca="false">IF($B16="","",IF(AND(OR(ABSENSI!$H$10="",$F16=ABSENSI!$H$10),OR(ABSENSI!$H$11="",$G16=ABSENSI!$H$11),OR(ABSENSI!$H$12="",$P16=ABSENSI!$H$12)),MAX($AD$3:AD15)+1,""))</f>
        <v>13</v>
      </c>
      <c r="AE16" s="40" t="n">
        <f aca="false">IF($B16="","",IF(AND(OR(KARTU!$K$6="",$F16=KARTU!$K$6),OR(KARTU!$K$7="",$G16=KARTU!$K$7),OR(KARTU!$K$8="",$P16=KARTU!$K$8)),MAX($AE$3:AE15)+1,""))</f>
        <v>13</v>
      </c>
    </row>
    <row r="17" customFormat="false" ht="15" hidden="false" customHeight="false" outlineLevel="0" collapsed="false">
      <c r="A17" s="35" t="n">
        <f aca="false">IF($B17="","",COUNTA($B$4:$B17))</f>
        <v>14</v>
      </c>
      <c r="B17" s="36" t="s">
        <v>114</v>
      </c>
      <c r="C17" s="37"/>
      <c r="D17" s="37"/>
      <c r="E17" s="38"/>
      <c r="F17" s="36" t="s">
        <v>77</v>
      </c>
      <c r="G17" s="39" t="s">
        <v>94</v>
      </c>
      <c r="H17" s="39" t="s">
        <v>110</v>
      </c>
      <c r="I17" s="36"/>
      <c r="J17" s="36" t="s">
        <v>115</v>
      </c>
      <c r="K17" s="36" t="s">
        <v>111</v>
      </c>
      <c r="L17" s="36" t="s">
        <v>112</v>
      </c>
      <c r="M17" s="40" t="str">
        <f aca="false">IF($F17="","",$F17&amp;IF($G17="",""," - RT "&amp;$G17&amp;IF($H17="","","/"&amp;$H17)))</f>
        <v>Kp. Gamprit - RT 003/006</v>
      </c>
      <c r="N17" s="36" t="s">
        <v>73</v>
      </c>
      <c r="O17" s="37"/>
      <c r="P17" s="39"/>
      <c r="Q17" s="41"/>
      <c r="R17" s="35" t="str">
        <f aca="true">IF(OR($B17="",$Q17=""),"",DATEDIF($Q17,TODAY(),"Y"))</f>
        <v/>
      </c>
      <c r="S17" s="40" t="str">
        <f aca="false">IF($R17="","",INDEX(usia_label,MATCH($R17,usia_min,1)))</f>
        <v/>
      </c>
      <c r="T17" s="36" t="s">
        <v>74</v>
      </c>
      <c r="U17" s="41"/>
      <c r="V17" s="36"/>
      <c r="W17" s="36" t="s">
        <v>116</v>
      </c>
      <c r="X17" s="40" t="str">
        <f aca="false">IF($M17="","",$M17&amp;"#"&amp;COUNTIF($M$4:$M17,$M17))</f>
        <v>Kp. Gamprit - RT 003/006#1</v>
      </c>
      <c r="Y17" s="40" t="str">
        <f aca="false">IF($B17="","",IF($C17="","NIK kosong",IF(LEN($C17)&lt;&gt;16,"NIK bukan 16 digit",IF(COUNTIF($C$4:$C$2003,$C17&amp;"*")&gt;1,"NIK ganda",IF(AND($D17&lt;&gt;"",LEN($D17)&lt;&gt;16),"No. KK bukan 16 digit",IF(AND($F17="",$I17=""),"Alamat kosong",IF($N17="","Jabatan kosong",IF($O17="","No. HP kosong",IF(AND($R17&lt;&gt;"",$R17&lt;17),"Usia di bawah 17","")))))))))</f>
        <v>NIK kosong</v>
      </c>
      <c r="Z17" s="40" t="n">
        <f aca="false">IF($B17="","",IF(AND(OR(CARI!$C$5="",ISNUMBER(SEARCH(CARI!$C$5,$B17&amp;" "&amp;$C17&amp;" "&amp;$D17&amp;" "&amp;$O17&amp;" "&amp;$I17&amp;" "&amp;$F17&amp;" "&amp;$J17&amp;" "&amp;$K17&amp;" "&amp;$L17&amp;" "&amp;$V17))),OR(CARI!$C$6="",$F17=CARI!$C$6),OR(CARI!$C$7="",$G17=CARI!$C$7),OR(CARI!$C$8="",$T17=CARI!$C$8)),MAX($Z$3:Z16)+1,""))</f>
        <v>14</v>
      </c>
      <c r="AA17" s="40" t="n">
        <f aca="false">IF($Y17="","",MAX($AA$3:AA16)+1)</f>
        <v>14</v>
      </c>
      <c r="AB17" s="40" t="str">
        <f aca="false">IF($F17="","",$F17&amp;"#"&amp;COUNTIF($F$4:$F17,$F17))</f>
        <v>Kp. Gamprit#4</v>
      </c>
      <c r="AC17" s="40" t="n">
        <f aca="false">IF($B17="","",IF(AND(OR(CETAK!$J$10="",$F17=CETAK!$J$10),OR(CETAK!$J$11="",$G17=CETAK!$J$11),OR(CETAK!$J$12="",$P17=CETAK!$J$12),OR(CETAK!$J$13="",$N17=CETAK!$J$13),OR(CETAK!$J$14="",$T17=CETAK!$J$14)),MAX($AC$3:AC16)+1,""))</f>
        <v>14</v>
      </c>
      <c r="AD17" s="40" t="n">
        <f aca="false">IF($B17="","",IF(AND(OR(ABSENSI!$H$10="",$F17=ABSENSI!$H$10),OR(ABSENSI!$H$11="",$G17=ABSENSI!$H$11),OR(ABSENSI!$H$12="",$P17=ABSENSI!$H$12)),MAX($AD$3:AD16)+1,""))</f>
        <v>14</v>
      </c>
      <c r="AE17" s="40" t="n">
        <f aca="false">IF($B17="","",IF(AND(OR(KARTU!$K$6="",$F17=KARTU!$K$6),OR(KARTU!$K$7="",$G17=KARTU!$K$7),OR(KARTU!$K$8="",$P17=KARTU!$K$8)),MAX($AE$3:AE16)+1,""))</f>
        <v>14</v>
      </c>
    </row>
    <row r="18" customFormat="false" ht="15" hidden="false" customHeight="false" outlineLevel="0" collapsed="false">
      <c r="A18" s="35" t="n">
        <f aca="false">IF($B18="","",COUNTA($B$4:$B18))</f>
        <v>15</v>
      </c>
      <c r="B18" s="36" t="s">
        <v>117</v>
      </c>
      <c r="C18" s="37"/>
      <c r="D18" s="37"/>
      <c r="E18" s="38"/>
      <c r="F18" s="36" t="s">
        <v>77</v>
      </c>
      <c r="G18" s="39" t="s">
        <v>118</v>
      </c>
      <c r="H18" s="39" t="s">
        <v>119</v>
      </c>
      <c r="I18" s="36"/>
      <c r="J18" s="36"/>
      <c r="K18" s="36" t="s">
        <v>120</v>
      </c>
      <c r="L18" s="36" t="s">
        <v>112</v>
      </c>
      <c r="M18" s="40" t="str">
        <f aca="false">IF($F18="","",$F18&amp;IF($G18="",""," - RT "&amp;$G18&amp;IF($H18="","","/"&amp;$H18)))</f>
        <v>Kp. Gamprit - RT 002/005</v>
      </c>
      <c r="N18" s="36" t="s">
        <v>121</v>
      </c>
      <c r="O18" s="37"/>
      <c r="P18" s="39"/>
      <c r="Q18" s="41"/>
      <c r="R18" s="35" t="str">
        <f aca="true">IF(OR($B18="",$Q18=""),"",DATEDIF($Q18,TODAY(),"Y"))</f>
        <v/>
      </c>
      <c r="S18" s="40" t="str">
        <f aca="false">IF($R18="","",INDEX(usia_label,MATCH($R18,usia_min,1)))</f>
        <v/>
      </c>
      <c r="T18" s="36" t="s">
        <v>74</v>
      </c>
      <c r="U18" s="41"/>
      <c r="V18" s="36"/>
      <c r="W18" s="36" t="s">
        <v>122</v>
      </c>
      <c r="X18" s="40" t="str">
        <f aca="false">IF($M18="","",$M18&amp;"#"&amp;COUNTIF($M$4:$M18,$M18))</f>
        <v>Kp. Gamprit - RT 002/005#1</v>
      </c>
      <c r="Y18" s="40" t="str">
        <f aca="false">IF($B18="","",IF($C18="","NIK kosong",IF(LEN($C18)&lt;&gt;16,"NIK bukan 16 digit",IF(COUNTIF($C$4:$C$2003,$C18&amp;"*")&gt;1,"NIK ganda",IF(AND($D18&lt;&gt;"",LEN($D18)&lt;&gt;16),"No. KK bukan 16 digit",IF(AND($F18="",$I18=""),"Alamat kosong",IF($N18="","Jabatan kosong",IF($O18="","No. HP kosong",IF(AND($R18&lt;&gt;"",$R18&lt;17),"Usia di bawah 17","")))))))))</f>
        <v>NIK kosong</v>
      </c>
      <c r="Z18" s="40" t="n">
        <f aca="false">IF($B18="","",IF(AND(OR(CARI!$C$5="",ISNUMBER(SEARCH(CARI!$C$5,$B18&amp;" "&amp;$C18&amp;" "&amp;$D18&amp;" "&amp;$O18&amp;" "&amp;$I18&amp;" "&amp;$F18&amp;" "&amp;$J18&amp;" "&amp;$K18&amp;" "&amp;$L18&amp;" "&amp;$V18))),OR(CARI!$C$6="",$F18=CARI!$C$6),OR(CARI!$C$7="",$G18=CARI!$C$7),OR(CARI!$C$8="",$T18=CARI!$C$8)),MAX($Z$3:Z17)+1,""))</f>
        <v>15</v>
      </c>
      <c r="AA18" s="40" t="n">
        <f aca="false">IF($Y18="","",MAX($AA$3:AA17)+1)</f>
        <v>15</v>
      </c>
      <c r="AB18" s="40" t="str">
        <f aca="false">IF($F18="","",$F18&amp;"#"&amp;COUNTIF($F$4:$F18,$F18))</f>
        <v>Kp. Gamprit#5</v>
      </c>
      <c r="AC18" s="40" t="n">
        <f aca="false">IF($B18="","",IF(AND(OR(CETAK!$J$10="",$F18=CETAK!$J$10),OR(CETAK!$J$11="",$G18=CETAK!$J$11),OR(CETAK!$J$12="",$P18=CETAK!$J$12),OR(CETAK!$J$13="",$N18=CETAK!$J$13),OR(CETAK!$J$14="",$T18=CETAK!$J$14)),MAX($AC$3:AC17)+1,""))</f>
        <v>15</v>
      </c>
      <c r="AD18" s="40" t="n">
        <f aca="false">IF($B18="","",IF(AND(OR(ABSENSI!$H$10="",$F18=ABSENSI!$H$10),OR(ABSENSI!$H$11="",$G18=ABSENSI!$H$11),OR(ABSENSI!$H$12="",$P18=ABSENSI!$H$12)),MAX($AD$3:AD17)+1,""))</f>
        <v>15</v>
      </c>
      <c r="AE18" s="40" t="n">
        <f aca="false">IF($B18="","",IF(AND(OR(KARTU!$K$6="",$F18=KARTU!$K$6),OR(KARTU!$K$7="",$G18=KARTU!$K$7),OR(KARTU!$K$8="",$P18=KARTU!$K$8)),MAX($AE$3:AE17)+1,""))</f>
        <v>15</v>
      </c>
    </row>
    <row r="19" customFormat="false" ht="15" hidden="false" customHeight="false" outlineLevel="0" collapsed="false">
      <c r="A19" s="35" t="n">
        <f aca="false">IF($B19="","",COUNTA($B$4:$B19))</f>
        <v>16</v>
      </c>
      <c r="B19" s="36" t="s">
        <v>123</v>
      </c>
      <c r="C19" s="37"/>
      <c r="D19" s="37"/>
      <c r="E19" s="38"/>
      <c r="F19" s="36" t="s">
        <v>77</v>
      </c>
      <c r="G19" s="39" t="s">
        <v>94</v>
      </c>
      <c r="H19" s="39" t="s">
        <v>110</v>
      </c>
      <c r="I19" s="36"/>
      <c r="J19" s="36" t="s">
        <v>115</v>
      </c>
      <c r="K19" s="36" t="s">
        <v>111</v>
      </c>
      <c r="L19" s="36" t="s">
        <v>112</v>
      </c>
      <c r="M19" s="40" t="str">
        <f aca="false">IF($F19="","",$F19&amp;IF($G19="",""," - RT "&amp;$G19&amp;IF($H19="","","/"&amp;$H19)))</f>
        <v>Kp. Gamprit - RT 003/006</v>
      </c>
      <c r="N19" s="36" t="s">
        <v>73</v>
      </c>
      <c r="O19" s="37"/>
      <c r="P19" s="39"/>
      <c r="Q19" s="41"/>
      <c r="R19" s="35" t="str">
        <f aca="true">IF(OR($B19="",$Q19=""),"",DATEDIF($Q19,TODAY(),"Y"))</f>
        <v/>
      </c>
      <c r="S19" s="40" t="str">
        <f aca="false">IF($R19="","",INDEX(usia_label,MATCH($R19,usia_min,1)))</f>
        <v/>
      </c>
      <c r="T19" s="36" t="s">
        <v>74</v>
      </c>
      <c r="U19" s="41"/>
      <c r="V19" s="36"/>
      <c r="W19" s="36" t="s">
        <v>124</v>
      </c>
      <c r="X19" s="40" t="str">
        <f aca="false">IF($M19="","",$M19&amp;"#"&amp;COUNTIF($M$4:$M19,$M19))</f>
        <v>Kp. Gamprit - RT 003/006#2</v>
      </c>
      <c r="Y19" s="40" t="str">
        <f aca="false">IF($B19="","",IF($C19="","NIK kosong",IF(LEN($C19)&lt;&gt;16,"NIK bukan 16 digit",IF(COUNTIF($C$4:$C$2003,$C19&amp;"*")&gt;1,"NIK ganda",IF(AND($D19&lt;&gt;"",LEN($D19)&lt;&gt;16),"No. KK bukan 16 digit",IF(AND($F19="",$I19=""),"Alamat kosong",IF($N19="","Jabatan kosong",IF($O19="","No. HP kosong",IF(AND($R19&lt;&gt;"",$R19&lt;17),"Usia di bawah 17","")))))))))</f>
        <v>NIK kosong</v>
      </c>
      <c r="Z19" s="40" t="n">
        <f aca="false">IF($B19="","",IF(AND(OR(CARI!$C$5="",ISNUMBER(SEARCH(CARI!$C$5,$B19&amp;" "&amp;$C19&amp;" "&amp;$D19&amp;" "&amp;$O19&amp;" "&amp;$I19&amp;" "&amp;$F19&amp;" "&amp;$J19&amp;" "&amp;$K19&amp;" "&amp;$L19&amp;" "&amp;$V19))),OR(CARI!$C$6="",$F19=CARI!$C$6),OR(CARI!$C$7="",$G19=CARI!$C$7),OR(CARI!$C$8="",$T19=CARI!$C$8)),MAX($Z$3:Z18)+1,""))</f>
        <v>16</v>
      </c>
      <c r="AA19" s="40" t="n">
        <f aca="false">IF($Y19="","",MAX($AA$3:AA18)+1)</f>
        <v>16</v>
      </c>
      <c r="AB19" s="40" t="str">
        <f aca="false">IF($F19="","",$F19&amp;"#"&amp;COUNTIF($F$4:$F19,$F19))</f>
        <v>Kp. Gamprit#6</v>
      </c>
      <c r="AC19" s="40" t="n">
        <f aca="false">IF($B19="","",IF(AND(OR(CETAK!$J$10="",$F19=CETAK!$J$10),OR(CETAK!$J$11="",$G19=CETAK!$J$11),OR(CETAK!$J$12="",$P19=CETAK!$J$12),OR(CETAK!$J$13="",$N19=CETAK!$J$13),OR(CETAK!$J$14="",$T19=CETAK!$J$14)),MAX($AC$3:AC18)+1,""))</f>
        <v>16</v>
      </c>
      <c r="AD19" s="40" t="n">
        <f aca="false">IF($B19="","",IF(AND(OR(ABSENSI!$H$10="",$F19=ABSENSI!$H$10),OR(ABSENSI!$H$11="",$G19=ABSENSI!$H$11),OR(ABSENSI!$H$12="",$P19=ABSENSI!$H$12)),MAX($AD$3:AD18)+1,""))</f>
        <v>16</v>
      </c>
      <c r="AE19" s="40" t="n">
        <f aca="false">IF($B19="","",IF(AND(OR(KARTU!$K$6="",$F19=KARTU!$K$6),OR(KARTU!$K$7="",$G19=KARTU!$K$7),OR(KARTU!$K$8="",$P19=KARTU!$K$8)),MAX($AE$3:AE18)+1,""))</f>
        <v>16</v>
      </c>
    </row>
    <row r="20" customFormat="false" ht="15" hidden="false" customHeight="false" outlineLevel="0" collapsed="false">
      <c r="A20" s="35" t="n">
        <f aca="false">IF($B20="","",COUNTA($B$4:$B20))</f>
        <v>17</v>
      </c>
      <c r="B20" s="36" t="s">
        <v>125</v>
      </c>
      <c r="C20" s="37"/>
      <c r="D20" s="37"/>
      <c r="E20" s="38"/>
      <c r="F20" s="36" t="s">
        <v>85</v>
      </c>
      <c r="G20" s="39" t="s">
        <v>101</v>
      </c>
      <c r="H20" s="39" t="s">
        <v>110</v>
      </c>
      <c r="I20" s="36"/>
      <c r="J20" s="36"/>
      <c r="K20" s="36" t="s">
        <v>111</v>
      </c>
      <c r="L20" s="36" t="s">
        <v>112</v>
      </c>
      <c r="M20" s="40" t="str">
        <f aca="false">IF($F20="","",$F20&amp;IF($G20="",""," - RT "&amp;$G20&amp;IF($H20="","","/"&amp;$H20)))</f>
        <v>Kp. Wangkal - RT 004/006</v>
      </c>
      <c r="N20" s="36" t="s">
        <v>73</v>
      </c>
      <c r="O20" s="37"/>
      <c r="P20" s="39"/>
      <c r="Q20" s="41"/>
      <c r="R20" s="35" t="str">
        <f aca="true">IF(OR($B20="",$Q20=""),"",DATEDIF($Q20,TODAY(),"Y"))</f>
        <v/>
      </c>
      <c r="S20" s="40" t="str">
        <f aca="false">IF($R20="","",INDEX(usia_label,MATCH($R20,usia_min,1)))</f>
        <v/>
      </c>
      <c r="T20" s="36" t="s">
        <v>74</v>
      </c>
      <c r="U20" s="41"/>
      <c r="V20" s="36"/>
      <c r="W20" s="36" t="s">
        <v>126</v>
      </c>
      <c r="X20" s="40" t="str">
        <f aca="false">IF($M20="","",$M20&amp;"#"&amp;COUNTIF($M$4:$M20,$M20))</f>
        <v>Kp. Wangkal - RT 004/006#2</v>
      </c>
      <c r="Y20" s="40" t="str">
        <f aca="false">IF($B20="","",IF($C20="","NIK kosong",IF(LEN($C20)&lt;&gt;16,"NIK bukan 16 digit",IF(COUNTIF($C$4:$C$2003,$C20&amp;"*")&gt;1,"NIK ganda",IF(AND($D20&lt;&gt;"",LEN($D20)&lt;&gt;16),"No. KK bukan 16 digit",IF(AND($F20="",$I20=""),"Alamat kosong",IF($N20="","Jabatan kosong",IF($O20="","No. HP kosong",IF(AND($R20&lt;&gt;"",$R20&lt;17),"Usia di bawah 17","")))))))))</f>
        <v>NIK kosong</v>
      </c>
      <c r="Z20" s="40" t="n">
        <f aca="false">IF($B20="","",IF(AND(OR(CARI!$C$5="",ISNUMBER(SEARCH(CARI!$C$5,$B20&amp;" "&amp;$C20&amp;" "&amp;$D20&amp;" "&amp;$O20&amp;" "&amp;$I20&amp;" "&amp;$F20&amp;" "&amp;$J20&amp;" "&amp;$K20&amp;" "&amp;$L20&amp;" "&amp;$V20))),OR(CARI!$C$6="",$F20=CARI!$C$6),OR(CARI!$C$7="",$G20=CARI!$C$7),OR(CARI!$C$8="",$T20=CARI!$C$8)),MAX($Z$3:Z19)+1,""))</f>
        <v>17</v>
      </c>
      <c r="AA20" s="40" t="n">
        <f aca="false">IF($Y20="","",MAX($AA$3:AA19)+1)</f>
        <v>17</v>
      </c>
      <c r="AB20" s="40" t="str">
        <f aca="false">IF($F20="","",$F20&amp;"#"&amp;COUNTIF($F$4:$F20,$F20))</f>
        <v>Kp. Wangkal#3</v>
      </c>
      <c r="AC20" s="40" t="n">
        <f aca="false">IF($B20="","",IF(AND(OR(CETAK!$J$10="",$F20=CETAK!$J$10),OR(CETAK!$J$11="",$G20=CETAK!$J$11),OR(CETAK!$J$12="",$P20=CETAK!$J$12),OR(CETAK!$J$13="",$N20=CETAK!$J$13),OR(CETAK!$J$14="",$T20=CETAK!$J$14)),MAX($AC$3:AC19)+1,""))</f>
        <v>17</v>
      </c>
      <c r="AD20" s="40" t="n">
        <f aca="false">IF($B20="","",IF(AND(OR(ABSENSI!$H$10="",$F20=ABSENSI!$H$10),OR(ABSENSI!$H$11="",$G20=ABSENSI!$H$11),OR(ABSENSI!$H$12="",$P20=ABSENSI!$H$12)),MAX($AD$3:AD19)+1,""))</f>
        <v>17</v>
      </c>
      <c r="AE20" s="40" t="n">
        <f aca="false">IF($B20="","",IF(AND(OR(KARTU!$K$6="",$F20=KARTU!$K$6),OR(KARTU!$K$7="",$G20=KARTU!$K$7),OR(KARTU!$K$8="",$P20=KARTU!$K$8)),MAX($AE$3:AE19)+1,""))</f>
        <v>17</v>
      </c>
    </row>
    <row r="21" customFormat="false" ht="15" hidden="false" customHeight="false" outlineLevel="0" collapsed="false">
      <c r="A21" s="35" t="n">
        <f aca="false">IF($B21="","",COUNTA($B$4:$B21))</f>
        <v>18</v>
      </c>
      <c r="B21" s="36" t="s">
        <v>127</v>
      </c>
      <c r="C21" s="37"/>
      <c r="D21" s="37"/>
      <c r="E21" s="38"/>
      <c r="F21" s="36" t="s">
        <v>77</v>
      </c>
      <c r="G21" s="39" t="s">
        <v>94</v>
      </c>
      <c r="H21" s="39" t="s">
        <v>110</v>
      </c>
      <c r="I21" s="36"/>
      <c r="J21" s="36" t="s">
        <v>115</v>
      </c>
      <c r="K21" s="36" t="s">
        <v>111</v>
      </c>
      <c r="L21" s="36" t="s">
        <v>112</v>
      </c>
      <c r="M21" s="40" t="str">
        <f aca="false">IF($F21="","",$F21&amp;IF($G21="",""," - RT "&amp;$G21&amp;IF($H21="","","/"&amp;$H21)))</f>
        <v>Kp. Gamprit - RT 003/006</v>
      </c>
      <c r="N21" s="36" t="s">
        <v>73</v>
      </c>
      <c r="O21" s="37"/>
      <c r="P21" s="39"/>
      <c r="Q21" s="41"/>
      <c r="R21" s="35" t="str">
        <f aca="true">IF(OR($B21="",$Q21=""),"",DATEDIF($Q21,TODAY(),"Y"))</f>
        <v/>
      </c>
      <c r="S21" s="40" t="str">
        <f aca="false">IF($R21="","",INDEX(usia_label,MATCH($R21,usia_min,1)))</f>
        <v/>
      </c>
      <c r="T21" s="36" t="s">
        <v>74</v>
      </c>
      <c r="U21" s="41"/>
      <c r="V21" s="36"/>
      <c r="W21" s="36" t="s">
        <v>128</v>
      </c>
      <c r="X21" s="40" t="str">
        <f aca="false">IF($M21="","",$M21&amp;"#"&amp;COUNTIF($M$4:$M21,$M21))</f>
        <v>Kp. Gamprit - RT 003/006#3</v>
      </c>
      <c r="Y21" s="40" t="str">
        <f aca="false">IF($B21="","",IF($C21="","NIK kosong",IF(LEN($C21)&lt;&gt;16,"NIK bukan 16 digit",IF(COUNTIF($C$4:$C$2003,$C21&amp;"*")&gt;1,"NIK ganda",IF(AND($D21&lt;&gt;"",LEN($D21)&lt;&gt;16),"No. KK bukan 16 digit",IF(AND($F21="",$I21=""),"Alamat kosong",IF($N21="","Jabatan kosong",IF($O21="","No. HP kosong",IF(AND($R21&lt;&gt;"",$R21&lt;17),"Usia di bawah 17","")))))))))</f>
        <v>NIK kosong</v>
      </c>
      <c r="Z21" s="40" t="n">
        <f aca="false">IF($B21="","",IF(AND(OR(CARI!$C$5="",ISNUMBER(SEARCH(CARI!$C$5,$B21&amp;" "&amp;$C21&amp;" "&amp;$D21&amp;" "&amp;$O21&amp;" "&amp;$I21&amp;" "&amp;$F21&amp;" "&amp;$J21&amp;" "&amp;$K21&amp;" "&amp;$L21&amp;" "&amp;$V21))),OR(CARI!$C$6="",$F21=CARI!$C$6),OR(CARI!$C$7="",$G21=CARI!$C$7),OR(CARI!$C$8="",$T21=CARI!$C$8)),MAX($Z$3:Z20)+1,""))</f>
        <v>18</v>
      </c>
      <c r="AA21" s="40" t="n">
        <f aca="false">IF($Y21="","",MAX($AA$3:AA20)+1)</f>
        <v>18</v>
      </c>
      <c r="AB21" s="40" t="str">
        <f aca="false">IF($F21="","",$F21&amp;"#"&amp;COUNTIF($F$4:$F21,$F21))</f>
        <v>Kp. Gamprit#7</v>
      </c>
      <c r="AC21" s="40" t="n">
        <f aca="false">IF($B21="","",IF(AND(OR(CETAK!$J$10="",$F21=CETAK!$J$10),OR(CETAK!$J$11="",$G21=CETAK!$J$11),OR(CETAK!$J$12="",$P21=CETAK!$J$12),OR(CETAK!$J$13="",$N21=CETAK!$J$13),OR(CETAK!$J$14="",$T21=CETAK!$J$14)),MAX($AC$3:AC20)+1,""))</f>
        <v>18</v>
      </c>
      <c r="AD21" s="40" t="n">
        <f aca="false">IF($B21="","",IF(AND(OR(ABSENSI!$H$10="",$F21=ABSENSI!$H$10),OR(ABSENSI!$H$11="",$G21=ABSENSI!$H$11),OR(ABSENSI!$H$12="",$P21=ABSENSI!$H$12)),MAX($AD$3:AD20)+1,""))</f>
        <v>18</v>
      </c>
      <c r="AE21" s="40" t="n">
        <f aca="false">IF($B21="","",IF(AND(OR(KARTU!$K$6="",$F21=KARTU!$K$6),OR(KARTU!$K$7="",$G21=KARTU!$K$7),OR(KARTU!$K$8="",$P21=KARTU!$K$8)),MAX($AE$3:AE20)+1,""))</f>
        <v>18</v>
      </c>
    </row>
    <row r="22" customFormat="false" ht="15" hidden="false" customHeight="false" outlineLevel="0" collapsed="false">
      <c r="A22" s="35" t="n">
        <f aca="false">IF($B22="","",COUNTA($B$4:$B22))</f>
        <v>19</v>
      </c>
      <c r="B22" s="36" t="s">
        <v>129</v>
      </c>
      <c r="C22" s="37"/>
      <c r="D22" s="37"/>
      <c r="E22" s="38"/>
      <c r="F22" s="36" t="s">
        <v>88</v>
      </c>
      <c r="G22" s="39" t="s">
        <v>101</v>
      </c>
      <c r="H22" s="39"/>
      <c r="I22" s="36"/>
      <c r="J22" s="36" t="s">
        <v>130</v>
      </c>
      <c r="K22" s="36"/>
      <c r="L22" s="36" t="s">
        <v>72</v>
      </c>
      <c r="M22" s="40" t="str">
        <f aca="false">IF($F22="","",$F22&amp;IF($G22="",""," - RT "&amp;$G22&amp;IF($H22="","","/"&amp;$H22)))</f>
        <v>Kp. Kuda Kuda - RT 004</v>
      </c>
      <c r="N22" s="36" t="s">
        <v>73</v>
      </c>
      <c r="O22" s="37"/>
      <c r="P22" s="39"/>
      <c r="Q22" s="41"/>
      <c r="R22" s="35" t="str">
        <f aca="true">IF(OR($B22="",$Q22=""),"",DATEDIF($Q22,TODAY(),"Y"))</f>
        <v/>
      </c>
      <c r="S22" s="40" t="str">
        <f aca="false">IF($R22="","",INDEX(usia_label,MATCH($R22,usia_min,1)))</f>
        <v/>
      </c>
      <c r="T22" s="36" t="s">
        <v>74</v>
      </c>
      <c r="U22" s="41"/>
      <c r="V22" s="36"/>
      <c r="W22" s="36" t="s">
        <v>131</v>
      </c>
      <c r="X22" s="40" t="str">
        <f aca="false">IF($M22="","",$M22&amp;"#"&amp;COUNTIF($M$4:$M22,$M22))</f>
        <v>Kp. Kuda Kuda - RT 004#1</v>
      </c>
      <c r="Y22" s="40" t="str">
        <f aca="false">IF($B22="","",IF($C22="","NIK kosong",IF(LEN($C22)&lt;&gt;16,"NIK bukan 16 digit",IF(COUNTIF($C$4:$C$2003,$C22&amp;"*")&gt;1,"NIK ganda",IF(AND($D22&lt;&gt;"",LEN($D22)&lt;&gt;16),"No. KK bukan 16 digit",IF(AND($F22="",$I22=""),"Alamat kosong",IF($N22="","Jabatan kosong",IF($O22="","No. HP kosong",IF(AND($R22&lt;&gt;"",$R22&lt;17),"Usia di bawah 17","")))))))))</f>
        <v>NIK kosong</v>
      </c>
      <c r="Z22" s="40" t="n">
        <f aca="false">IF($B22="","",IF(AND(OR(CARI!$C$5="",ISNUMBER(SEARCH(CARI!$C$5,$B22&amp;" "&amp;$C22&amp;" "&amp;$D22&amp;" "&amp;$O22&amp;" "&amp;$I22&amp;" "&amp;$F22&amp;" "&amp;$J22&amp;" "&amp;$K22&amp;" "&amp;$L22&amp;" "&amp;$V22))),OR(CARI!$C$6="",$F22=CARI!$C$6),OR(CARI!$C$7="",$G22=CARI!$C$7),OR(CARI!$C$8="",$T22=CARI!$C$8)),MAX($Z$3:Z21)+1,""))</f>
        <v>19</v>
      </c>
      <c r="AA22" s="40" t="n">
        <f aca="false">IF($Y22="","",MAX($AA$3:AA21)+1)</f>
        <v>19</v>
      </c>
      <c r="AB22" s="40" t="str">
        <f aca="false">IF($F22="","",$F22&amp;"#"&amp;COUNTIF($F$4:$F22,$F22))</f>
        <v>Kp. Kuda Kuda#5</v>
      </c>
      <c r="AC22" s="40" t="n">
        <f aca="false">IF($B22="","",IF(AND(OR(CETAK!$J$10="",$F22=CETAK!$J$10),OR(CETAK!$J$11="",$G22=CETAK!$J$11),OR(CETAK!$J$12="",$P22=CETAK!$J$12),OR(CETAK!$J$13="",$N22=CETAK!$J$13),OR(CETAK!$J$14="",$T22=CETAK!$J$14)),MAX($AC$3:AC21)+1,""))</f>
        <v>19</v>
      </c>
      <c r="AD22" s="40" t="n">
        <f aca="false">IF($B22="","",IF(AND(OR(ABSENSI!$H$10="",$F22=ABSENSI!$H$10),OR(ABSENSI!$H$11="",$G22=ABSENSI!$H$11),OR(ABSENSI!$H$12="",$P22=ABSENSI!$H$12)),MAX($AD$3:AD21)+1,""))</f>
        <v>19</v>
      </c>
      <c r="AE22" s="40" t="n">
        <f aca="false">IF($B22="","",IF(AND(OR(KARTU!$K$6="",$F22=KARTU!$K$6),OR(KARTU!$K$7="",$G22=KARTU!$K$7),OR(KARTU!$K$8="",$P22=KARTU!$K$8)),MAX($AE$3:AE21)+1,""))</f>
        <v>19</v>
      </c>
    </row>
    <row r="23" customFormat="false" ht="15" hidden="false" customHeight="false" outlineLevel="0" collapsed="false">
      <c r="A23" s="35" t="n">
        <f aca="false">IF($B23="","",COUNTA($B$4:$B23))</f>
        <v>20</v>
      </c>
      <c r="B23" s="36" t="s">
        <v>132</v>
      </c>
      <c r="C23" s="37"/>
      <c r="D23" s="37"/>
      <c r="E23" s="38"/>
      <c r="F23" s="36" t="s">
        <v>77</v>
      </c>
      <c r="G23" s="39" t="s">
        <v>94</v>
      </c>
      <c r="H23" s="39" t="s">
        <v>110</v>
      </c>
      <c r="I23" s="36"/>
      <c r="J23" s="36" t="s">
        <v>115</v>
      </c>
      <c r="K23" s="36" t="s">
        <v>111</v>
      </c>
      <c r="L23" s="36" t="s">
        <v>112</v>
      </c>
      <c r="M23" s="40" t="str">
        <f aca="false">IF($F23="","",$F23&amp;IF($G23="",""," - RT "&amp;$G23&amp;IF($H23="","","/"&amp;$H23)))</f>
        <v>Kp. Gamprit - RT 003/006</v>
      </c>
      <c r="N23" s="36" t="s">
        <v>73</v>
      </c>
      <c r="O23" s="37"/>
      <c r="P23" s="39"/>
      <c r="Q23" s="41"/>
      <c r="R23" s="35" t="str">
        <f aca="true">IF(OR($B23="",$Q23=""),"",DATEDIF($Q23,TODAY(),"Y"))</f>
        <v/>
      </c>
      <c r="S23" s="40" t="str">
        <f aca="false">IF($R23="","",INDEX(usia_label,MATCH($R23,usia_min,1)))</f>
        <v/>
      </c>
      <c r="T23" s="36" t="s">
        <v>74</v>
      </c>
      <c r="U23" s="41"/>
      <c r="V23" s="36"/>
      <c r="W23" s="36" t="s">
        <v>133</v>
      </c>
      <c r="X23" s="40" t="str">
        <f aca="false">IF($M23="","",$M23&amp;"#"&amp;COUNTIF($M$4:$M23,$M23))</f>
        <v>Kp. Gamprit - RT 003/006#4</v>
      </c>
      <c r="Y23" s="40" t="str">
        <f aca="false">IF($B23="","",IF($C23="","NIK kosong",IF(LEN($C23)&lt;&gt;16,"NIK bukan 16 digit",IF(COUNTIF($C$4:$C$2003,$C23&amp;"*")&gt;1,"NIK ganda",IF(AND($D23&lt;&gt;"",LEN($D23)&lt;&gt;16),"No. KK bukan 16 digit",IF(AND($F23="",$I23=""),"Alamat kosong",IF($N23="","Jabatan kosong",IF($O23="","No. HP kosong",IF(AND($R23&lt;&gt;"",$R23&lt;17),"Usia di bawah 17","")))))))))</f>
        <v>NIK kosong</v>
      </c>
      <c r="Z23" s="40" t="n">
        <f aca="false">IF($B23="","",IF(AND(OR(CARI!$C$5="",ISNUMBER(SEARCH(CARI!$C$5,$B23&amp;" "&amp;$C23&amp;" "&amp;$D23&amp;" "&amp;$O23&amp;" "&amp;$I23&amp;" "&amp;$F23&amp;" "&amp;$J23&amp;" "&amp;$K23&amp;" "&amp;$L23&amp;" "&amp;$V23))),OR(CARI!$C$6="",$F23=CARI!$C$6),OR(CARI!$C$7="",$G23=CARI!$C$7),OR(CARI!$C$8="",$T23=CARI!$C$8)),MAX($Z$3:Z22)+1,""))</f>
        <v>20</v>
      </c>
      <c r="AA23" s="40" t="n">
        <f aca="false">IF($Y23="","",MAX($AA$3:AA22)+1)</f>
        <v>20</v>
      </c>
      <c r="AB23" s="40" t="str">
        <f aca="false">IF($F23="","",$F23&amp;"#"&amp;COUNTIF($F$4:$F23,$F23))</f>
        <v>Kp. Gamprit#8</v>
      </c>
      <c r="AC23" s="40" t="n">
        <f aca="false">IF($B23="","",IF(AND(OR(CETAK!$J$10="",$F23=CETAK!$J$10),OR(CETAK!$J$11="",$G23=CETAK!$J$11),OR(CETAK!$J$12="",$P23=CETAK!$J$12),OR(CETAK!$J$13="",$N23=CETAK!$J$13),OR(CETAK!$J$14="",$T23=CETAK!$J$14)),MAX($AC$3:AC22)+1,""))</f>
        <v>20</v>
      </c>
      <c r="AD23" s="40" t="n">
        <f aca="false">IF($B23="","",IF(AND(OR(ABSENSI!$H$10="",$F23=ABSENSI!$H$10),OR(ABSENSI!$H$11="",$G23=ABSENSI!$H$11),OR(ABSENSI!$H$12="",$P23=ABSENSI!$H$12)),MAX($AD$3:AD22)+1,""))</f>
        <v>20</v>
      </c>
      <c r="AE23" s="40" t="n">
        <f aca="false">IF($B23="","",IF(AND(OR(KARTU!$K$6="",$F23=KARTU!$K$6),OR(KARTU!$K$7="",$G23=KARTU!$K$7),OR(KARTU!$K$8="",$P23=KARTU!$K$8)),MAX($AE$3:AE22)+1,""))</f>
        <v>20</v>
      </c>
    </row>
    <row r="24" customFormat="false" ht="15" hidden="false" customHeight="false" outlineLevel="0" collapsed="false">
      <c r="A24" s="35" t="n">
        <f aca="false">IF($B24="","",COUNTA($B$4:$B24))</f>
        <v>21</v>
      </c>
      <c r="B24" s="36" t="s">
        <v>134</v>
      </c>
      <c r="C24" s="37"/>
      <c r="D24" s="37"/>
      <c r="E24" s="38"/>
      <c r="F24" s="36" t="s">
        <v>85</v>
      </c>
      <c r="G24" s="39" t="s">
        <v>101</v>
      </c>
      <c r="H24" s="39" t="s">
        <v>110</v>
      </c>
      <c r="I24" s="36"/>
      <c r="J24" s="36" t="s">
        <v>135</v>
      </c>
      <c r="K24" s="36" t="s">
        <v>111</v>
      </c>
      <c r="L24" s="36" t="s">
        <v>112</v>
      </c>
      <c r="M24" s="40" t="str">
        <f aca="false">IF($F24="","",$F24&amp;IF($G24="",""," - RT "&amp;$G24&amp;IF($H24="","","/"&amp;$H24)))</f>
        <v>Kp. Wangkal - RT 004/006</v>
      </c>
      <c r="N24" s="36" t="s">
        <v>73</v>
      </c>
      <c r="O24" s="37"/>
      <c r="P24" s="39"/>
      <c r="Q24" s="41"/>
      <c r="R24" s="35" t="str">
        <f aca="true">IF(OR($B24="",$Q24=""),"",DATEDIF($Q24,TODAY(),"Y"))</f>
        <v/>
      </c>
      <c r="S24" s="40" t="str">
        <f aca="false">IF($R24="","",INDEX(usia_label,MATCH($R24,usia_min,1)))</f>
        <v/>
      </c>
      <c r="T24" s="36" t="s">
        <v>74</v>
      </c>
      <c r="U24" s="41"/>
      <c r="V24" s="36"/>
      <c r="W24" s="36" t="s">
        <v>136</v>
      </c>
      <c r="X24" s="40" t="str">
        <f aca="false">IF($M24="","",$M24&amp;"#"&amp;COUNTIF($M$4:$M24,$M24))</f>
        <v>Kp. Wangkal - RT 004/006#3</v>
      </c>
      <c r="Y24" s="40" t="str">
        <f aca="false">IF($B24="","",IF($C24="","NIK kosong",IF(LEN($C24)&lt;&gt;16,"NIK bukan 16 digit",IF(COUNTIF($C$4:$C$2003,$C24&amp;"*")&gt;1,"NIK ganda",IF(AND($D24&lt;&gt;"",LEN($D24)&lt;&gt;16),"No. KK bukan 16 digit",IF(AND($F24="",$I24=""),"Alamat kosong",IF($N24="","Jabatan kosong",IF($O24="","No. HP kosong",IF(AND($R24&lt;&gt;"",$R24&lt;17),"Usia di bawah 17","")))))))))</f>
        <v>NIK kosong</v>
      </c>
      <c r="Z24" s="40" t="n">
        <f aca="false">IF($B24="","",IF(AND(OR(CARI!$C$5="",ISNUMBER(SEARCH(CARI!$C$5,$B24&amp;" "&amp;$C24&amp;" "&amp;$D24&amp;" "&amp;$O24&amp;" "&amp;$I24&amp;" "&amp;$F24&amp;" "&amp;$J24&amp;" "&amp;$K24&amp;" "&amp;$L24&amp;" "&amp;$V24))),OR(CARI!$C$6="",$F24=CARI!$C$6),OR(CARI!$C$7="",$G24=CARI!$C$7),OR(CARI!$C$8="",$T24=CARI!$C$8)),MAX($Z$3:Z23)+1,""))</f>
        <v>21</v>
      </c>
      <c r="AA24" s="40" t="n">
        <f aca="false">IF($Y24="","",MAX($AA$3:AA23)+1)</f>
        <v>21</v>
      </c>
      <c r="AB24" s="40" t="str">
        <f aca="false">IF($F24="","",$F24&amp;"#"&amp;COUNTIF($F$4:$F24,$F24))</f>
        <v>Kp. Wangkal#4</v>
      </c>
      <c r="AC24" s="40" t="n">
        <f aca="false">IF($B24="","",IF(AND(OR(CETAK!$J$10="",$F24=CETAK!$J$10),OR(CETAK!$J$11="",$G24=CETAK!$J$11),OR(CETAK!$J$12="",$P24=CETAK!$J$12),OR(CETAK!$J$13="",$N24=CETAK!$J$13),OR(CETAK!$J$14="",$T24=CETAK!$J$14)),MAX($AC$3:AC23)+1,""))</f>
        <v>21</v>
      </c>
      <c r="AD24" s="40" t="n">
        <f aca="false">IF($B24="","",IF(AND(OR(ABSENSI!$H$10="",$F24=ABSENSI!$H$10),OR(ABSENSI!$H$11="",$G24=ABSENSI!$H$11),OR(ABSENSI!$H$12="",$P24=ABSENSI!$H$12)),MAX($AD$3:AD23)+1,""))</f>
        <v>21</v>
      </c>
      <c r="AE24" s="40" t="n">
        <f aca="false">IF($B24="","",IF(AND(OR(KARTU!$K$6="",$F24=KARTU!$K$6),OR(KARTU!$K$7="",$G24=KARTU!$K$7),OR(KARTU!$K$8="",$P24=KARTU!$K$8)),MAX($AE$3:AE23)+1,""))</f>
        <v>21</v>
      </c>
    </row>
    <row r="25" customFormat="false" ht="15" hidden="false" customHeight="false" outlineLevel="0" collapsed="false">
      <c r="A25" s="35" t="n">
        <f aca="false">IF($B25="","",COUNTA($B$4:$B25))</f>
        <v>22</v>
      </c>
      <c r="B25" s="36" t="s">
        <v>137</v>
      </c>
      <c r="C25" s="37"/>
      <c r="D25" s="37"/>
      <c r="E25" s="38"/>
      <c r="F25" s="36" t="s">
        <v>85</v>
      </c>
      <c r="G25" s="39" t="s">
        <v>119</v>
      </c>
      <c r="H25" s="39" t="s">
        <v>110</v>
      </c>
      <c r="I25" s="36"/>
      <c r="J25" s="36"/>
      <c r="K25" s="36" t="s">
        <v>111</v>
      </c>
      <c r="L25" s="36" t="s">
        <v>112</v>
      </c>
      <c r="M25" s="40" t="str">
        <f aca="false">IF($F25="","",$F25&amp;IF($G25="",""," - RT "&amp;$G25&amp;IF($H25="","","/"&amp;$H25)))</f>
        <v>Kp. Wangkal - RT 005/006</v>
      </c>
      <c r="N25" s="36" t="s">
        <v>73</v>
      </c>
      <c r="O25" s="37"/>
      <c r="P25" s="39"/>
      <c r="Q25" s="41"/>
      <c r="R25" s="35" t="str">
        <f aca="true">IF(OR($B25="",$Q25=""),"",DATEDIF($Q25,TODAY(),"Y"))</f>
        <v/>
      </c>
      <c r="S25" s="40" t="str">
        <f aca="false">IF($R25="","",INDEX(usia_label,MATCH($R25,usia_min,1)))</f>
        <v/>
      </c>
      <c r="T25" s="36" t="s">
        <v>74</v>
      </c>
      <c r="U25" s="41"/>
      <c r="V25" s="36"/>
      <c r="W25" s="36" t="s">
        <v>138</v>
      </c>
      <c r="X25" s="40" t="str">
        <f aca="false">IF($M25="","",$M25&amp;"#"&amp;COUNTIF($M$4:$M25,$M25))</f>
        <v>Kp. Wangkal - RT 005/006#1</v>
      </c>
      <c r="Y25" s="40" t="str">
        <f aca="false">IF($B25="","",IF($C25="","NIK kosong",IF(LEN($C25)&lt;&gt;16,"NIK bukan 16 digit",IF(COUNTIF($C$4:$C$2003,$C25&amp;"*")&gt;1,"NIK ganda",IF(AND($D25&lt;&gt;"",LEN($D25)&lt;&gt;16),"No. KK bukan 16 digit",IF(AND($F25="",$I25=""),"Alamat kosong",IF($N25="","Jabatan kosong",IF($O25="","No. HP kosong",IF(AND($R25&lt;&gt;"",$R25&lt;17),"Usia di bawah 17","")))))))))</f>
        <v>NIK kosong</v>
      </c>
      <c r="Z25" s="40" t="n">
        <f aca="false">IF($B25="","",IF(AND(OR(CARI!$C$5="",ISNUMBER(SEARCH(CARI!$C$5,$B25&amp;" "&amp;$C25&amp;" "&amp;$D25&amp;" "&amp;$O25&amp;" "&amp;$I25&amp;" "&amp;$F25&amp;" "&amp;$J25&amp;" "&amp;$K25&amp;" "&amp;$L25&amp;" "&amp;$V25))),OR(CARI!$C$6="",$F25=CARI!$C$6),OR(CARI!$C$7="",$G25=CARI!$C$7),OR(CARI!$C$8="",$T25=CARI!$C$8)),MAX($Z$3:Z24)+1,""))</f>
        <v>22</v>
      </c>
      <c r="AA25" s="40" t="n">
        <f aca="false">IF($Y25="","",MAX($AA$3:AA24)+1)</f>
        <v>22</v>
      </c>
      <c r="AB25" s="40" t="str">
        <f aca="false">IF($F25="","",$F25&amp;"#"&amp;COUNTIF($F$4:$F25,$F25))</f>
        <v>Kp. Wangkal#5</v>
      </c>
      <c r="AC25" s="40" t="n">
        <f aca="false">IF($B25="","",IF(AND(OR(CETAK!$J$10="",$F25=CETAK!$J$10),OR(CETAK!$J$11="",$G25=CETAK!$J$11),OR(CETAK!$J$12="",$P25=CETAK!$J$12),OR(CETAK!$J$13="",$N25=CETAK!$J$13),OR(CETAK!$J$14="",$T25=CETAK!$J$14)),MAX($AC$3:AC24)+1,""))</f>
        <v>22</v>
      </c>
      <c r="AD25" s="40" t="n">
        <f aca="false">IF($B25="","",IF(AND(OR(ABSENSI!$H$10="",$F25=ABSENSI!$H$10),OR(ABSENSI!$H$11="",$G25=ABSENSI!$H$11),OR(ABSENSI!$H$12="",$P25=ABSENSI!$H$12)),MAX($AD$3:AD24)+1,""))</f>
        <v>22</v>
      </c>
      <c r="AE25" s="40" t="n">
        <f aca="false">IF($B25="","",IF(AND(OR(KARTU!$K$6="",$F25=KARTU!$K$6),OR(KARTU!$K$7="",$G25=KARTU!$K$7),OR(KARTU!$K$8="",$P25=KARTU!$K$8)),MAX($AE$3:AE24)+1,""))</f>
        <v>22</v>
      </c>
    </row>
    <row r="26" customFormat="false" ht="15" hidden="false" customHeight="false" outlineLevel="0" collapsed="false">
      <c r="A26" s="35" t="n">
        <f aca="false">IF($B26="","",COUNTA($B$4:$B26))</f>
        <v>23</v>
      </c>
      <c r="B26" s="36" t="s">
        <v>139</v>
      </c>
      <c r="C26" s="37"/>
      <c r="D26" s="37"/>
      <c r="E26" s="38"/>
      <c r="F26" s="36" t="s">
        <v>77</v>
      </c>
      <c r="G26" s="39" t="s">
        <v>94</v>
      </c>
      <c r="H26" s="39" t="s">
        <v>110</v>
      </c>
      <c r="I26" s="36"/>
      <c r="J26" s="36" t="s">
        <v>115</v>
      </c>
      <c r="K26" s="36" t="s">
        <v>111</v>
      </c>
      <c r="L26" s="36" t="s">
        <v>112</v>
      </c>
      <c r="M26" s="40" t="str">
        <f aca="false">IF($F26="","",$F26&amp;IF($G26="",""," - RT "&amp;$G26&amp;IF($H26="","","/"&amp;$H26)))</f>
        <v>Kp. Gamprit - RT 003/006</v>
      </c>
      <c r="N26" s="36" t="s">
        <v>73</v>
      </c>
      <c r="O26" s="37"/>
      <c r="P26" s="39"/>
      <c r="Q26" s="41"/>
      <c r="R26" s="35" t="str">
        <f aca="true">IF(OR($B26="",$Q26=""),"",DATEDIF($Q26,TODAY(),"Y"))</f>
        <v/>
      </c>
      <c r="S26" s="40" t="str">
        <f aca="false">IF($R26="","",INDEX(usia_label,MATCH($R26,usia_min,1)))</f>
        <v/>
      </c>
      <c r="T26" s="36" t="s">
        <v>74</v>
      </c>
      <c r="U26" s="41"/>
      <c r="V26" s="36"/>
      <c r="W26" s="36" t="s">
        <v>140</v>
      </c>
      <c r="X26" s="40" t="str">
        <f aca="false">IF($M26="","",$M26&amp;"#"&amp;COUNTIF($M$4:$M26,$M26))</f>
        <v>Kp. Gamprit - RT 003/006#5</v>
      </c>
      <c r="Y26" s="40" t="str">
        <f aca="false">IF($B26="","",IF($C26="","NIK kosong",IF(LEN($C26)&lt;&gt;16,"NIK bukan 16 digit",IF(COUNTIF($C$4:$C$2003,$C26&amp;"*")&gt;1,"NIK ganda",IF(AND($D26&lt;&gt;"",LEN($D26)&lt;&gt;16),"No. KK bukan 16 digit",IF(AND($F26="",$I26=""),"Alamat kosong",IF($N26="","Jabatan kosong",IF($O26="","No. HP kosong",IF(AND($R26&lt;&gt;"",$R26&lt;17),"Usia di bawah 17","")))))))))</f>
        <v>NIK kosong</v>
      </c>
      <c r="Z26" s="40" t="n">
        <f aca="false">IF($B26="","",IF(AND(OR(CARI!$C$5="",ISNUMBER(SEARCH(CARI!$C$5,$B26&amp;" "&amp;$C26&amp;" "&amp;$D26&amp;" "&amp;$O26&amp;" "&amp;$I26&amp;" "&amp;$F26&amp;" "&amp;$J26&amp;" "&amp;$K26&amp;" "&amp;$L26&amp;" "&amp;$V26))),OR(CARI!$C$6="",$F26=CARI!$C$6),OR(CARI!$C$7="",$G26=CARI!$C$7),OR(CARI!$C$8="",$T26=CARI!$C$8)),MAX($Z$3:Z25)+1,""))</f>
        <v>23</v>
      </c>
      <c r="AA26" s="40" t="n">
        <f aca="false">IF($Y26="","",MAX($AA$3:AA25)+1)</f>
        <v>23</v>
      </c>
      <c r="AB26" s="40" t="str">
        <f aca="false">IF($F26="","",$F26&amp;"#"&amp;COUNTIF($F$4:$F26,$F26))</f>
        <v>Kp. Gamprit#9</v>
      </c>
      <c r="AC26" s="40" t="n">
        <f aca="false">IF($B26="","",IF(AND(OR(CETAK!$J$10="",$F26=CETAK!$J$10),OR(CETAK!$J$11="",$G26=CETAK!$J$11),OR(CETAK!$J$12="",$P26=CETAK!$J$12),OR(CETAK!$J$13="",$N26=CETAK!$J$13),OR(CETAK!$J$14="",$T26=CETAK!$J$14)),MAX($AC$3:AC25)+1,""))</f>
        <v>23</v>
      </c>
      <c r="AD26" s="40" t="n">
        <f aca="false">IF($B26="","",IF(AND(OR(ABSENSI!$H$10="",$F26=ABSENSI!$H$10),OR(ABSENSI!$H$11="",$G26=ABSENSI!$H$11),OR(ABSENSI!$H$12="",$P26=ABSENSI!$H$12)),MAX($AD$3:AD25)+1,""))</f>
        <v>23</v>
      </c>
      <c r="AE26" s="40" t="n">
        <f aca="false">IF($B26="","",IF(AND(OR(KARTU!$K$6="",$F26=KARTU!$K$6),OR(KARTU!$K$7="",$G26=KARTU!$K$7),OR(KARTU!$K$8="",$P26=KARTU!$K$8)),MAX($AE$3:AE25)+1,""))</f>
        <v>23</v>
      </c>
    </row>
    <row r="27" customFormat="false" ht="15" hidden="false" customHeight="false" outlineLevel="0" collapsed="false">
      <c r="A27" s="35" t="n">
        <f aca="false">IF($B27="","",COUNTA($B$4:$B27))</f>
        <v>24</v>
      </c>
      <c r="B27" s="36" t="s">
        <v>141</v>
      </c>
      <c r="C27" s="37"/>
      <c r="D27" s="37"/>
      <c r="E27" s="38"/>
      <c r="F27" s="36" t="s">
        <v>77</v>
      </c>
      <c r="G27" s="39" t="s">
        <v>94</v>
      </c>
      <c r="H27" s="39" t="s">
        <v>110</v>
      </c>
      <c r="I27" s="36"/>
      <c r="J27" s="36" t="s">
        <v>115</v>
      </c>
      <c r="K27" s="36" t="s">
        <v>111</v>
      </c>
      <c r="L27" s="36" t="s">
        <v>112</v>
      </c>
      <c r="M27" s="40" t="str">
        <f aca="false">IF($F27="","",$F27&amp;IF($G27="",""," - RT "&amp;$G27&amp;IF($H27="","","/"&amp;$H27)))</f>
        <v>Kp. Gamprit - RT 003/006</v>
      </c>
      <c r="N27" s="36" t="s">
        <v>73</v>
      </c>
      <c r="O27" s="37"/>
      <c r="P27" s="39"/>
      <c r="Q27" s="41"/>
      <c r="R27" s="35" t="str">
        <f aca="true">IF(OR($B27="",$Q27=""),"",DATEDIF($Q27,TODAY(),"Y"))</f>
        <v/>
      </c>
      <c r="S27" s="40" t="str">
        <f aca="false">IF($R27="","",INDEX(usia_label,MATCH($R27,usia_min,1)))</f>
        <v/>
      </c>
      <c r="T27" s="36" t="s">
        <v>74</v>
      </c>
      <c r="U27" s="41"/>
      <c r="V27" s="36"/>
      <c r="W27" s="36" t="s">
        <v>142</v>
      </c>
      <c r="X27" s="40" t="str">
        <f aca="false">IF($M27="","",$M27&amp;"#"&amp;COUNTIF($M$4:$M27,$M27))</f>
        <v>Kp. Gamprit - RT 003/006#6</v>
      </c>
      <c r="Y27" s="40" t="str">
        <f aca="false">IF($B27="","",IF($C27="","NIK kosong",IF(LEN($C27)&lt;&gt;16,"NIK bukan 16 digit",IF(COUNTIF($C$4:$C$2003,$C27&amp;"*")&gt;1,"NIK ganda",IF(AND($D27&lt;&gt;"",LEN($D27)&lt;&gt;16),"No. KK bukan 16 digit",IF(AND($F27="",$I27=""),"Alamat kosong",IF($N27="","Jabatan kosong",IF($O27="","No. HP kosong",IF(AND($R27&lt;&gt;"",$R27&lt;17),"Usia di bawah 17","")))))))))</f>
        <v>NIK kosong</v>
      </c>
      <c r="Z27" s="40" t="n">
        <f aca="false">IF($B27="","",IF(AND(OR(CARI!$C$5="",ISNUMBER(SEARCH(CARI!$C$5,$B27&amp;" "&amp;$C27&amp;" "&amp;$D27&amp;" "&amp;$O27&amp;" "&amp;$I27&amp;" "&amp;$F27&amp;" "&amp;$J27&amp;" "&amp;$K27&amp;" "&amp;$L27&amp;" "&amp;$V27))),OR(CARI!$C$6="",$F27=CARI!$C$6),OR(CARI!$C$7="",$G27=CARI!$C$7),OR(CARI!$C$8="",$T27=CARI!$C$8)),MAX($Z$3:Z26)+1,""))</f>
        <v>24</v>
      </c>
      <c r="AA27" s="40" t="n">
        <f aca="false">IF($Y27="","",MAX($AA$3:AA26)+1)</f>
        <v>24</v>
      </c>
      <c r="AB27" s="40" t="str">
        <f aca="false">IF($F27="","",$F27&amp;"#"&amp;COUNTIF($F$4:$F27,$F27))</f>
        <v>Kp. Gamprit#10</v>
      </c>
      <c r="AC27" s="40" t="n">
        <f aca="false">IF($B27="","",IF(AND(OR(CETAK!$J$10="",$F27=CETAK!$J$10),OR(CETAK!$J$11="",$G27=CETAK!$J$11),OR(CETAK!$J$12="",$P27=CETAK!$J$12),OR(CETAK!$J$13="",$N27=CETAK!$J$13),OR(CETAK!$J$14="",$T27=CETAK!$J$14)),MAX($AC$3:AC26)+1,""))</f>
        <v>24</v>
      </c>
      <c r="AD27" s="40" t="n">
        <f aca="false">IF($B27="","",IF(AND(OR(ABSENSI!$H$10="",$F27=ABSENSI!$H$10),OR(ABSENSI!$H$11="",$G27=ABSENSI!$H$11),OR(ABSENSI!$H$12="",$P27=ABSENSI!$H$12)),MAX($AD$3:AD26)+1,""))</f>
        <v>24</v>
      </c>
      <c r="AE27" s="40" t="n">
        <f aca="false">IF($B27="","",IF(AND(OR(KARTU!$K$6="",$F27=KARTU!$K$6),OR(KARTU!$K$7="",$G27=KARTU!$K$7),OR(KARTU!$K$8="",$P27=KARTU!$K$8)),MAX($AE$3:AE26)+1,""))</f>
        <v>24</v>
      </c>
    </row>
    <row r="28" customFormat="false" ht="15" hidden="false" customHeight="false" outlineLevel="0" collapsed="false">
      <c r="A28" s="35" t="n">
        <f aca="false">IF($B28="","",COUNTA($B$4:$B28))</f>
        <v>25</v>
      </c>
      <c r="B28" s="36" t="s">
        <v>143</v>
      </c>
      <c r="C28" s="37"/>
      <c r="D28" s="37"/>
      <c r="E28" s="38"/>
      <c r="F28" s="36" t="s">
        <v>85</v>
      </c>
      <c r="G28" s="39" t="s">
        <v>101</v>
      </c>
      <c r="H28" s="39" t="s">
        <v>110</v>
      </c>
      <c r="I28" s="36"/>
      <c r="J28" s="36"/>
      <c r="K28" s="36" t="s">
        <v>111</v>
      </c>
      <c r="L28" s="36" t="s">
        <v>112</v>
      </c>
      <c r="M28" s="40" t="str">
        <f aca="false">IF($F28="","",$F28&amp;IF($G28="",""," - RT "&amp;$G28&amp;IF($H28="","","/"&amp;$H28)))</f>
        <v>Kp. Wangkal - RT 004/006</v>
      </c>
      <c r="N28" s="36" t="s">
        <v>73</v>
      </c>
      <c r="O28" s="37"/>
      <c r="P28" s="39"/>
      <c r="Q28" s="41"/>
      <c r="R28" s="35" t="str">
        <f aca="true">IF(OR($B28="",$Q28=""),"",DATEDIF($Q28,TODAY(),"Y"))</f>
        <v/>
      </c>
      <c r="S28" s="40" t="str">
        <f aca="false">IF($R28="","",INDEX(usia_label,MATCH($R28,usia_min,1)))</f>
        <v/>
      </c>
      <c r="T28" s="36" t="s">
        <v>74</v>
      </c>
      <c r="U28" s="41"/>
      <c r="V28" s="36"/>
      <c r="W28" s="36" t="s">
        <v>144</v>
      </c>
      <c r="X28" s="40" t="str">
        <f aca="false">IF($M28="","",$M28&amp;"#"&amp;COUNTIF($M$4:$M28,$M28))</f>
        <v>Kp. Wangkal - RT 004/006#4</v>
      </c>
      <c r="Y28" s="40" t="str">
        <f aca="false">IF($B28="","",IF($C28="","NIK kosong",IF(LEN($C28)&lt;&gt;16,"NIK bukan 16 digit",IF(COUNTIF($C$4:$C$2003,$C28&amp;"*")&gt;1,"NIK ganda",IF(AND($D28&lt;&gt;"",LEN($D28)&lt;&gt;16),"No. KK bukan 16 digit",IF(AND($F28="",$I28=""),"Alamat kosong",IF($N28="","Jabatan kosong",IF($O28="","No. HP kosong",IF(AND($R28&lt;&gt;"",$R28&lt;17),"Usia di bawah 17","")))))))))</f>
        <v>NIK kosong</v>
      </c>
      <c r="Z28" s="40" t="n">
        <f aca="false">IF($B28="","",IF(AND(OR(CARI!$C$5="",ISNUMBER(SEARCH(CARI!$C$5,$B28&amp;" "&amp;$C28&amp;" "&amp;$D28&amp;" "&amp;$O28&amp;" "&amp;$I28&amp;" "&amp;$F28&amp;" "&amp;$J28&amp;" "&amp;$K28&amp;" "&amp;$L28&amp;" "&amp;$V28))),OR(CARI!$C$6="",$F28=CARI!$C$6),OR(CARI!$C$7="",$G28=CARI!$C$7),OR(CARI!$C$8="",$T28=CARI!$C$8)),MAX($Z$3:Z27)+1,""))</f>
        <v>25</v>
      </c>
      <c r="AA28" s="40" t="n">
        <f aca="false">IF($Y28="","",MAX($AA$3:AA27)+1)</f>
        <v>25</v>
      </c>
      <c r="AB28" s="40" t="str">
        <f aca="false">IF($F28="","",$F28&amp;"#"&amp;COUNTIF($F$4:$F28,$F28))</f>
        <v>Kp. Wangkal#6</v>
      </c>
      <c r="AC28" s="40" t="n">
        <f aca="false">IF($B28="","",IF(AND(OR(CETAK!$J$10="",$F28=CETAK!$J$10),OR(CETAK!$J$11="",$G28=CETAK!$J$11),OR(CETAK!$J$12="",$P28=CETAK!$J$12),OR(CETAK!$J$13="",$N28=CETAK!$J$13),OR(CETAK!$J$14="",$T28=CETAK!$J$14)),MAX($AC$3:AC27)+1,""))</f>
        <v>25</v>
      </c>
      <c r="AD28" s="40" t="n">
        <f aca="false">IF($B28="","",IF(AND(OR(ABSENSI!$H$10="",$F28=ABSENSI!$H$10),OR(ABSENSI!$H$11="",$G28=ABSENSI!$H$11),OR(ABSENSI!$H$12="",$P28=ABSENSI!$H$12)),MAX($AD$3:AD27)+1,""))</f>
        <v>25</v>
      </c>
      <c r="AE28" s="40" t="n">
        <f aca="false">IF($B28="","",IF(AND(OR(KARTU!$K$6="",$F28=KARTU!$K$6),OR(KARTU!$K$7="",$G28=KARTU!$K$7),OR(KARTU!$K$8="",$P28=KARTU!$K$8)),MAX($AE$3:AE27)+1,""))</f>
        <v>25</v>
      </c>
    </row>
    <row r="29" customFormat="false" ht="15" hidden="false" customHeight="false" outlineLevel="0" collapsed="false">
      <c r="A29" s="35" t="n">
        <f aca="false">IF($B29="","",COUNTA($B$4:$B29))</f>
        <v>26</v>
      </c>
      <c r="B29" s="36" t="s">
        <v>145</v>
      </c>
      <c r="C29" s="37"/>
      <c r="D29" s="37"/>
      <c r="E29" s="38"/>
      <c r="F29" s="36" t="s">
        <v>85</v>
      </c>
      <c r="G29" s="39" t="s">
        <v>101</v>
      </c>
      <c r="H29" s="39" t="s">
        <v>110</v>
      </c>
      <c r="I29" s="36"/>
      <c r="J29" s="36"/>
      <c r="K29" s="36" t="s">
        <v>111</v>
      </c>
      <c r="L29" s="36" t="s">
        <v>112</v>
      </c>
      <c r="M29" s="40" t="str">
        <f aca="false">IF($F29="","",$F29&amp;IF($G29="",""," - RT "&amp;$G29&amp;IF($H29="","","/"&amp;$H29)))</f>
        <v>Kp. Wangkal - RT 004/006</v>
      </c>
      <c r="N29" s="36" t="s">
        <v>73</v>
      </c>
      <c r="O29" s="37"/>
      <c r="P29" s="39"/>
      <c r="Q29" s="41"/>
      <c r="R29" s="35" t="str">
        <f aca="true">IF(OR($B29="",$Q29=""),"",DATEDIF($Q29,TODAY(),"Y"))</f>
        <v/>
      </c>
      <c r="S29" s="40" t="str">
        <f aca="false">IF($R29="","",INDEX(usia_label,MATCH($R29,usia_min,1)))</f>
        <v/>
      </c>
      <c r="T29" s="36" t="s">
        <v>74</v>
      </c>
      <c r="U29" s="41"/>
      <c r="V29" s="36"/>
      <c r="W29" s="36" t="s">
        <v>146</v>
      </c>
      <c r="X29" s="40" t="str">
        <f aca="false">IF($M29="","",$M29&amp;"#"&amp;COUNTIF($M$4:$M29,$M29))</f>
        <v>Kp. Wangkal - RT 004/006#5</v>
      </c>
      <c r="Y29" s="40" t="str">
        <f aca="false">IF($B29="","",IF($C29="","NIK kosong",IF(LEN($C29)&lt;&gt;16,"NIK bukan 16 digit",IF(COUNTIF($C$4:$C$2003,$C29&amp;"*")&gt;1,"NIK ganda",IF(AND($D29&lt;&gt;"",LEN($D29)&lt;&gt;16),"No. KK bukan 16 digit",IF(AND($F29="",$I29=""),"Alamat kosong",IF($N29="","Jabatan kosong",IF($O29="","No. HP kosong",IF(AND($R29&lt;&gt;"",$R29&lt;17),"Usia di bawah 17","")))))))))</f>
        <v>NIK kosong</v>
      </c>
      <c r="Z29" s="40" t="n">
        <f aca="false">IF($B29="","",IF(AND(OR(CARI!$C$5="",ISNUMBER(SEARCH(CARI!$C$5,$B29&amp;" "&amp;$C29&amp;" "&amp;$D29&amp;" "&amp;$O29&amp;" "&amp;$I29&amp;" "&amp;$F29&amp;" "&amp;$J29&amp;" "&amp;$K29&amp;" "&amp;$L29&amp;" "&amp;$V29))),OR(CARI!$C$6="",$F29=CARI!$C$6),OR(CARI!$C$7="",$G29=CARI!$C$7),OR(CARI!$C$8="",$T29=CARI!$C$8)),MAX($Z$3:Z28)+1,""))</f>
        <v>26</v>
      </c>
      <c r="AA29" s="40" t="n">
        <f aca="false">IF($Y29="","",MAX($AA$3:AA28)+1)</f>
        <v>26</v>
      </c>
      <c r="AB29" s="40" t="str">
        <f aca="false">IF($F29="","",$F29&amp;"#"&amp;COUNTIF($F$4:$F29,$F29))</f>
        <v>Kp. Wangkal#7</v>
      </c>
      <c r="AC29" s="40" t="n">
        <f aca="false">IF($B29="","",IF(AND(OR(CETAK!$J$10="",$F29=CETAK!$J$10),OR(CETAK!$J$11="",$G29=CETAK!$J$11),OR(CETAK!$J$12="",$P29=CETAK!$J$12),OR(CETAK!$J$13="",$N29=CETAK!$J$13),OR(CETAK!$J$14="",$T29=CETAK!$J$14)),MAX($AC$3:AC28)+1,""))</f>
        <v>26</v>
      </c>
      <c r="AD29" s="40" t="n">
        <f aca="false">IF($B29="","",IF(AND(OR(ABSENSI!$H$10="",$F29=ABSENSI!$H$10),OR(ABSENSI!$H$11="",$G29=ABSENSI!$H$11),OR(ABSENSI!$H$12="",$P29=ABSENSI!$H$12)),MAX($AD$3:AD28)+1,""))</f>
        <v>26</v>
      </c>
      <c r="AE29" s="40" t="n">
        <f aca="false">IF($B29="","",IF(AND(OR(KARTU!$K$6="",$F29=KARTU!$K$6),OR(KARTU!$K$7="",$G29=KARTU!$K$7),OR(KARTU!$K$8="",$P29=KARTU!$K$8)),MAX($AE$3:AE28)+1,""))</f>
        <v>26</v>
      </c>
    </row>
    <row r="30" customFormat="false" ht="15" hidden="false" customHeight="false" outlineLevel="0" collapsed="false">
      <c r="A30" s="35" t="n">
        <f aca="false">IF($B30="","",COUNTA($B$4:$B30))</f>
        <v>27</v>
      </c>
      <c r="B30" s="36" t="s">
        <v>147</v>
      </c>
      <c r="C30" s="37"/>
      <c r="D30" s="37"/>
      <c r="E30" s="38"/>
      <c r="F30" s="36"/>
      <c r="G30" s="39" t="s">
        <v>101</v>
      </c>
      <c r="H30" s="39" t="s">
        <v>70</v>
      </c>
      <c r="I30" s="36"/>
      <c r="J30" s="36"/>
      <c r="K30" s="36" t="s">
        <v>71</v>
      </c>
      <c r="L30" s="36" t="s">
        <v>72</v>
      </c>
      <c r="M30" s="40" t="str">
        <f aca="false">IF($F30="","",$F30&amp;IF($G30="",""," - RT "&amp;$G30&amp;IF($H30="","","/"&amp;$H30)))</f>
        <v/>
      </c>
      <c r="N30" s="36" t="s">
        <v>73</v>
      </c>
      <c r="O30" s="37"/>
      <c r="P30" s="39"/>
      <c r="Q30" s="41"/>
      <c r="R30" s="35" t="str">
        <f aca="true">IF(OR($B30="",$Q30=""),"",DATEDIF($Q30,TODAY(),"Y"))</f>
        <v/>
      </c>
      <c r="S30" s="40" t="str">
        <f aca="false">IF($R30="","",INDEX(usia_label,MATCH($R30,usia_min,1)))</f>
        <v/>
      </c>
      <c r="T30" s="36" t="s">
        <v>74</v>
      </c>
      <c r="U30" s="41"/>
      <c r="V30" s="36"/>
      <c r="W30" s="36" t="s">
        <v>148</v>
      </c>
      <c r="X30" s="40" t="str">
        <f aca="false">IF($M30="","",$M30&amp;"#"&amp;COUNTIF($M$4:$M30,$M30))</f>
        <v/>
      </c>
      <c r="Y30" s="40" t="str">
        <f aca="false">IF($B30="","",IF($C30="","NIK kosong",IF(LEN($C30)&lt;&gt;16,"NIK bukan 16 digit",IF(COUNTIF($C$4:$C$2003,$C30&amp;"*")&gt;1,"NIK ganda",IF(AND($D30&lt;&gt;"",LEN($D30)&lt;&gt;16),"No. KK bukan 16 digit",IF(AND($F30="",$I30=""),"Alamat kosong",IF($N30="","Jabatan kosong",IF($O30="","No. HP kosong",IF(AND($R30&lt;&gt;"",$R30&lt;17),"Usia di bawah 17","")))))))))</f>
        <v>NIK kosong</v>
      </c>
      <c r="Z30" s="40" t="n">
        <f aca="false">IF($B30="","",IF(AND(OR(CARI!$C$5="",ISNUMBER(SEARCH(CARI!$C$5,$B30&amp;" "&amp;$C30&amp;" "&amp;$D30&amp;" "&amp;$O30&amp;" "&amp;$I30&amp;" "&amp;$F30&amp;" "&amp;$J30&amp;" "&amp;$K30&amp;" "&amp;$L30&amp;" "&amp;$V30))),OR(CARI!$C$6="",$F30=CARI!$C$6),OR(CARI!$C$7="",$G30=CARI!$C$7),OR(CARI!$C$8="",$T30=CARI!$C$8)),MAX($Z$3:Z29)+1,""))</f>
        <v>27</v>
      </c>
      <c r="AA30" s="40" t="n">
        <f aca="false">IF($Y30="","",MAX($AA$3:AA29)+1)</f>
        <v>27</v>
      </c>
      <c r="AB30" s="40" t="str">
        <f aca="false">IF($F30="","",$F30&amp;"#"&amp;COUNTIF($F$4:$F30,$F30))</f>
        <v/>
      </c>
      <c r="AC30" s="40" t="n">
        <f aca="false">IF($B30="","",IF(AND(OR(CETAK!$J$10="",$F30=CETAK!$J$10),OR(CETAK!$J$11="",$G30=CETAK!$J$11),OR(CETAK!$J$12="",$P30=CETAK!$J$12),OR(CETAK!$J$13="",$N30=CETAK!$J$13),OR(CETAK!$J$14="",$T30=CETAK!$J$14)),MAX($AC$3:AC29)+1,""))</f>
        <v>27</v>
      </c>
      <c r="AD30" s="40" t="n">
        <f aca="false">IF($B30="","",IF(AND(OR(ABSENSI!$H$10="",$F30=ABSENSI!$H$10),OR(ABSENSI!$H$11="",$G30=ABSENSI!$H$11),OR(ABSENSI!$H$12="",$P30=ABSENSI!$H$12)),MAX($AD$3:AD29)+1,""))</f>
        <v>27</v>
      </c>
      <c r="AE30" s="40" t="n">
        <f aca="false">IF($B30="","",IF(AND(OR(KARTU!$K$6="",$F30=KARTU!$K$6),OR(KARTU!$K$7="",$G30=KARTU!$K$7),OR(KARTU!$K$8="",$P30=KARTU!$K$8)),MAX($AE$3:AE29)+1,""))</f>
        <v>27</v>
      </c>
    </row>
    <row r="31" customFormat="false" ht="15" hidden="false" customHeight="false" outlineLevel="0" collapsed="false">
      <c r="A31" s="35" t="n">
        <f aca="false">IF($B31="","",COUNTA($B$4:$B31))</f>
        <v>28</v>
      </c>
      <c r="B31" s="36" t="s">
        <v>149</v>
      </c>
      <c r="C31" s="37"/>
      <c r="D31" s="37"/>
      <c r="E31" s="38"/>
      <c r="F31" s="36" t="s">
        <v>88</v>
      </c>
      <c r="G31" s="39" t="s">
        <v>101</v>
      </c>
      <c r="H31" s="39" t="s">
        <v>118</v>
      </c>
      <c r="I31" s="36"/>
      <c r="J31" s="36" t="s">
        <v>130</v>
      </c>
      <c r="K31" s="36" t="s">
        <v>150</v>
      </c>
      <c r="L31" s="36" t="s">
        <v>72</v>
      </c>
      <c r="M31" s="40" t="str">
        <f aca="false">IF($F31="","",$F31&amp;IF($G31="",""," - RT "&amp;$G31&amp;IF($H31="","","/"&amp;$H31)))</f>
        <v>Kp. Kuda Kuda - RT 004/002</v>
      </c>
      <c r="N31" s="36" t="s">
        <v>73</v>
      </c>
      <c r="O31" s="37"/>
      <c r="P31" s="39"/>
      <c r="Q31" s="41"/>
      <c r="R31" s="35" t="str">
        <f aca="true">IF(OR($B31="",$Q31=""),"",DATEDIF($Q31,TODAY(),"Y"))</f>
        <v/>
      </c>
      <c r="S31" s="40" t="str">
        <f aca="false">IF($R31="","",INDEX(usia_label,MATCH($R31,usia_min,1)))</f>
        <v/>
      </c>
      <c r="T31" s="36" t="s">
        <v>74</v>
      </c>
      <c r="U31" s="41"/>
      <c r="V31" s="36"/>
      <c r="W31" s="36" t="s">
        <v>151</v>
      </c>
      <c r="X31" s="40" t="str">
        <f aca="false">IF($M31="","",$M31&amp;"#"&amp;COUNTIF($M$4:$M31,$M31))</f>
        <v>Kp. Kuda Kuda - RT 004/002#1</v>
      </c>
      <c r="Y31" s="40" t="str">
        <f aca="false">IF($B31="","",IF($C31="","NIK kosong",IF(LEN($C31)&lt;&gt;16,"NIK bukan 16 digit",IF(COUNTIF($C$4:$C$2003,$C31&amp;"*")&gt;1,"NIK ganda",IF(AND($D31&lt;&gt;"",LEN($D31)&lt;&gt;16),"No. KK bukan 16 digit",IF(AND($F31="",$I31=""),"Alamat kosong",IF($N31="","Jabatan kosong",IF($O31="","No. HP kosong",IF(AND($R31&lt;&gt;"",$R31&lt;17),"Usia di bawah 17","")))))))))</f>
        <v>NIK kosong</v>
      </c>
      <c r="Z31" s="40" t="n">
        <f aca="false">IF($B31="","",IF(AND(OR(CARI!$C$5="",ISNUMBER(SEARCH(CARI!$C$5,$B31&amp;" "&amp;$C31&amp;" "&amp;$D31&amp;" "&amp;$O31&amp;" "&amp;$I31&amp;" "&amp;$F31&amp;" "&amp;$J31&amp;" "&amp;$K31&amp;" "&amp;$L31&amp;" "&amp;$V31))),OR(CARI!$C$6="",$F31=CARI!$C$6),OR(CARI!$C$7="",$G31=CARI!$C$7),OR(CARI!$C$8="",$T31=CARI!$C$8)),MAX($Z$3:Z30)+1,""))</f>
        <v>28</v>
      </c>
      <c r="AA31" s="40" t="n">
        <f aca="false">IF($Y31="","",MAX($AA$3:AA30)+1)</f>
        <v>28</v>
      </c>
      <c r="AB31" s="40" t="str">
        <f aca="false">IF($F31="","",$F31&amp;"#"&amp;COUNTIF($F$4:$F31,$F31))</f>
        <v>Kp. Kuda Kuda#6</v>
      </c>
      <c r="AC31" s="40" t="n">
        <f aca="false">IF($B31="","",IF(AND(OR(CETAK!$J$10="",$F31=CETAK!$J$10),OR(CETAK!$J$11="",$G31=CETAK!$J$11),OR(CETAK!$J$12="",$P31=CETAK!$J$12),OR(CETAK!$J$13="",$N31=CETAK!$J$13),OR(CETAK!$J$14="",$T31=CETAK!$J$14)),MAX($AC$3:AC30)+1,""))</f>
        <v>28</v>
      </c>
      <c r="AD31" s="40" t="n">
        <f aca="false">IF($B31="","",IF(AND(OR(ABSENSI!$H$10="",$F31=ABSENSI!$H$10),OR(ABSENSI!$H$11="",$G31=ABSENSI!$H$11),OR(ABSENSI!$H$12="",$P31=ABSENSI!$H$12)),MAX($AD$3:AD30)+1,""))</f>
        <v>28</v>
      </c>
      <c r="AE31" s="40" t="n">
        <f aca="false">IF($B31="","",IF(AND(OR(KARTU!$K$6="",$F31=KARTU!$K$6),OR(KARTU!$K$7="",$G31=KARTU!$K$7),OR(KARTU!$K$8="",$P31=KARTU!$K$8)),MAX($AE$3:AE30)+1,""))</f>
        <v>28</v>
      </c>
    </row>
    <row r="32" customFormat="false" ht="15" hidden="false" customHeight="false" outlineLevel="0" collapsed="false">
      <c r="A32" s="35" t="n">
        <f aca="false">IF($B32="","",COUNTA($B$4:$B32))</f>
        <v>29</v>
      </c>
      <c r="B32" s="36" t="s">
        <v>152</v>
      </c>
      <c r="C32" s="37"/>
      <c r="D32" s="37"/>
      <c r="E32" s="38"/>
      <c r="F32" s="36"/>
      <c r="G32" s="39" t="s">
        <v>94</v>
      </c>
      <c r="H32" s="39" t="s">
        <v>118</v>
      </c>
      <c r="I32" s="36"/>
      <c r="J32" s="36"/>
      <c r="K32" s="36" t="s">
        <v>150</v>
      </c>
      <c r="L32" s="36" t="s">
        <v>72</v>
      </c>
      <c r="M32" s="40" t="str">
        <f aca="false">IF($F32="","",$F32&amp;IF($G32="",""," - RT "&amp;$G32&amp;IF($H32="","","/"&amp;$H32)))</f>
        <v/>
      </c>
      <c r="N32" s="36" t="s">
        <v>73</v>
      </c>
      <c r="O32" s="37"/>
      <c r="P32" s="39"/>
      <c r="Q32" s="41"/>
      <c r="R32" s="35" t="str">
        <f aca="true">IF(OR($B32="",$Q32=""),"",DATEDIF($Q32,TODAY(),"Y"))</f>
        <v/>
      </c>
      <c r="S32" s="40" t="str">
        <f aca="false">IF($R32="","",INDEX(usia_label,MATCH($R32,usia_min,1)))</f>
        <v/>
      </c>
      <c r="T32" s="36" t="s">
        <v>74</v>
      </c>
      <c r="U32" s="41"/>
      <c r="V32" s="36"/>
      <c r="W32" s="36" t="s">
        <v>153</v>
      </c>
      <c r="X32" s="40" t="str">
        <f aca="false">IF($M32="","",$M32&amp;"#"&amp;COUNTIF($M$4:$M32,$M32))</f>
        <v/>
      </c>
      <c r="Y32" s="40" t="str">
        <f aca="false">IF($B32="","",IF($C32="","NIK kosong",IF(LEN($C32)&lt;&gt;16,"NIK bukan 16 digit",IF(COUNTIF($C$4:$C$2003,$C32&amp;"*")&gt;1,"NIK ganda",IF(AND($D32&lt;&gt;"",LEN($D32)&lt;&gt;16),"No. KK bukan 16 digit",IF(AND($F32="",$I32=""),"Alamat kosong",IF($N32="","Jabatan kosong",IF($O32="","No. HP kosong",IF(AND($R32&lt;&gt;"",$R32&lt;17),"Usia di bawah 17","")))))))))</f>
        <v>NIK kosong</v>
      </c>
      <c r="Z32" s="40" t="n">
        <f aca="false">IF($B32="","",IF(AND(OR(CARI!$C$5="",ISNUMBER(SEARCH(CARI!$C$5,$B32&amp;" "&amp;$C32&amp;" "&amp;$D32&amp;" "&amp;$O32&amp;" "&amp;$I32&amp;" "&amp;$F32&amp;" "&amp;$J32&amp;" "&amp;$K32&amp;" "&amp;$L32&amp;" "&amp;$V32))),OR(CARI!$C$6="",$F32=CARI!$C$6),OR(CARI!$C$7="",$G32=CARI!$C$7),OR(CARI!$C$8="",$T32=CARI!$C$8)),MAX($Z$3:Z31)+1,""))</f>
        <v>29</v>
      </c>
      <c r="AA32" s="40" t="n">
        <f aca="false">IF($Y32="","",MAX($AA$3:AA31)+1)</f>
        <v>29</v>
      </c>
      <c r="AB32" s="40" t="str">
        <f aca="false">IF($F32="","",$F32&amp;"#"&amp;COUNTIF($F$4:$F32,$F32))</f>
        <v/>
      </c>
      <c r="AC32" s="40" t="n">
        <f aca="false">IF($B32="","",IF(AND(OR(CETAK!$J$10="",$F32=CETAK!$J$10),OR(CETAK!$J$11="",$G32=CETAK!$J$11),OR(CETAK!$J$12="",$P32=CETAK!$J$12),OR(CETAK!$J$13="",$N32=CETAK!$J$13),OR(CETAK!$J$14="",$T32=CETAK!$J$14)),MAX($AC$3:AC31)+1,""))</f>
        <v>29</v>
      </c>
      <c r="AD32" s="40" t="n">
        <f aca="false">IF($B32="","",IF(AND(OR(ABSENSI!$H$10="",$F32=ABSENSI!$H$10),OR(ABSENSI!$H$11="",$G32=ABSENSI!$H$11),OR(ABSENSI!$H$12="",$P32=ABSENSI!$H$12)),MAX($AD$3:AD31)+1,""))</f>
        <v>29</v>
      </c>
      <c r="AE32" s="40" t="n">
        <f aca="false">IF($B32="","",IF(AND(OR(KARTU!$K$6="",$F32=KARTU!$K$6),OR(KARTU!$K$7="",$G32=KARTU!$K$7),OR(KARTU!$K$8="",$P32=KARTU!$K$8)),MAX($AE$3:AE31)+1,""))</f>
        <v>29</v>
      </c>
    </row>
    <row r="33" customFormat="false" ht="15" hidden="false" customHeight="false" outlineLevel="0" collapsed="false">
      <c r="A33" s="35" t="n">
        <f aca="false">IF($B33="","",COUNTA($B$4:$B33))</f>
        <v>30</v>
      </c>
      <c r="B33" s="36" t="s">
        <v>154</v>
      </c>
      <c r="C33" s="37"/>
      <c r="D33" s="37"/>
      <c r="E33" s="38"/>
      <c r="F33" s="36"/>
      <c r="G33" s="39" t="s">
        <v>94</v>
      </c>
      <c r="H33" s="39" t="s">
        <v>94</v>
      </c>
      <c r="I33" s="36"/>
      <c r="J33" s="36"/>
      <c r="K33" s="36" t="s">
        <v>95</v>
      </c>
      <c r="L33" s="36" t="s">
        <v>96</v>
      </c>
      <c r="M33" s="40" t="str">
        <f aca="false">IF($F33="","",$F33&amp;IF($G33="",""," - RT "&amp;$G33&amp;IF($H33="","","/"&amp;$H33)))</f>
        <v/>
      </c>
      <c r="N33" s="36" t="s">
        <v>73</v>
      </c>
      <c r="O33" s="37"/>
      <c r="P33" s="39"/>
      <c r="Q33" s="41"/>
      <c r="R33" s="35" t="str">
        <f aca="true">IF(OR($B33="",$Q33=""),"",DATEDIF($Q33,TODAY(),"Y"))</f>
        <v/>
      </c>
      <c r="S33" s="40" t="str">
        <f aca="false">IF($R33="","",INDEX(usia_label,MATCH($R33,usia_min,1)))</f>
        <v/>
      </c>
      <c r="T33" s="36" t="s">
        <v>74</v>
      </c>
      <c r="U33" s="41"/>
      <c r="V33" s="36"/>
      <c r="W33" s="36" t="s">
        <v>155</v>
      </c>
      <c r="X33" s="40" t="str">
        <f aca="false">IF($M33="","",$M33&amp;"#"&amp;COUNTIF($M$4:$M33,$M33))</f>
        <v/>
      </c>
      <c r="Y33" s="40" t="str">
        <f aca="false">IF($B33="","",IF($C33="","NIK kosong",IF(LEN($C33)&lt;&gt;16,"NIK bukan 16 digit",IF(COUNTIF($C$4:$C$2003,$C33&amp;"*")&gt;1,"NIK ganda",IF(AND($D33&lt;&gt;"",LEN($D33)&lt;&gt;16),"No. KK bukan 16 digit",IF(AND($F33="",$I33=""),"Alamat kosong",IF($N33="","Jabatan kosong",IF($O33="","No. HP kosong",IF(AND($R33&lt;&gt;"",$R33&lt;17),"Usia di bawah 17","")))))))))</f>
        <v>NIK kosong</v>
      </c>
      <c r="Z33" s="40" t="n">
        <f aca="false">IF($B33="","",IF(AND(OR(CARI!$C$5="",ISNUMBER(SEARCH(CARI!$C$5,$B33&amp;" "&amp;$C33&amp;" "&amp;$D33&amp;" "&amp;$O33&amp;" "&amp;$I33&amp;" "&amp;$F33&amp;" "&amp;$J33&amp;" "&amp;$K33&amp;" "&amp;$L33&amp;" "&amp;$V33))),OR(CARI!$C$6="",$F33=CARI!$C$6),OR(CARI!$C$7="",$G33=CARI!$C$7),OR(CARI!$C$8="",$T33=CARI!$C$8)),MAX($Z$3:Z32)+1,""))</f>
        <v>30</v>
      </c>
      <c r="AA33" s="40" t="n">
        <f aca="false">IF($Y33="","",MAX($AA$3:AA32)+1)</f>
        <v>30</v>
      </c>
      <c r="AB33" s="40" t="str">
        <f aca="false">IF($F33="","",$F33&amp;"#"&amp;COUNTIF($F$4:$F33,$F33))</f>
        <v/>
      </c>
      <c r="AC33" s="40" t="n">
        <f aca="false">IF($B33="","",IF(AND(OR(CETAK!$J$10="",$F33=CETAK!$J$10),OR(CETAK!$J$11="",$G33=CETAK!$J$11),OR(CETAK!$J$12="",$P33=CETAK!$J$12),OR(CETAK!$J$13="",$N33=CETAK!$J$13),OR(CETAK!$J$14="",$T33=CETAK!$J$14)),MAX($AC$3:AC32)+1,""))</f>
        <v>30</v>
      </c>
      <c r="AD33" s="40" t="n">
        <f aca="false">IF($B33="","",IF(AND(OR(ABSENSI!$H$10="",$F33=ABSENSI!$H$10),OR(ABSENSI!$H$11="",$G33=ABSENSI!$H$11),OR(ABSENSI!$H$12="",$P33=ABSENSI!$H$12)),MAX($AD$3:AD32)+1,""))</f>
        <v>30</v>
      </c>
      <c r="AE33" s="40" t="n">
        <f aca="false">IF($B33="","",IF(AND(OR(KARTU!$K$6="",$F33=KARTU!$K$6),OR(KARTU!$K$7="",$G33=KARTU!$K$7),OR(KARTU!$K$8="",$P33=KARTU!$K$8)),MAX($AE$3:AE32)+1,""))</f>
        <v>30</v>
      </c>
    </row>
    <row r="34" customFormat="false" ht="15" hidden="false" customHeight="false" outlineLevel="0" collapsed="false">
      <c r="A34" s="35" t="n">
        <f aca="false">IF($B34="","",COUNTA($B$4:$B34))</f>
        <v>31</v>
      </c>
      <c r="B34" s="36" t="s">
        <v>156</v>
      </c>
      <c r="C34" s="37"/>
      <c r="D34" s="37"/>
      <c r="E34" s="38"/>
      <c r="F34" s="36"/>
      <c r="G34" s="39" t="s">
        <v>118</v>
      </c>
      <c r="H34" s="39" t="s">
        <v>118</v>
      </c>
      <c r="I34" s="36"/>
      <c r="J34" s="36"/>
      <c r="K34" s="36" t="s">
        <v>150</v>
      </c>
      <c r="L34" s="36" t="s">
        <v>72</v>
      </c>
      <c r="M34" s="40" t="str">
        <f aca="false">IF($F34="","",$F34&amp;IF($G34="",""," - RT "&amp;$G34&amp;IF($H34="","","/"&amp;$H34)))</f>
        <v/>
      </c>
      <c r="N34" s="36" t="s">
        <v>73</v>
      </c>
      <c r="O34" s="37"/>
      <c r="P34" s="39"/>
      <c r="Q34" s="41"/>
      <c r="R34" s="35" t="str">
        <f aca="true">IF(OR($B34="",$Q34=""),"",DATEDIF($Q34,TODAY(),"Y"))</f>
        <v/>
      </c>
      <c r="S34" s="40" t="str">
        <f aca="false">IF($R34="","",INDEX(usia_label,MATCH($R34,usia_min,1)))</f>
        <v/>
      </c>
      <c r="T34" s="36" t="s">
        <v>74</v>
      </c>
      <c r="U34" s="41"/>
      <c r="V34" s="36"/>
      <c r="W34" s="36" t="s">
        <v>157</v>
      </c>
      <c r="X34" s="40" t="str">
        <f aca="false">IF($M34="","",$M34&amp;"#"&amp;COUNTIF($M$4:$M34,$M34))</f>
        <v/>
      </c>
      <c r="Y34" s="40" t="str">
        <f aca="false">IF($B34="","",IF($C34="","NIK kosong",IF(LEN($C34)&lt;&gt;16,"NIK bukan 16 digit",IF(COUNTIF($C$4:$C$2003,$C34&amp;"*")&gt;1,"NIK ganda",IF(AND($D34&lt;&gt;"",LEN($D34)&lt;&gt;16),"No. KK bukan 16 digit",IF(AND($F34="",$I34=""),"Alamat kosong",IF($N34="","Jabatan kosong",IF($O34="","No. HP kosong",IF(AND($R34&lt;&gt;"",$R34&lt;17),"Usia di bawah 17","")))))))))</f>
        <v>NIK kosong</v>
      </c>
      <c r="Z34" s="40" t="n">
        <f aca="false">IF($B34="","",IF(AND(OR(CARI!$C$5="",ISNUMBER(SEARCH(CARI!$C$5,$B34&amp;" "&amp;$C34&amp;" "&amp;$D34&amp;" "&amp;$O34&amp;" "&amp;$I34&amp;" "&amp;$F34&amp;" "&amp;$J34&amp;" "&amp;$K34&amp;" "&amp;$L34&amp;" "&amp;$V34))),OR(CARI!$C$6="",$F34=CARI!$C$6),OR(CARI!$C$7="",$G34=CARI!$C$7),OR(CARI!$C$8="",$T34=CARI!$C$8)),MAX($Z$3:Z33)+1,""))</f>
        <v>31</v>
      </c>
      <c r="AA34" s="40" t="n">
        <f aca="false">IF($Y34="","",MAX($AA$3:AA33)+1)</f>
        <v>31</v>
      </c>
      <c r="AB34" s="40" t="str">
        <f aca="false">IF($F34="","",$F34&amp;"#"&amp;COUNTIF($F$4:$F34,$F34))</f>
        <v/>
      </c>
      <c r="AC34" s="40" t="n">
        <f aca="false">IF($B34="","",IF(AND(OR(CETAK!$J$10="",$F34=CETAK!$J$10),OR(CETAK!$J$11="",$G34=CETAK!$J$11),OR(CETAK!$J$12="",$P34=CETAK!$J$12),OR(CETAK!$J$13="",$N34=CETAK!$J$13),OR(CETAK!$J$14="",$T34=CETAK!$J$14)),MAX($AC$3:AC33)+1,""))</f>
        <v>31</v>
      </c>
      <c r="AD34" s="40" t="n">
        <f aca="false">IF($B34="","",IF(AND(OR(ABSENSI!$H$10="",$F34=ABSENSI!$H$10),OR(ABSENSI!$H$11="",$G34=ABSENSI!$H$11),OR(ABSENSI!$H$12="",$P34=ABSENSI!$H$12)),MAX($AD$3:AD33)+1,""))</f>
        <v>31</v>
      </c>
      <c r="AE34" s="40" t="n">
        <f aca="false">IF($B34="","",IF(AND(OR(KARTU!$K$6="",$F34=KARTU!$K$6),OR(KARTU!$K$7="",$G34=KARTU!$K$7),OR(KARTU!$K$8="",$P34=KARTU!$K$8)),MAX($AE$3:AE33)+1,""))</f>
        <v>31</v>
      </c>
    </row>
    <row r="35" customFormat="false" ht="15" hidden="false" customHeight="false" outlineLevel="0" collapsed="false">
      <c r="A35" s="35" t="n">
        <f aca="false">IF($B35="","",COUNTA($B$4:$B35))</f>
        <v>32</v>
      </c>
      <c r="B35" s="36" t="s">
        <v>158</v>
      </c>
      <c r="C35" s="37"/>
      <c r="D35" s="37"/>
      <c r="E35" s="38"/>
      <c r="F35" s="36"/>
      <c r="G35" s="39"/>
      <c r="H35" s="39"/>
      <c r="I35" s="36"/>
      <c r="J35" s="36"/>
      <c r="K35" s="36"/>
      <c r="L35" s="36" t="s">
        <v>112</v>
      </c>
      <c r="M35" s="40" t="str">
        <f aca="false">IF($F35="","",$F35&amp;IF($G35="",""," - RT "&amp;$G35&amp;IF($H35="","","/"&amp;$H35)))</f>
        <v/>
      </c>
      <c r="N35" s="36" t="s">
        <v>159</v>
      </c>
      <c r="O35" s="37"/>
      <c r="P35" s="39"/>
      <c r="Q35" s="41"/>
      <c r="R35" s="35" t="str">
        <f aca="true">IF(OR($B35="",$Q35=""),"",DATEDIF($Q35,TODAY(),"Y"))</f>
        <v/>
      </c>
      <c r="S35" s="40" t="str">
        <f aca="false">IF($R35="","",INDEX(usia_label,MATCH($R35,usia_min,1)))</f>
        <v/>
      </c>
      <c r="T35" s="36" t="s">
        <v>74</v>
      </c>
      <c r="U35" s="41"/>
      <c r="V35" s="36"/>
      <c r="W35" s="36" t="s">
        <v>160</v>
      </c>
      <c r="X35" s="40" t="str">
        <f aca="false">IF($M35="","",$M35&amp;"#"&amp;COUNTIF($M$4:$M35,$M35))</f>
        <v/>
      </c>
      <c r="Y35" s="40" t="str">
        <f aca="false">IF($B35="","",IF($C35="","NIK kosong",IF(LEN($C35)&lt;&gt;16,"NIK bukan 16 digit",IF(COUNTIF($C$4:$C$2003,$C35&amp;"*")&gt;1,"NIK ganda",IF(AND($D35&lt;&gt;"",LEN($D35)&lt;&gt;16),"No. KK bukan 16 digit",IF(AND($F35="",$I35=""),"Alamat kosong",IF($N35="","Jabatan kosong",IF($O35="","No. HP kosong",IF(AND($R35&lt;&gt;"",$R35&lt;17),"Usia di bawah 17","")))))))))</f>
        <v>NIK kosong</v>
      </c>
      <c r="Z35" s="40" t="n">
        <f aca="false">IF($B35="","",IF(AND(OR(CARI!$C$5="",ISNUMBER(SEARCH(CARI!$C$5,$B35&amp;" "&amp;$C35&amp;" "&amp;$D35&amp;" "&amp;$O35&amp;" "&amp;$I35&amp;" "&amp;$F35&amp;" "&amp;$J35&amp;" "&amp;$K35&amp;" "&amp;$L35&amp;" "&amp;$V35))),OR(CARI!$C$6="",$F35=CARI!$C$6),OR(CARI!$C$7="",$G35=CARI!$C$7),OR(CARI!$C$8="",$T35=CARI!$C$8)),MAX($Z$3:Z34)+1,""))</f>
        <v>32</v>
      </c>
      <c r="AA35" s="40" t="n">
        <f aca="false">IF($Y35="","",MAX($AA$3:AA34)+1)</f>
        <v>32</v>
      </c>
      <c r="AB35" s="40" t="str">
        <f aca="false">IF($F35="","",$F35&amp;"#"&amp;COUNTIF($F$4:$F35,$F35))</f>
        <v/>
      </c>
      <c r="AC35" s="40" t="n">
        <f aca="false">IF($B35="","",IF(AND(OR(CETAK!$J$10="",$F35=CETAK!$J$10),OR(CETAK!$J$11="",$G35=CETAK!$J$11),OR(CETAK!$J$12="",$P35=CETAK!$J$12),OR(CETAK!$J$13="",$N35=CETAK!$J$13),OR(CETAK!$J$14="",$T35=CETAK!$J$14)),MAX($AC$3:AC34)+1,""))</f>
        <v>32</v>
      </c>
      <c r="AD35" s="40" t="n">
        <f aca="false">IF($B35="","",IF(AND(OR(ABSENSI!$H$10="",$F35=ABSENSI!$H$10),OR(ABSENSI!$H$11="",$G35=ABSENSI!$H$11),OR(ABSENSI!$H$12="",$P35=ABSENSI!$H$12)),MAX($AD$3:AD34)+1,""))</f>
        <v>32</v>
      </c>
      <c r="AE35" s="40" t="n">
        <f aca="false">IF($B35="","",IF(AND(OR(KARTU!$K$6="",$F35=KARTU!$K$6),OR(KARTU!$K$7="",$G35=KARTU!$K$7),OR(KARTU!$K$8="",$P35=KARTU!$K$8)),MAX($AE$3:AE34)+1,""))</f>
        <v>32</v>
      </c>
    </row>
    <row r="36" customFormat="false" ht="15" hidden="false" customHeight="false" outlineLevel="0" collapsed="false">
      <c r="A36" s="35" t="n">
        <f aca="false">IF($B36="","",COUNTA($B$4:$B36))</f>
        <v>33</v>
      </c>
      <c r="B36" s="36" t="s">
        <v>161</v>
      </c>
      <c r="C36" s="37"/>
      <c r="D36" s="37"/>
      <c r="E36" s="38"/>
      <c r="F36" s="36" t="s">
        <v>88</v>
      </c>
      <c r="G36" s="39" t="s">
        <v>101</v>
      </c>
      <c r="H36" s="39" t="s">
        <v>118</v>
      </c>
      <c r="I36" s="36"/>
      <c r="J36" s="36" t="s">
        <v>130</v>
      </c>
      <c r="K36" s="36" t="s">
        <v>150</v>
      </c>
      <c r="L36" s="36" t="s">
        <v>72</v>
      </c>
      <c r="M36" s="40" t="str">
        <f aca="false">IF($F36="","",$F36&amp;IF($G36="",""," - RT "&amp;$G36&amp;IF($H36="","","/"&amp;$H36)))</f>
        <v>Kp. Kuda Kuda - RT 004/002</v>
      </c>
      <c r="N36" s="36" t="s">
        <v>73</v>
      </c>
      <c r="O36" s="37"/>
      <c r="P36" s="39"/>
      <c r="Q36" s="41"/>
      <c r="R36" s="35" t="str">
        <f aca="true">IF(OR($B36="",$Q36=""),"",DATEDIF($Q36,TODAY(),"Y"))</f>
        <v/>
      </c>
      <c r="S36" s="40" t="str">
        <f aca="false">IF($R36="","",INDEX(usia_label,MATCH($R36,usia_min,1)))</f>
        <v/>
      </c>
      <c r="T36" s="36" t="s">
        <v>74</v>
      </c>
      <c r="U36" s="41"/>
      <c r="V36" s="36"/>
      <c r="W36" s="36" t="s">
        <v>162</v>
      </c>
      <c r="X36" s="40" t="str">
        <f aca="false">IF($M36="","",$M36&amp;"#"&amp;COUNTIF($M$4:$M36,$M36))</f>
        <v>Kp. Kuda Kuda - RT 004/002#2</v>
      </c>
      <c r="Y36" s="40" t="str">
        <f aca="false">IF($B36="","",IF($C36="","NIK kosong",IF(LEN($C36)&lt;&gt;16,"NIK bukan 16 digit",IF(COUNTIF($C$4:$C$2003,$C36&amp;"*")&gt;1,"NIK ganda",IF(AND($D36&lt;&gt;"",LEN($D36)&lt;&gt;16),"No. KK bukan 16 digit",IF(AND($F36="",$I36=""),"Alamat kosong",IF($N36="","Jabatan kosong",IF($O36="","No. HP kosong",IF(AND($R36&lt;&gt;"",$R36&lt;17),"Usia di bawah 17","")))))))))</f>
        <v>NIK kosong</v>
      </c>
      <c r="Z36" s="40" t="n">
        <f aca="false">IF($B36="","",IF(AND(OR(CARI!$C$5="",ISNUMBER(SEARCH(CARI!$C$5,$B36&amp;" "&amp;$C36&amp;" "&amp;$D36&amp;" "&amp;$O36&amp;" "&amp;$I36&amp;" "&amp;$F36&amp;" "&amp;$J36&amp;" "&amp;$K36&amp;" "&amp;$L36&amp;" "&amp;$V36))),OR(CARI!$C$6="",$F36=CARI!$C$6),OR(CARI!$C$7="",$G36=CARI!$C$7),OR(CARI!$C$8="",$T36=CARI!$C$8)),MAX($Z$3:Z35)+1,""))</f>
        <v>33</v>
      </c>
      <c r="AA36" s="40" t="n">
        <f aca="false">IF($Y36="","",MAX($AA$3:AA35)+1)</f>
        <v>33</v>
      </c>
      <c r="AB36" s="40" t="str">
        <f aca="false">IF($F36="","",$F36&amp;"#"&amp;COUNTIF($F$4:$F36,$F36))</f>
        <v>Kp. Kuda Kuda#7</v>
      </c>
      <c r="AC36" s="40" t="n">
        <f aca="false">IF($B36="","",IF(AND(OR(CETAK!$J$10="",$F36=CETAK!$J$10),OR(CETAK!$J$11="",$G36=CETAK!$J$11),OR(CETAK!$J$12="",$P36=CETAK!$J$12),OR(CETAK!$J$13="",$N36=CETAK!$J$13),OR(CETAK!$J$14="",$T36=CETAK!$J$14)),MAX($AC$3:AC35)+1,""))</f>
        <v>33</v>
      </c>
      <c r="AD36" s="40" t="n">
        <f aca="false">IF($B36="","",IF(AND(OR(ABSENSI!$H$10="",$F36=ABSENSI!$H$10),OR(ABSENSI!$H$11="",$G36=ABSENSI!$H$11),OR(ABSENSI!$H$12="",$P36=ABSENSI!$H$12)),MAX($AD$3:AD35)+1,""))</f>
        <v>33</v>
      </c>
      <c r="AE36" s="40" t="n">
        <f aca="false">IF($B36="","",IF(AND(OR(KARTU!$K$6="",$F36=KARTU!$K$6),OR(KARTU!$K$7="",$G36=KARTU!$K$7),OR(KARTU!$K$8="",$P36=KARTU!$K$8)),MAX($AE$3:AE35)+1,""))</f>
        <v>33</v>
      </c>
    </row>
    <row r="37" customFormat="false" ht="15" hidden="false" customHeight="false" outlineLevel="0" collapsed="false">
      <c r="A37" s="35" t="n">
        <f aca="false">IF($B37="","",COUNTA($B$4:$B37))</f>
        <v>34</v>
      </c>
      <c r="B37" s="36" t="s">
        <v>163</v>
      </c>
      <c r="C37" s="37"/>
      <c r="D37" s="37"/>
      <c r="E37" s="38"/>
      <c r="F37" s="36" t="s">
        <v>88</v>
      </c>
      <c r="G37" s="39" t="s">
        <v>101</v>
      </c>
      <c r="H37" s="39" t="s">
        <v>118</v>
      </c>
      <c r="I37" s="36"/>
      <c r="J37" s="36" t="s">
        <v>130</v>
      </c>
      <c r="K37" s="36" t="s">
        <v>150</v>
      </c>
      <c r="L37" s="36" t="s">
        <v>72</v>
      </c>
      <c r="M37" s="40" t="str">
        <f aca="false">IF($F37="","",$F37&amp;IF($G37="",""," - RT "&amp;$G37&amp;IF($H37="","","/"&amp;$H37)))</f>
        <v>Kp. Kuda Kuda - RT 004/002</v>
      </c>
      <c r="N37" s="36" t="s">
        <v>73</v>
      </c>
      <c r="O37" s="37"/>
      <c r="P37" s="39"/>
      <c r="Q37" s="41"/>
      <c r="R37" s="35" t="str">
        <f aca="true">IF(OR($B37="",$Q37=""),"",DATEDIF($Q37,TODAY(),"Y"))</f>
        <v/>
      </c>
      <c r="S37" s="40" t="str">
        <f aca="false">IF($R37="","",INDEX(usia_label,MATCH($R37,usia_min,1)))</f>
        <v/>
      </c>
      <c r="T37" s="36" t="s">
        <v>74</v>
      </c>
      <c r="U37" s="41"/>
      <c r="V37" s="36"/>
      <c r="W37" s="36" t="s">
        <v>164</v>
      </c>
      <c r="X37" s="40" t="str">
        <f aca="false">IF($M37="","",$M37&amp;"#"&amp;COUNTIF($M$4:$M37,$M37))</f>
        <v>Kp. Kuda Kuda - RT 004/002#3</v>
      </c>
      <c r="Y37" s="40" t="str">
        <f aca="false">IF($B37="","",IF($C37="","NIK kosong",IF(LEN($C37)&lt;&gt;16,"NIK bukan 16 digit",IF(COUNTIF($C$4:$C$2003,$C37&amp;"*")&gt;1,"NIK ganda",IF(AND($D37&lt;&gt;"",LEN($D37)&lt;&gt;16),"No. KK bukan 16 digit",IF(AND($F37="",$I37=""),"Alamat kosong",IF($N37="","Jabatan kosong",IF($O37="","No. HP kosong",IF(AND($R37&lt;&gt;"",$R37&lt;17),"Usia di bawah 17","")))))))))</f>
        <v>NIK kosong</v>
      </c>
      <c r="Z37" s="40" t="n">
        <f aca="false">IF($B37="","",IF(AND(OR(CARI!$C$5="",ISNUMBER(SEARCH(CARI!$C$5,$B37&amp;" "&amp;$C37&amp;" "&amp;$D37&amp;" "&amp;$O37&amp;" "&amp;$I37&amp;" "&amp;$F37&amp;" "&amp;$J37&amp;" "&amp;$K37&amp;" "&amp;$L37&amp;" "&amp;$V37))),OR(CARI!$C$6="",$F37=CARI!$C$6),OR(CARI!$C$7="",$G37=CARI!$C$7),OR(CARI!$C$8="",$T37=CARI!$C$8)),MAX($Z$3:Z36)+1,""))</f>
        <v>34</v>
      </c>
      <c r="AA37" s="40" t="n">
        <f aca="false">IF($Y37="","",MAX($AA$3:AA36)+1)</f>
        <v>34</v>
      </c>
      <c r="AB37" s="40" t="str">
        <f aca="false">IF($F37="","",$F37&amp;"#"&amp;COUNTIF($F$4:$F37,$F37))</f>
        <v>Kp. Kuda Kuda#8</v>
      </c>
      <c r="AC37" s="40" t="n">
        <f aca="false">IF($B37="","",IF(AND(OR(CETAK!$J$10="",$F37=CETAK!$J$10),OR(CETAK!$J$11="",$G37=CETAK!$J$11),OR(CETAK!$J$12="",$P37=CETAK!$J$12),OR(CETAK!$J$13="",$N37=CETAK!$J$13),OR(CETAK!$J$14="",$T37=CETAK!$J$14)),MAX($AC$3:AC36)+1,""))</f>
        <v>34</v>
      </c>
      <c r="AD37" s="40" t="n">
        <f aca="false">IF($B37="","",IF(AND(OR(ABSENSI!$H$10="",$F37=ABSENSI!$H$10),OR(ABSENSI!$H$11="",$G37=ABSENSI!$H$11),OR(ABSENSI!$H$12="",$P37=ABSENSI!$H$12)),MAX($AD$3:AD36)+1,""))</f>
        <v>34</v>
      </c>
      <c r="AE37" s="40" t="n">
        <f aca="false">IF($B37="","",IF(AND(OR(KARTU!$K$6="",$F37=KARTU!$K$6),OR(KARTU!$K$7="",$G37=KARTU!$K$7),OR(KARTU!$K$8="",$P37=KARTU!$K$8)),MAX($AE$3:AE36)+1,""))</f>
        <v>34</v>
      </c>
    </row>
    <row r="38" customFormat="false" ht="15" hidden="false" customHeight="false" outlineLevel="0" collapsed="false">
      <c r="A38" s="35" t="n">
        <f aca="false">IF($B38="","",COUNTA($B$4:$B38))</f>
        <v>35</v>
      </c>
      <c r="B38" s="36" t="s">
        <v>165</v>
      </c>
      <c r="C38" s="37"/>
      <c r="D38" s="37"/>
      <c r="E38" s="38"/>
      <c r="F38" s="36" t="s">
        <v>88</v>
      </c>
      <c r="G38" s="39" t="s">
        <v>94</v>
      </c>
      <c r="H38" s="39" t="s">
        <v>70</v>
      </c>
      <c r="I38" s="36"/>
      <c r="J38" s="36" t="s">
        <v>107</v>
      </c>
      <c r="K38" s="36" t="s">
        <v>71</v>
      </c>
      <c r="L38" s="36" t="s">
        <v>72</v>
      </c>
      <c r="M38" s="40" t="str">
        <f aca="false">IF($F38="","",$F38&amp;IF($G38="",""," - RT "&amp;$G38&amp;IF($H38="","","/"&amp;$H38)))</f>
        <v>Kp. Kuda Kuda - RT 003/001</v>
      </c>
      <c r="N38" s="36" t="s">
        <v>73</v>
      </c>
      <c r="O38" s="37"/>
      <c r="P38" s="39"/>
      <c r="Q38" s="41"/>
      <c r="R38" s="35" t="str">
        <f aca="true">IF(OR($B38="",$Q38=""),"",DATEDIF($Q38,TODAY(),"Y"))</f>
        <v/>
      </c>
      <c r="S38" s="40" t="str">
        <f aca="false">IF($R38="","",INDEX(usia_label,MATCH($R38,usia_min,1)))</f>
        <v/>
      </c>
      <c r="T38" s="36" t="s">
        <v>74</v>
      </c>
      <c r="U38" s="41"/>
      <c r="V38" s="36"/>
      <c r="W38" s="36" t="s">
        <v>166</v>
      </c>
      <c r="X38" s="40" t="str">
        <f aca="false">IF($M38="","",$M38&amp;"#"&amp;COUNTIF($M$4:$M38,$M38))</f>
        <v>Kp. Kuda Kuda - RT 003/001#2</v>
      </c>
      <c r="Y38" s="40" t="str">
        <f aca="false">IF($B38="","",IF($C38="","NIK kosong",IF(LEN($C38)&lt;&gt;16,"NIK bukan 16 digit",IF(COUNTIF($C$4:$C$2003,$C38&amp;"*")&gt;1,"NIK ganda",IF(AND($D38&lt;&gt;"",LEN($D38)&lt;&gt;16),"No. KK bukan 16 digit",IF(AND($F38="",$I38=""),"Alamat kosong",IF($N38="","Jabatan kosong",IF($O38="","No. HP kosong",IF(AND($R38&lt;&gt;"",$R38&lt;17),"Usia di bawah 17","")))))))))</f>
        <v>NIK kosong</v>
      </c>
      <c r="Z38" s="40" t="n">
        <f aca="false">IF($B38="","",IF(AND(OR(CARI!$C$5="",ISNUMBER(SEARCH(CARI!$C$5,$B38&amp;" "&amp;$C38&amp;" "&amp;$D38&amp;" "&amp;$O38&amp;" "&amp;$I38&amp;" "&amp;$F38&amp;" "&amp;$J38&amp;" "&amp;$K38&amp;" "&amp;$L38&amp;" "&amp;$V38))),OR(CARI!$C$6="",$F38=CARI!$C$6),OR(CARI!$C$7="",$G38=CARI!$C$7),OR(CARI!$C$8="",$T38=CARI!$C$8)),MAX($Z$3:Z37)+1,""))</f>
        <v>35</v>
      </c>
      <c r="AA38" s="40" t="n">
        <f aca="false">IF($Y38="","",MAX($AA$3:AA37)+1)</f>
        <v>35</v>
      </c>
      <c r="AB38" s="40" t="str">
        <f aca="false">IF($F38="","",$F38&amp;"#"&amp;COUNTIF($F$4:$F38,$F38))</f>
        <v>Kp. Kuda Kuda#9</v>
      </c>
      <c r="AC38" s="40" t="n">
        <f aca="false">IF($B38="","",IF(AND(OR(CETAK!$J$10="",$F38=CETAK!$J$10),OR(CETAK!$J$11="",$G38=CETAK!$J$11),OR(CETAK!$J$12="",$P38=CETAK!$J$12),OR(CETAK!$J$13="",$N38=CETAK!$J$13),OR(CETAK!$J$14="",$T38=CETAK!$J$14)),MAX($AC$3:AC37)+1,""))</f>
        <v>35</v>
      </c>
      <c r="AD38" s="40" t="n">
        <f aca="false">IF($B38="","",IF(AND(OR(ABSENSI!$H$10="",$F38=ABSENSI!$H$10),OR(ABSENSI!$H$11="",$G38=ABSENSI!$H$11),OR(ABSENSI!$H$12="",$P38=ABSENSI!$H$12)),MAX($AD$3:AD37)+1,""))</f>
        <v>35</v>
      </c>
      <c r="AE38" s="40" t="n">
        <f aca="false">IF($B38="","",IF(AND(OR(KARTU!$K$6="",$F38=KARTU!$K$6),OR(KARTU!$K$7="",$G38=KARTU!$K$7),OR(KARTU!$K$8="",$P38=KARTU!$K$8)),MAX($AE$3:AE37)+1,""))</f>
        <v>35</v>
      </c>
    </row>
    <row r="39" customFormat="false" ht="15" hidden="false" customHeight="false" outlineLevel="0" collapsed="false">
      <c r="A39" s="35" t="n">
        <f aca="false">IF($B39="","",COUNTA($B$4:$B39))</f>
        <v>36</v>
      </c>
      <c r="B39" s="36" t="s">
        <v>167</v>
      </c>
      <c r="C39" s="37"/>
      <c r="D39" s="37"/>
      <c r="E39" s="38"/>
      <c r="F39" s="36"/>
      <c r="G39" s="39" t="s">
        <v>119</v>
      </c>
      <c r="H39" s="39" t="s">
        <v>118</v>
      </c>
      <c r="I39" s="36"/>
      <c r="J39" s="36"/>
      <c r="K39" s="36" t="s">
        <v>150</v>
      </c>
      <c r="L39" s="36" t="s">
        <v>72</v>
      </c>
      <c r="M39" s="40" t="str">
        <f aca="false">IF($F39="","",$F39&amp;IF($G39="",""," - RT "&amp;$G39&amp;IF($H39="","","/"&amp;$H39)))</f>
        <v/>
      </c>
      <c r="N39" s="36" t="s">
        <v>73</v>
      </c>
      <c r="O39" s="37"/>
      <c r="P39" s="39"/>
      <c r="Q39" s="41"/>
      <c r="R39" s="35" t="str">
        <f aca="true">IF(OR($B39="",$Q39=""),"",DATEDIF($Q39,TODAY(),"Y"))</f>
        <v/>
      </c>
      <c r="S39" s="40" t="str">
        <f aca="false">IF($R39="","",INDEX(usia_label,MATCH($R39,usia_min,1)))</f>
        <v/>
      </c>
      <c r="T39" s="36" t="s">
        <v>74</v>
      </c>
      <c r="U39" s="41"/>
      <c r="V39" s="36"/>
      <c r="W39" s="36" t="s">
        <v>168</v>
      </c>
      <c r="X39" s="40" t="str">
        <f aca="false">IF($M39="","",$M39&amp;"#"&amp;COUNTIF($M$4:$M39,$M39))</f>
        <v/>
      </c>
      <c r="Y39" s="40" t="str">
        <f aca="false">IF($B39="","",IF($C39="","NIK kosong",IF(LEN($C39)&lt;&gt;16,"NIK bukan 16 digit",IF(COUNTIF($C$4:$C$2003,$C39&amp;"*")&gt;1,"NIK ganda",IF(AND($D39&lt;&gt;"",LEN($D39)&lt;&gt;16),"No. KK bukan 16 digit",IF(AND($F39="",$I39=""),"Alamat kosong",IF($N39="","Jabatan kosong",IF($O39="","No. HP kosong",IF(AND($R39&lt;&gt;"",$R39&lt;17),"Usia di bawah 17","")))))))))</f>
        <v>NIK kosong</v>
      </c>
      <c r="Z39" s="40" t="n">
        <f aca="false">IF($B39="","",IF(AND(OR(CARI!$C$5="",ISNUMBER(SEARCH(CARI!$C$5,$B39&amp;" "&amp;$C39&amp;" "&amp;$D39&amp;" "&amp;$O39&amp;" "&amp;$I39&amp;" "&amp;$F39&amp;" "&amp;$J39&amp;" "&amp;$K39&amp;" "&amp;$L39&amp;" "&amp;$V39))),OR(CARI!$C$6="",$F39=CARI!$C$6),OR(CARI!$C$7="",$G39=CARI!$C$7),OR(CARI!$C$8="",$T39=CARI!$C$8)),MAX($Z$3:Z38)+1,""))</f>
        <v>36</v>
      </c>
      <c r="AA39" s="40" t="n">
        <f aca="false">IF($Y39="","",MAX($AA$3:AA38)+1)</f>
        <v>36</v>
      </c>
      <c r="AB39" s="40" t="str">
        <f aca="false">IF($F39="","",$F39&amp;"#"&amp;COUNTIF($F$4:$F39,$F39))</f>
        <v/>
      </c>
      <c r="AC39" s="40" t="n">
        <f aca="false">IF($B39="","",IF(AND(OR(CETAK!$J$10="",$F39=CETAK!$J$10),OR(CETAK!$J$11="",$G39=CETAK!$J$11),OR(CETAK!$J$12="",$P39=CETAK!$J$12),OR(CETAK!$J$13="",$N39=CETAK!$J$13),OR(CETAK!$J$14="",$T39=CETAK!$J$14)),MAX($AC$3:AC38)+1,""))</f>
        <v>36</v>
      </c>
      <c r="AD39" s="40" t="n">
        <f aca="false">IF($B39="","",IF(AND(OR(ABSENSI!$H$10="",$F39=ABSENSI!$H$10),OR(ABSENSI!$H$11="",$G39=ABSENSI!$H$11),OR(ABSENSI!$H$12="",$P39=ABSENSI!$H$12)),MAX($AD$3:AD38)+1,""))</f>
        <v>36</v>
      </c>
      <c r="AE39" s="40" t="n">
        <f aca="false">IF($B39="","",IF(AND(OR(KARTU!$K$6="",$F39=KARTU!$K$6),OR(KARTU!$K$7="",$G39=KARTU!$K$7),OR(KARTU!$K$8="",$P39=KARTU!$K$8)),MAX($AE$3:AE38)+1,""))</f>
        <v>36</v>
      </c>
    </row>
    <row r="40" customFormat="false" ht="15" hidden="false" customHeight="false" outlineLevel="0" collapsed="false">
      <c r="A40" s="35" t="n">
        <f aca="false">IF($B40="","",COUNTA($B$4:$B40))</f>
        <v>37</v>
      </c>
      <c r="B40" s="36" t="s">
        <v>169</v>
      </c>
      <c r="C40" s="37"/>
      <c r="D40" s="37"/>
      <c r="E40" s="38"/>
      <c r="F40" s="36"/>
      <c r="G40" s="39" t="s">
        <v>101</v>
      </c>
      <c r="H40" s="39" t="s">
        <v>118</v>
      </c>
      <c r="I40" s="36"/>
      <c r="J40" s="36"/>
      <c r="K40" s="36" t="s">
        <v>150</v>
      </c>
      <c r="L40" s="36" t="s">
        <v>72</v>
      </c>
      <c r="M40" s="40" t="str">
        <f aca="false">IF($F40="","",$F40&amp;IF($G40="",""," - RT "&amp;$G40&amp;IF($H40="","","/"&amp;$H40)))</f>
        <v/>
      </c>
      <c r="N40" s="36" t="s">
        <v>73</v>
      </c>
      <c r="O40" s="37"/>
      <c r="P40" s="39"/>
      <c r="Q40" s="41"/>
      <c r="R40" s="35" t="str">
        <f aca="true">IF(OR($B40="",$Q40=""),"",DATEDIF($Q40,TODAY(),"Y"))</f>
        <v/>
      </c>
      <c r="S40" s="40" t="str">
        <f aca="false">IF($R40="","",INDEX(usia_label,MATCH($R40,usia_min,1)))</f>
        <v/>
      </c>
      <c r="T40" s="36" t="s">
        <v>74</v>
      </c>
      <c r="U40" s="41"/>
      <c r="V40" s="36"/>
      <c r="W40" s="36" t="s">
        <v>170</v>
      </c>
      <c r="X40" s="40" t="str">
        <f aca="false">IF($M40="","",$M40&amp;"#"&amp;COUNTIF($M$4:$M40,$M40))</f>
        <v/>
      </c>
      <c r="Y40" s="40" t="str">
        <f aca="false">IF($B40="","",IF($C40="","NIK kosong",IF(LEN($C40)&lt;&gt;16,"NIK bukan 16 digit",IF(COUNTIF($C$4:$C$2003,$C40&amp;"*")&gt;1,"NIK ganda",IF(AND($D40&lt;&gt;"",LEN($D40)&lt;&gt;16),"No. KK bukan 16 digit",IF(AND($F40="",$I40=""),"Alamat kosong",IF($N40="","Jabatan kosong",IF($O40="","No. HP kosong",IF(AND($R40&lt;&gt;"",$R40&lt;17),"Usia di bawah 17","")))))))))</f>
        <v>NIK kosong</v>
      </c>
      <c r="Z40" s="40" t="n">
        <f aca="false">IF($B40="","",IF(AND(OR(CARI!$C$5="",ISNUMBER(SEARCH(CARI!$C$5,$B40&amp;" "&amp;$C40&amp;" "&amp;$D40&amp;" "&amp;$O40&amp;" "&amp;$I40&amp;" "&amp;$F40&amp;" "&amp;$J40&amp;" "&amp;$K40&amp;" "&amp;$L40&amp;" "&amp;$V40))),OR(CARI!$C$6="",$F40=CARI!$C$6),OR(CARI!$C$7="",$G40=CARI!$C$7),OR(CARI!$C$8="",$T40=CARI!$C$8)),MAX($Z$3:Z39)+1,""))</f>
        <v>37</v>
      </c>
      <c r="AA40" s="40" t="n">
        <f aca="false">IF($Y40="","",MAX($AA$3:AA39)+1)</f>
        <v>37</v>
      </c>
      <c r="AB40" s="40" t="str">
        <f aca="false">IF($F40="","",$F40&amp;"#"&amp;COUNTIF($F$4:$F40,$F40))</f>
        <v/>
      </c>
      <c r="AC40" s="40" t="n">
        <f aca="false">IF($B40="","",IF(AND(OR(CETAK!$J$10="",$F40=CETAK!$J$10),OR(CETAK!$J$11="",$G40=CETAK!$J$11),OR(CETAK!$J$12="",$P40=CETAK!$J$12),OR(CETAK!$J$13="",$N40=CETAK!$J$13),OR(CETAK!$J$14="",$T40=CETAK!$J$14)),MAX($AC$3:AC39)+1,""))</f>
        <v>37</v>
      </c>
      <c r="AD40" s="40" t="n">
        <f aca="false">IF($B40="","",IF(AND(OR(ABSENSI!$H$10="",$F40=ABSENSI!$H$10),OR(ABSENSI!$H$11="",$G40=ABSENSI!$H$11),OR(ABSENSI!$H$12="",$P40=ABSENSI!$H$12)),MAX($AD$3:AD39)+1,""))</f>
        <v>37</v>
      </c>
      <c r="AE40" s="40" t="n">
        <f aca="false">IF($B40="","",IF(AND(OR(KARTU!$K$6="",$F40=KARTU!$K$6),OR(KARTU!$K$7="",$G40=KARTU!$K$7),OR(KARTU!$K$8="",$P40=KARTU!$K$8)),MAX($AE$3:AE39)+1,""))</f>
        <v>37</v>
      </c>
    </row>
    <row r="41" customFormat="false" ht="15" hidden="false" customHeight="false" outlineLevel="0" collapsed="false">
      <c r="A41" s="35" t="n">
        <f aca="false">IF($B41="","",COUNTA($B$4:$B41))</f>
        <v>38</v>
      </c>
      <c r="B41" s="36" t="s">
        <v>171</v>
      </c>
      <c r="C41" s="37"/>
      <c r="D41" s="37"/>
      <c r="E41" s="38"/>
      <c r="F41" s="36"/>
      <c r="G41" s="39"/>
      <c r="H41" s="39"/>
      <c r="I41" s="36"/>
      <c r="J41" s="36"/>
      <c r="K41" s="36"/>
      <c r="L41" s="36"/>
      <c r="M41" s="40" t="str">
        <f aca="false">IF($F41="","",$F41&amp;IF($G41="",""," - RT "&amp;$G41&amp;IF($H41="","","/"&amp;$H41)))</f>
        <v/>
      </c>
      <c r="N41" s="36" t="s">
        <v>73</v>
      </c>
      <c r="O41" s="37"/>
      <c r="P41" s="39"/>
      <c r="Q41" s="41"/>
      <c r="R41" s="35" t="str">
        <f aca="true">IF(OR($B41="",$Q41=""),"",DATEDIF($Q41,TODAY(),"Y"))</f>
        <v/>
      </c>
      <c r="S41" s="40" t="str">
        <f aca="false">IF($R41="","",INDEX(usia_label,MATCH($R41,usia_min,1)))</f>
        <v/>
      </c>
      <c r="T41" s="36" t="s">
        <v>74</v>
      </c>
      <c r="U41" s="41"/>
      <c r="V41" s="36"/>
      <c r="W41" s="36" t="s">
        <v>172</v>
      </c>
      <c r="X41" s="40" t="str">
        <f aca="false">IF($M41="","",$M41&amp;"#"&amp;COUNTIF($M$4:$M41,$M41))</f>
        <v/>
      </c>
      <c r="Y41" s="40" t="str">
        <f aca="false">IF($B41="","",IF($C41="","NIK kosong",IF(LEN($C41)&lt;&gt;16,"NIK bukan 16 digit",IF(COUNTIF($C$4:$C$2003,$C41&amp;"*")&gt;1,"NIK ganda",IF(AND($D41&lt;&gt;"",LEN($D41)&lt;&gt;16),"No. KK bukan 16 digit",IF(AND($F41="",$I41=""),"Alamat kosong",IF($N41="","Jabatan kosong",IF($O41="","No. HP kosong",IF(AND($R41&lt;&gt;"",$R41&lt;17),"Usia di bawah 17","")))))))))</f>
        <v>NIK kosong</v>
      </c>
      <c r="Z41" s="40" t="n">
        <f aca="false">IF($B41="","",IF(AND(OR(CARI!$C$5="",ISNUMBER(SEARCH(CARI!$C$5,$B41&amp;" "&amp;$C41&amp;" "&amp;$D41&amp;" "&amp;$O41&amp;" "&amp;$I41&amp;" "&amp;$F41&amp;" "&amp;$J41&amp;" "&amp;$K41&amp;" "&amp;$L41&amp;" "&amp;$V41))),OR(CARI!$C$6="",$F41=CARI!$C$6),OR(CARI!$C$7="",$G41=CARI!$C$7),OR(CARI!$C$8="",$T41=CARI!$C$8)),MAX($Z$3:Z40)+1,""))</f>
        <v>38</v>
      </c>
      <c r="AA41" s="40" t="n">
        <f aca="false">IF($Y41="","",MAX($AA$3:AA40)+1)</f>
        <v>38</v>
      </c>
      <c r="AB41" s="40" t="str">
        <f aca="false">IF($F41="","",$F41&amp;"#"&amp;COUNTIF($F$4:$F41,$F41))</f>
        <v/>
      </c>
      <c r="AC41" s="40" t="n">
        <f aca="false">IF($B41="","",IF(AND(OR(CETAK!$J$10="",$F41=CETAK!$J$10),OR(CETAK!$J$11="",$G41=CETAK!$J$11),OR(CETAK!$J$12="",$P41=CETAK!$J$12),OR(CETAK!$J$13="",$N41=CETAK!$J$13),OR(CETAK!$J$14="",$T41=CETAK!$J$14)),MAX($AC$3:AC40)+1,""))</f>
        <v>38</v>
      </c>
      <c r="AD41" s="40" t="n">
        <f aca="false">IF($B41="","",IF(AND(OR(ABSENSI!$H$10="",$F41=ABSENSI!$H$10),OR(ABSENSI!$H$11="",$G41=ABSENSI!$H$11),OR(ABSENSI!$H$12="",$P41=ABSENSI!$H$12)),MAX($AD$3:AD40)+1,""))</f>
        <v>38</v>
      </c>
      <c r="AE41" s="40" t="n">
        <f aca="false">IF($B41="","",IF(AND(OR(KARTU!$K$6="",$F41=KARTU!$K$6),OR(KARTU!$K$7="",$G41=KARTU!$K$7),OR(KARTU!$K$8="",$P41=KARTU!$K$8)),MAX($AE$3:AE40)+1,""))</f>
        <v>38</v>
      </c>
    </row>
    <row r="42" customFormat="false" ht="15" hidden="false" customHeight="false" outlineLevel="0" collapsed="false">
      <c r="A42" s="35" t="n">
        <f aca="false">IF($B42="","",COUNTA($B$4:$B42))</f>
        <v>39</v>
      </c>
      <c r="B42" s="36" t="s">
        <v>173</v>
      </c>
      <c r="C42" s="37"/>
      <c r="D42" s="37"/>
      <c r="E42" s="38"/>
      <c r="F42" s="36"/>
      <c r="G42" s="39"/>
      <c r="H42" s="39"/>
      <c r="I42" s="36"/>
      <c r="J42" s="36"/>
      <c r="K42" s="36"/>
      <c r="L42" s="36"/>
      <c r="M42" s="40" t="str">
        <f aca="false">IF($F42="","",$F42&amp;IF($G42="",""," - RT "&amp;$G42&amp;IF($H42="","","/"&amp;$H42)))</f>
        <v/>
      </c>
      <c r="N42" s="36" t="s">
        <v>73</v>
      </c>
      <c r="O42" s="37"/>
      <c r="P42" s="39"/>
      <c r="Q42" s="41"/>
      <c r="R42" s="35" t="str">
        <f aca="true">IF(OR($B42="",$Q42=""),"",DATEDIF($Q42,TODAY(),"Y"))</f>
        <v/>
      </c>
      <c r="S42" s="40" t="str">
        <f aca="false">IF($R42="","",INDEX(usia_label,MATCH($R42,usia_min,1)))</f>
        <v/>
      </c>
      <c r="T42" s="36" t="s">
        <v>74</v>
      </c>
      <c r="U42" s="41"/>
      <c r="V42" s="36"/>
      <c r="W42" s="36" t="s">
        <v>174</v>
      </c>
      <c r="X42" s="40" t="str">
        <f aca="false">IF($M42="","",$M42&amp;"#"&amp;COUNTIF($M$4:$M42,$M42))</f>
        <v/>
      </c>
      <c r="Y42" s="40" t="str">
        <f aca="false">IF($B42="","",IF($C42="","NIK kosong",IF(LEN($C42)&lt;&gt;16,"NIK bukan 16 digit",IF(COUNTIF($C$4:$C$2003,$C42&amp;"*")&gt;1,"NIK ganda",IF(AND($D42&lt;&gt;"",LEN($D42)&lt;&gt;16),"No. KK bukan 16 digit",IF(AND($F42="",$I42=""),"Alamat kosong",IF($N42="","Jabatan kosong",IF($O42="","No. HP kosong",IF(AND($R42&lt;&gt;"",$R42&lt;17),"Usia di bawah 17","")))))))))</f>
        <v>NIK kosong</v>
      </c>
      <c r="Z42" s="40" t="n">
        <f aca="false">IF($B42="","",IF(AND(OR(CARI!$C$5="",ISNUMBER(SEARCH(CARI!$C$5,$B42&amp;" "&amp;$C42&amp;" "&amp;$D42&amp;" "&amp;$O42&amp;" "&amp;$I42&amp;" "&amp;$F42&amp;" "&amp;$J42&amp;" "&amp;$K42&amp;" "&amp;$L42&amp;" "&amp;$V42))),OR(CARI!$C$6="",$F42=CARI!$C$6),OR(CARI!$C$7="",$G42=CARI!$C$7),OR(CARI!$C$8="",$T42=CARI!$C$8)),MAX($Z$3:Z41)+1,""))</f>
        <v>39</v>
      </c>
      <c r="AA42" s="40" t="n">
        <f aca="false">IF($Y42="","",MAX($AA$3:AA41)+1)</f>
        <v>39</v>
      </c>
      <c r="AB42" s="40" t="str">
        <f aca="false">IF($F42="","",$F42&amp;"#"&amp;COUNTIF($F$4:$F42,$F42))</f>
        <v/>
      </c>
      <c r="AC42" s="40" t="n">
        <f aca="false">IF($B42="","",IF(AND(OR(CETAK!$J$10="",$F42=CETAK!$J$10),OR(CETAK!$J$11="",$G42=CETAK!$J$11),OR(CETAK!$J$12="",$P42=CETAK!$J$12),OR(CETAK!$J$13="",$N42=CETAK!$J$13),OR(CETAK!$J$14="",$T42=CETAK!$J$14)),MAX($AC$3:AC41)+1,""))</f>
        <v>39</v>
      </c>
      <c r="AD42" s="40" t="n">
        <f aca="false">IF($B42="","",IF(AND(OR(ABSENSI!$H$10="",$F42=ABSENSI!$H$10),OR(ABSENSI!$H$11="",$G42=ABSENSI!$H$11),OR(ABSENSI!$H$12="",$P42=ABSENSI!$H$12)),MAX($AD$3:AD41)+1,""))</f>
        <v>39</v>
      </c>
      <c r="AE42" s="40" t="n">
        <f aca="false">IF($B42="","",IF(AND(OR(KARTU!$K$6="",$F42=KARTU!$K$6),OR(KARTU!$K$7="",$G42=KARTU!$K$7),OR(KARTU!$K$8="",$P42=KARTU!$K$8)),MAX($AE$3:AE41)+1,""))</f>
        <v>39</v>
      </c>
    </row>
    <row r="43" customFormat="false" ht="15" hidden="false" customHeight="false" outlineLevel="0" collapsed="false">
      <c r="A43" s="35" t="n">
        <f aca="false">IF($B43="","",COUNTA($B$4:$B43))</f>
        <v>40</v>
      </c>
      <c r="B43" s="36" t="s">
        <v>175</v>
      </c>
      <c r="C43" s="37"/>
      <c r="D43" s="37"/>
      <c r="E43" s="38"/>
      <c r="F43" s="36" t="s">
        <v>77</v>
      </c>
      <c r="G43" s="39" t="s">
        <v>101</v>
      </c>
      <c r="H43" s="39" t="s">
        <v>101</v>
      </c>
      <c r="I43" s="36"/>
      <c r="J43" s="36"/>
      <c r="K43" s="36" t="s">
        <v>102</v>
      </c>
      <c r="L43" s="36" t="s">
        <v>96</v>
      </c>
      <c r="M43" s="40" t="str">
        <f aca="false">IF($F43="","",$F43&amp;IF($G43="",""," - RT "&amp;$G43&amp;IF($H43="","","/"&amp;$H43)))</f>
        <v>Kp. Gamprit - RT 004/004</v>
      </c>
      <c r="N43" s="36" t="s">
        <v>73</v>
      </c>
      <c r="O43" s="37"/>
      <c r="P43" s="39"/>
      <c r="Q43" s="41"/>
      <c r="R43" s="35" t="str">
        <f aca="true">IF(OR($B43="",$Q43=""),"",DATEDIF($Q43,TODAY(),"Y"))</f>
        <v/>
      </c>
      <c r="S43" s="40" t="str">
        <f aca="false">IF($R43="","",INDEX(usia_label,MATCH($R43,usia_min,1)))</f>
        <v/>
      </c>
      <c r="T43" s="36" t="s">
        <v>74</v>
      </c>
      <c r="U43" s="41"/>
      <c r="V43" s="36"/>
      <c r="W43" s="36" t="s">
        <v>176</v>
      </c>
      <c r="X43" s="40" t="str">
        <f aca="false">IF($M43="","",$M43&amp;"#"&amp;COUNTIF($M$4:$M43,$M43))</f>
        <v>Kp. Gamprit - RT 004/004#1</v>
      </c>
      <c r="Y43" s="40" t="str">
        <f aca="false">IF($B43="","",IF($C43="","NIK kosong",IF(LEN($C43)&lt;&gt;16,"NIK bukan 16 digit",IF(COUNTIF($C$4:$C$2003,$C43&amp;"*")&gt;1,"NIK ganda",IF(AND($D43&lt;&gt;"",LEN($D43)&lt;&gt;16),"No. KK bukan 16 digit",IF(AND($F43="",$I43=""),"Alamat kosong",IF($N43="","Jabatan kosong",IF($O43="","No. HP kosong",IF(AND($R43&lt;&gt;"",$R43&lt;17),"Usia di bawah 17","")))))))))</f>
        <v>NIK kosong</v>
      </c>
      <c r="Z43" s="40" t="n">
        <f aca="false">IF($B43="","",IF(AND(OR(CARI!$C$5="",ISNUMBER(SEARCH(CARI!$C$5,$B43&amp;" "&amp;$C43&amp;" "&amp;$D43&amp;" "&amp;$O43&amp;" "&amp;$I43&amp;" "&amp;$F43&amp;" "&amp;$J43&amp;" "&amp;$K43&amp;" "&amp;$L43&amp;" "&amp;$V43))),OR(CARI!$C$6="",$F43=CARI!$C$6),OR(CARI!$C$7="",$G43=CARI!$C$7),OR(CARI!$C$8="",$T43=CARI!$C$8)),MAX($Z$3:Z42)+1,""))</f>
        <v>40</v>
      </c>
      <c r="AA43" s="40" t="n">
        <f aca="false">IF($Y43="","",MAX($AA$3:AA42)+1)</f>
        <v>40</v>
      </c>
      <c r="AB43" s="40" t="str">
        <f aca="false">IF($F43="","",$F43&amp;"#"&amp;COUNTIF($F$4:$F43,$F43))</f>
        <v>Kp. Gamprit#11</v>
      </c>
      <c r="AC43" s="40" t="n">
        <f aca="false">IF($B43="","",IF(AND(OR(CETAK!$J$10="",$F43=CETAK!$J$10),OR(CETAK!$J$11="",$G43=CETAK!$J$11),OR(CETAK!$J$12="",$P43=CETAK!$J$12),OR(CETAK!$J$13="",$N43=CETAK!$J$13),OR(CETAK!$J$14="",$T43=CETAK!$J$14)),MAX($AC$3:AC42)+1,""))</f>
        <v>40</v>
      </c>
      <c r="AD43" s="40" t="n">
        <f aca="false">IF($B43="","",IF(AND(OR(ABSENSI!$H$10="",$F43=ABSENSI!$H$10),OR(ABSENSI!$H$11="",$G43=ABSENSI!$H$11),OR(ABSENSI!$H$12="",$P43=ABSENSI!$H$12)),MAX($AD$3:AD42)+1,""))</f>
        <v>40</v>
      </c>
      <c r="AE43" s="40" t="n">
        <f aca="false">IF($B43="","",IF(AND(OR(KARTU!$K$6="",$F43=KARTU!$K$6),OR(KARTU!$K$7="",$G43=KARTU!$K$7),OR(KARTU!$K$8="",$P43=KARTU!$K$8)),MAX($AE$3:AE42)+1,""))</f>
        <v>40</v>
      </c>
    </row>
    <row r="44" customFormat="false" ht="15" hidden="false" customHeight="false" outlineLevel="0" collapsed="false">
      <c r="A44" s="35" t="n">
        <f aca="false">IF($B44="","",COUNTA($B$4:$B44))</f>
        <v>41</v>
      </c>
      <c r="B44" s="36" t="s">
        <v>177</v>
      </c>
      <c r="C44" s="37"/>
      <c r="D44" s="37"/>
      <c r="E44" s="38"/>
      <c r="F44" s="36" t="s">
        <v>85</v>
      </c>
      <c r="G44" s="39"/>
      <c r="H44" s="39"/>
      <c r="I44" s="36"/>
      <c r="J44" s="36"/>
      <c r="K44" s="36"/>
      <c r="L44" s="36"/>
      <c r="M44" s="40" t="str">
        <f aca="false">IF($F44="","",$F44&amp;IF($G44="",""," - RT "&amp;$G44&amp;IF($H44="","","/"&amp;$H44)))</f>
        <v>Kp. Wangkal</v>
      </c>
      <c r="N44" s="36" t="s">
        <v>73</v>
      </c>
      <c r="O44" s="37"/>
      <c r="P44" s="39"/>
      <c r="Q44" s="41"/>
      <c r="R44" s="35" t="str">
        <f aca="true">IF(OR($B44="",$Q44=""),"",DATEDIF($Q44,TODAY(),"Y"))</f>
        <v/>
      </c>
      <c r="S44" s="40" t="str">
        <f aca="false">IF($R44="","",INDEX(usia_label,MATCH($R44,usia_min,1)))</f>
        <v/>
      </c>
      <c r="T44" s="36" t="s">
        <v>74</v>
      </c>
      <c r="U44" s="41"/>
      <c r="V44" s="36"/>
      <c r="W44" s="36" t="s">
        <v>178</v>
      </c>
      <c r="X44" s="40" t="str">
        <f aca="false">IF($M44="","",$M44&amp;"#"&amp;COUNTIF($M$4:$M44,$M44))</f>
        <v>Kp. Wangkal#2</v>
      </c>
      <c r="Y44" s="40" t="str">
        <f aca="false">IF($B44="","",IF($C44="","NIK kosong",IF(LEN($C44)&lt;&gt;16,"NIK bukan 16 digit",IF(COUNTIF($C$4:$C$2003,$C44&amp;"*")&gt;1,"NIK ganda",IF(AND($D44&lt;&gt;"",LEN($D44)&lt;&gt;16),"No. KK bukan 16 digit",IF(AND($F44="",$I44=""),"Alamat kosong",IF($N44="","Jabatan kosong",IF($O44="","No. HP kosong",IF(AND($R44&lt;&gt;"",$R44&lt;17),"Usia di bawah 17","")))))))))</f>
        <v>NIK kosong</v>
      </c>
      <c r="Z44" s="40" t="n">
        <f aca="false">IF($B44="","",IF(AND(OR(CARI!$C$5="",ISNUMBER(SEARCH(CARI!$C$5,$B44&amp;" "&amp;$C44&amp;" "&amp;$D44&amp;" "&amp;$O44&amp;" "&amp;$I44&amp;" "&amp;$F44&amp;" "&amp;$J44&amp;" "&amp;$K44&amp;" "&amp;$L44&amp;" "&amp;$V44))),OR(CARI!$C$6="",$F44=CARI!$C$6),OR(CARI!$C$7="",$G44=CARI!$C$7),OR(CARI!$C$8="",$T44=CARI!$C$8)),MAX($Z$3:Z43)+1,""))</f>
        <v>41</v>
      </c>
      <c r="AA44" s="40" t="n">
        <f aca="false">IF($Y44="","",MAX($AA$3:AA43)+1)</f>
        <v>41</v>
      </c>
      <c r="AB44" s="40" t="str">
        <f aca="false">IF($F44="","",$F44&amp;"#"&amp;COUNTIF($F$4:$F44,$F44))</f>
        <v>Kp. Wangkal#8</v>
      </c>
      <c r="AC44" s="40" t="n">
        <f aca="false">IF($B44="","",IF(AND(OR(CETAK!$J$10="",$F44=CETAK!$J$10),OR(CETAK!$J$11="",$G44=CETAK!$J$11),OR(CETAK!$J$12="",$P44=CETAK!$J$12),OR(CETAK!$J$13="",$N44=CETAK!$J$13),OR(CETAK!$J$14="",$T44=CETAK!$J$14)),MAX($AC$3:AC43)+1,""))</f>
        <v>41</v>
      </c>
      <c r="AD44" s="40" t="n">
        <f aca="false">IF($B44="","",IF(AND(OR(ABSENSI!$H$10="",$F44=ABSENSI!$H$10),OR(ABSENSI!$H$11="",$G44=ABSENSI!$H$11),OR(ABSENSI!$H$12="",$P44=ABSENSI!$H$12)),MAX($AD$3:AD43)+1,""))</f>
        <v>41</v>
      </c>
      <c r="AE44" s="40" t="n">
        <f aca="false">IF($B44="","",IF(AND(OR(KARTU!$K$6="",$F44=KARTU!$K$6),OR(KARTU!$K$7="",$G44=KARTU!$K$7),OR(KARTU!$K$8="",$P44=KARTU!$K$8)),MAX($AE$3:AE43)+1,""))</f>
        <v>41</v>
      </c>
    </row>
    <row r="45" customFormat="false" ht="15" hidden="false" customHeight="false" outlineLevel="0" collapsed="false">
      <c r="A45" s="35" t="n">
        <f aca="false">IF($B45="","",COUNTA($B$4:$B45))</f>
        <v>42</v>
      </c>
      <c r="B45" s="36" t="s">
        <v>179</v>
      </c>
      <c r="C45" s="37"/>
      <c r="D45" s="37"/>
      <c r="E45" s="38"/>
      <c r="F45" s="36" t="s">
        <v>85</v>
      </c>
      <c r="G45" s="39" t="s">
        <v>119</v>
      </c>
      <c r="H45" s="39" t="s">
        <v>110</v>
      </c>
      <c r="I45" s="36"/>
      <c r="J45" s="36"/>
      <c r="K45" s="36" t="s">
        <v>111</v>
      </c>
      <c r="L45" s="36" t="s">
        <v>112</v>
      </c>
      <c r="M45" s="40" t="str">
        <f aca="false">IF($F45="","",$F45&amp;IF($G45="",""," - RT "&amp;$G45&amp;IF($H45="","","/"&amp;$H45)))</f>
        <v>Kp. Wangkal - RT 005/006</v>
      </c>
      <c r="N45" s="36" t="s">
        <v>73</v>
      </c>
      <c r="O45" s="37"/>
      <c r="P45" s="39"/>
      <c r="Q45" s="41"/>
      <c r="R45" s="35" t="str">
        <f aca="true">IF(OR($B45="",$Q45=""),"",DATEDIF($Q45,TODAY(),"Y"))</f>
        <v/>
      </c>
      <c r="S45" s="40" t="str">
        <f aca="false">IF($R45="","",INDEX(usia_label,MATCH($R45,usia_min,1)))</f>
        <v/>
      </c>
      <c r="T45" s="36" t="s">
        <v>74</v>
      </c>
      <c r="U45" s="41"/>
      <c r="V45" s="36"/>
      <c r="W45" s="36" t="s">
        <v>180</v>
      </c>
      <c r="X45" s="40" t="str">
        <f aca="false">IF($M45="","",$M45&amp;"#"&amp;COUNTIF($M$4:$M45,$M45))</f>
        <v>Kp. Wangkal - RT 005/006#2</v>
      </c>
      <c r="Y45" s="40" t="str">
        <f aca="false">IF($B45="","",IF($C45="","NIK kosong",IF(LEN($C45)&lt;&gt;16,"NIK bukan 16 digit",IF(COUNTIF($C$4:$C$2003,$C45&amp;"*")&gt;1,"NIK ganda",IF(AND($D45&lt;&gt;"",LEN($D45)&lt;&gt;16),"No. KK bukan 16 digit",IF(AND($F45="",$I45=""),"Alamat kosong",IF($N45="","Jabatan kosong",IF($O45="","No. HP kosong",IF(AND($R45&lt;&gt;"",$R45&lt;17),"Usia di bawah 17","")))))))))</f>
        <v>NIK kosong</v>
      </c>
      <c r="Z45" s="40" t="n">
        <f aca="false">IF($B45="","",IF(AND(OR(CARI!$C$5="",ISNUMBER(SEARCH(CARI!$C$5,$B45&amp;" "&amp;$C45&amp;" "&amp;$D45&amp;" "&amp;$O45&amp;" "&amp;$I45&amp;" "&amp;$F45&amp;" "&amp;$J45&amp;" "&amp;$K45&amp;" "&amp;$L45&amp;" "&amp;$V45))),OR(CARI!$C$6="",$F45=CARI!$C$6),OR(CARI!$C$7="",$G45=CARI!$C$7),OR(CARI!$C$8="",$T45=CARI!$C$8)),MAX($Z$3:Z44)+1,""))</f>
        <v>42</v>
      </c>
      <c r="AA45" s="40" t="n">
        <f aca="false">IF($Y45="","",MAX($AA$3:AA44)+1)</f>
        <v>42</v>
      </c>
      <c r="AB45" s="40" t="str">
        <f aca="false">IF($F45="","",$F45&amp;"#"&amp;COUNTIF($F$4:$F45,$F45))</f>
        <v>Kp. Wangkal#9</v>
      </c>
      <c r="AC45" s="40" t="n">
        <f aca="false">IF($B45="","",IF(AND(OR(CETAK!$J$10="",$F45=CETAK!$J$10),OR(CETAK!$J$11="",$G45=CETAK!$J$11),OR(CETAK!$J$12="",$P45=CETAK!$J$12),OR(CETAK!$J$13="",$N45=CETAK!$J$13),OR(CETAK!$J$14="",$T45=CETAK!$J$14)),MAX($AC$3:AC44)+1,""))</f>
        <v>42</v>
      </c>
      <c r="AD45" s="40" t="n">
        <f aca="false">IF($B45="","",IF(AND(OR(ABSENSI!$H$10="",$F45=ABSENSI!$H$10),OR(ABSENSI!$H$11="",$G45=ABSENSI!$H$11),OR(ABSENSI!$H$12="",$P45=ABSENSI!$H$12)),MAX($AD$3:AD44)+1,""))</f>
        <v>42</v>
      </c>
      <c r="AE45" s="40" t="n">
        <f aca="false">IF($B45="","",IF(AND(OR(KARTU!$K$6="",$F45=KARTU!$K$6),OR(KARTU!$K$7="",$G45=KARTU!$K$7),OR(KARTU!$K$8="",$P45=KARTU!$K$8)),MAX($AE$3:AE44)+1,""))</f>
        <v>42</v>
      </c>
    </row>
    <row r="46" customFormat="false" ht="15" hidden="false" customHeight="false" outlineLevel="0" collapsed="false">
      <c r="A46" s="35" t="n">
        <f aca="false">IF($B46="","",COUNTA($B$4:$B46))</f>
        <v>43</v>
      </c>
      <c r="B46" s="36" t="s">
        <v>181</v>
      </c>
      <c r="C46" s="37"/>
      <c r="D46" s="37"/>
      <c r="E46" s="38"/>
      <c r="F46" s="36" t="s">
        <v>88</v>
      </c>
      <c r="G46" s="39" t="s">
        <v>94</v>
      </c>
      <c r="H46" s="39"/>
      <c r="I46" s="36"/>
      <c r="J46" s="36" t="s">
        <v>107</v>
      </c>
      <c r="K46" s="36"/>
      <c r="L46" s="36" t="s">
        <v>72</v>
      </c>
      <c r="M46" s="40" t="str">
        <f aca="false">IF($F46="","",$F46&amp;IF($G46="",""," - RT "&amp;$G46&amp;IF($H46="","","/"&amp;$H46)))</f>
        <v>Kp. Kuda Kuda - RT 003</v>
      </c>
      <c r="N46" s="36" t="s">
        <v>73</v>
      </c>
      <c r="O46" s="37"/>
      <c r="P46" s="39"/>
      <c r="Q46" s="41"/>
      <c r="R46" s="35" t="str">
        <f aca="true">IF(OR($B46="",$Q46=""),"",DATEDIF($Q46,TODAY(),"Y"))</f>
        <v/>
      </c>
      <c r="S46" s="40" t="str">
        <f aca="false">IF($R46="","",INDEX(usia_label,MATCH($R46,usia_min,1)))</f>
        <v/>
      </c>
      <c r="T46" s="36" t="s">
        <v>74</v>
      </c>
      <c r="U46" s="41"/>
      <c r="V46" s="36"/>
      <c r="W46" s="36" t="s">
        <v>182</v>
      </c>
      <c r="X46" s="40" t="str">
        <f aca="false">IF($M46="","",$M46&amp;"#"&amp;COUNTIF($M$4:$M46,$M46))</f>
        <v>Kp. Kuda Kuda - RT 003#1</v>
      </c>
      <c r="Y46" s="40" t="str">
        <f aca="false">IF($B46="","",IF($C46="","NIK kosong",IF(LEN($C46)&lt;&gt;16,"NIK bukan 16 digit",IF(COUNTIF($C$4:$C$2003,$C46&amp;"*")&gt;1,"NIK ganda",IF(AND($D46&lt;&gt;"",LEN($D46)&lt;&gt;16),"No. KK bukan 16 digit",IF(AND($F46="",$I46=""),"Alamat kosong",IF($N46="","Jabatan kosong",IF($O46="","No. HP kosong",IF(AND($R46&lt;&gt;"",$R46&lt;17),"Usia di bawah 17","")))))))))</f>
        <v>NIK kosong</v>
      </c>
      <c r="Z46" s="40" t="n">
        <f aca="false">IF($B46="","",IF(AND(OR(CARI!$C$5="",ISNUMBER(SEARCH(CARI!$C$5,$B46&amp;" "&amp;$C46&amp;" "&amp;$D46&amp;" "&amp;$O46&amp;" "&amp;$I46&amp;" "&amp;$F46&amp;" "&amp;$J46&amp;" "&amp;$K46&amp;" "&amp;$L46&amp;" "&amp;$V46))),OR(CARI!$C$6="",$F46=CARI!$C$6),OR(CARI!$C$7="",$G46=CARI!$C$7),OR(CARI!$C$8="",$T46=CARI!$C$8)),MAX($Z$3:Z45)+1,""))</f>
        <v>43</v>
      </c>
      <c r="AA46" s="40" t="n">
        <f aca="false">IF($Y46="","",MAX($AA$3:AA45)+1)</f>
        <v>43</v>
      </c>
      <c r="AB46" s="40" t="str">
        <f aca="false">IF($F46="","",$F46&amp;"#"&amp;COUNTIF($F$4:$F46,$F46))</f>
        <v>Kp. Kuda Kuda#10</v>
      </c>
      <c r="AC46" s="40" t="n">
        <f aca="false">IF($B46="","",IF(AND(OR(CETAK!$J$10="",$F46=CETAK!$J$10),OR(CETAK!$J$11="",$G46=CETAK!$J$11),OR(CETAK!$J$12="",$P46=CETAK!$J$12),OR(CETAK!$J$13="",$N46=CETAK!$J$13),OR(CETAK!$J$14="",$T46=CETAK!$J$14)),MAX($AC$3:AC45)+1,""))</f>
        <v>43</v>
      </c>
      <c r="AD46" s="40" t="n">
        <f aca="false">IF($B46="","",IF(AND(OR(ABSENSI!$H$10="",$F46=ABSENSI!$H$10),OR(ABSENSI!$H$11="",$G46=ABSENSI!$H$11),OR(ABSENSI!$H$12="",$P46=ABSENSI!$H$12)),MAX($AD$3:AD45)+1,""))</f>
        <v>43</v>
      </c>
      <c r="AE46" s="40" t="n">
        <f aca="false">IF($B46="","",IF(AND(OR(KARTU!$K$6="",$F46=KARTU!$K$6),OR(KARTU!$K$7="",$G46=KARTU!$K$7),OR(KARTU!$K$8="",$P46=KARTU!$K$8)),MAX($AE$3:AE45)+1,""))</f>
        <v>43</v>
      </c>
    </row>
    <row r="47" customFormat="false" ht="15" hidden="false" customHeight="false" outlineLevel="0" collapsed="false">
      <c r="A47" s="35" t="n">
        <f aca="false">IF($B47="","",COUNTA($B$4:$B47))</f>
        <v>44</v>
      </c>
      <c r="B47" s="36" t="s">
        <v>183</v>
      </c>
      <c r="C47" s="37"/>
      <c r="D47" s="37"/>
      <c r="E47" s="38"/>
      <c r="F47" s="36" t="s">
        <v>77</v>
      </c>
      <c r="G47" s="39" t="s">
        <v>70</v>
      </c>
      <c r="H47" s="39" t="s">
        <v>119</v>
      </c>
      <c r="I47" s="36"/>
      <c r="J47" s="36" t="s">
        <v>184</v>
      </c>
      <c r="K47" s="36" t="s">
        <v>185</v>
      </c>
      <c r="L47" s="36" t="s">
        <v>112</v>
      </c>
      <c r="M47" s="40" t="str">
        <f aca="false">IF($F47="","",$F47&amp;IF($G47="",""," - RT "&amp;$G47&amp;IF($H47="","","/"&amp;$H47)))</f>
        <v>Kp. Gamprit - RT 001/005</v>
      </c>
      <c r="N47" s="36" t="s">
        <v>73</v>
      </c>
      <c r="O47" s="37"/>
      <c r="P47" s="39"/>
      <c r="Q47" s="41"/>
      <c r="R47" s="35" t="str">
        <f aca="true">IF(OR($B47="",$Q47=""),"",DATEDIF($Q47,TODAY(),"Y"))</f>
        <v/>
      </c>
      <c r="S47" s="40" t="str">
        <f aca="false">IF($R47="","",INDEX(usia_label,MATCH($R47,usia_min,1)))</f>
        <v/>
      </c>
      <c r="T47" s="36" t="s">
        <v>74</v>
      </c>
      <c r="U47" s="41"/>
      <c r="V47" s="36"/>
      <c r="W47" s="36" t="s">
        <v>186</v>
      </c>
      <c r="X47" s="40" t="str">
        <f aca="false">IF($M47="","",$M47&amp;"#"&amp;COUNTIF($M$4:$M47,$M47))</f>
        <v>Kp. Gamprit - RT 001/005#1</v>
      </c>
      <c r="Y47" s="40" t="str">
        <f aca="false">IF($B47="","",IF($C47="","NIK kosong",IF(LEN($C47)&lt;&gt;16,"NIK bukan 16 digit",IF(COUNTIF($C$4:$C$2003,$C47&amp;"*")&gt;1,"NIK ganda",IF(AND($D47&lt;&gt;"",LEN($D47)&lt;&gt;16),"No. KK bukan 16 digit",IF(AND($F47="",$I47=""),"Alamat kosong",IF($N47="","Jabatan kosong",IF($O47="","No. HP kosong",IF(AND($R47&lt;&gt;"",$R47&lt;17),"Usia di bawah 17","")))))))))</f>
        <v>NIK kosong</v>
      </c>
      <c r="Z47" s="40" t="n">
        <f aca="false">IF($B47="","",IF(AND(OR(CARI!$C$5="",ISNUMBER(SEARCH(CARI!$C$5,$B47&amp;" "&amp;$C47&amp;" "&amp;$D47&amp;" "&amp;$O47&amp;" "&amp;$I47&amp;" "&amp;$F47&amp;" "&amp;$J47&amp;" "&amp;$K47&amp;" "&amp;$L47&amp;" "&amp;$V47))),OR(CARI!$C$6="",$F47=CARI!$C$6),OR(CARI!$C$7="",$G47=CARI!$C$7),OR(CARI!$C$8="",$T47=CARI!$C$8)),MAX($Z$3:Z46)+1,""))</f>
        <v>44</v>
      </c>
      <c r="AA47" s="40" t="n">
        <f aca="false">IF($Y47="","",MAX($AA$3:AA46)+1)</f>
        <v>44</v>
      </c>
      <c r="AB47" s="40" t="str">
        <f aca="false">IF($F47="","",$F47&amp;"#"&amp;COUNTIF($F$4:$F47,$F47))</f>
        <v>Kp. Gamprit#12</v>
      </c>
      <c r="AC47" s="40" t="n">
        <f aca="false">IF($B47="","",IF(AND(OR(CETAK!$J$10="",$F47=CETAK!$J$10),OR(CETAK!$J$11="",$G47=CETAK!$J$11),OR(CETAK!$J$12="",$P47=CETAK!$J$12),OR(CETAK!$J$13="",$N47=CETAK!$J$13),OR(CETAK!$J$14="",$T47=CETAK!$J$14)),MAX($AC$3:AC46)+1,""))</f>
        <v>44</v>
      </c>
      <c r="AD47" s="40" t="n">
        <f aca="false">IF($B47="","",IF(AND(OR(ABSENSI!$H$10="",$F47=ABSENSI!$H$10),OR(ABSENSI!$H$11="",$G47=ABSENSI!$H$11),OR(ABSENSI!$H$12="",$P47=ABSENSI!$H$12)),MAX($AD$3:AD46)+1,""))</f>
        <v>44</v>
      </c>
      <c r="AE47" s="40" t="n">
        <f aca="false">IF($B47="","",IF(AND(OR(KARTU!$K$6="",$F47=KARTU!$K$6),OR(KARTU!$K$7="",$G47=KARTU!$K$7),OR(KARTU!$K$8="",$P47=KARTU!$K$8)),MAX($AE$3:AE46)+1,""))</f>
        <v>44</v>
      </c>
    </row>
    <row r="48" customFormat="false" ht="15" hidden="false" customHeight="false" outlineLevel="0" collapsed="false">
      <c r="A48" s="35" t="n">
        <f aca="false">IF($B48="","",COUNTA($B$4:$B48))</f>
        <v>45</v>
      </c>
      <c r="B48" s="36" t="s">
        <v>187</v>
      </c>
      <c r="C48" s="37"/>
      <c r="D48" s="37"/>
      <c r="E48" s="38"/>
      <c r="F48" s="36" t="s">
        <v>77</v>
      </c>
      <c r="G48" s="39"/>
      <c r="H48" s="39"/>
      <c r="I48" s="36"/>
      <c r="J48" s="36"/>
      <c r="K48" s="36"/>
      <c r="L48" s="36"/>
      <c r="M48" s="40" t="str">
        <f aca="false">IF($F48="","",$F48&amp;IF($G48="",""," - RT "&amp;$G48&amp;IF($H48="","","/"&amp;$H48)))</f>
        <v>Kp. Gamprit</v>
      </c>
      <c r="N48" s="36" t="s">
        <v>73</v>
      </c>
      <c r="O48" s="37"/>
      <c r="P48" s="39"/>
      <c r="Q48" s="41"/>
      <c r="R48" s="35" t="str">
        <f aca="true">IF(OR($B48="",$Q48=""),"",DATEDIF($Q48,TODAY(),"Y"))</f>
        <v/>
      </c>
      <c r="S48" s="40" t="str">
        <f aca="false">IF($R48="","",INDEX(usia_label,MATCH($R48,usia_min,1)))</f>
        <v/>
      </c>
      <c r="T48" s="36" t="s">
        <v>74</v>
      </c>
      <c r="U48" s="41"/>
      <c r="V48" s="36"/>
      <c r="W48" s="36" t="s">
        <v>188</v>
      </c>
      <c r="X48" s="40" t="str">
        <f aca="false">IF($M48="","",$M48&amp;"#"&amp;COUNTIF($M$4:$M48,$M48))</f>
        <v>Kp. Gamprit#4</v>
      </c>
      <c r="Y48" s="40" t="str">
        <f aca="false">IF($B48="","",IF($C48="","NIK kosong",IF(LEN($C48)&lt;&gt;16,"NIK bukan 16 digit",IF(COUNTIF($C$4:$C$2003,$C48&amp;"*")&gt;1,"NIK ganda",IF(AND($D48&lt;&gt;"",LEN($D48)&lt;&gt;16),"No. KK bukan 16 digit",IF(AND($F48="",$I48=""),"Alamat kosong",IF($N48="","Jabatan kosong",IF($O48="","No. HP kosong",IF(AND($R48&lt;&gt;"",$R48&lt;17),"Usia di bawah 17","")))))))))</f>
        <v>NIK kosong</v>
      </c>
      <c r="Z48" s="40" t="n">
        <f aca="false">IF($B48="","",IF(AND(OR(CARI!$C$5="",ISNUMBER(SEARCH(CARI!$C$5,$B48&amp;" "&amp;$C48&amp;" "&amp;$D48&amp;" "&amp;$O48&amp;" "&amp;$I48&amp;" "&amp;$F48&amp;" "&amp;$J48&amp;" "&amp;$K48&amp;" "&amp;$L48&amp;" "&amp;$V48))),OR(CARI!$C$6="",$F48=CARI!$C$6),OR(CARI!$C$7="",$G48=CARI!$C$7),OR(CARI!$C$8="",$T48=CARI!$C$8)),MAX($Z$3:Z47)+1,""))</f>
        <v>45</v>
      </c>
      <c r="AA48" s="40" t="n">
        <f aca="false">IF($Y48="","",MAX($AA$3:AA47)+1)</f>
        <v>45</v>
      </c>
      <c r="AB48" s="40" t="str">
        <f aca="false">IF($F48="","",$F48&amp;"#"&amp;COUNTIF($F$4:$F48,$F48))</f>
        <v>Kp. Gamprit#13</v>
      </c>
      <c r="AC48" s="40" t="n">
        <f aca="false">IF($B48="","",IF(AND(OR(CETAK!$J$10="",$F48=CETAK!$J$10),OR(CETAK!$J$11="",$G48=CETAK!$J$11),OR(CETAK!$J$12="",$P48=CETAK!$J$12),OR(CETAK!$J$13="",$N48=CETAK!$J$13),OR(CETAK!$J$14="",$T48=CETAK!$J$14)),MAX($AC$3:AC47)+1,""))</f>
        <v>45</v>
      </c>
      <c r="AD48" s="40" t="n">
        <f aca="false">IF($B48="","",IF(AND(OR(ABSENSI!$H$10="",$F48=ABSENSI!$H$10),OR(ABSENSI!$H$11="",$G48=ABSENSI!$H$11),OR(ABSENSI!$H$12="",$P48=ABSENSI!$H$12)),MAX($AD$3:AD47)+1,""))</f>
        <v>45</v>
      </c>
      <c r="AE48" s="40" t="n">
        <f aca="false">IF($B48="","",IF(AND(OR(KARTU!$K$6="",$F48=KARTU!$K$6),OR(KARTU!$K$7="",$G48=KARTU!$K$7),OR(KARTU!$K$8="",$P48=KARTU!$K$8)),MAX($AE$3:AE47)+1,""))</f>
        <v>45</v>
      </c>
    </row>
    <row r="49" customFormat="false" ht="15" hidden="false" customHeight="false" outlineLevel="0" collapsed="false">
      <c r="A49" s="35" t="n">
        <f aca="false">IF($B49="","",COUNTA($B$4:$B49))</f>
        <v>46</v>
      </c>
      <c r="B49" s="36" t="s">
        <v>100</v>
      </c>
      <c r="C49" s="37"/>
      <c r="D49" s="37"/>
      <c r="E49" s="38"/>
      <c r="F49" s="36" t="s">
        <v>77</v>
      </c>
      <c r="G49" s="39" t="s">
        <v>101</v>
      </c>
      <c r="H49" s="39" t="s">
        <v>118</v>
      </c>
      <c r="I49" s="36"/>
      <c r="J49" s="36"/>
      <c r="K49" s="36" t="s">
        <v>150</v>
      </c>
      <c r="L49" s="36" t="s">
        <v>72</v>
      </c>
      <c r="M49" s="40" t="str">
        <f aca="false">IF($F49="","",$F49&amp;IF($G49="",""," - RT "&amp;$G49&amp;IF($H49="","","/"&amp;$H49)))</f>
        <v>Kp. Gamprit - RT 004/002</v>
      </c>
      <c r="N49" s="36" t="s">
        <v>73</v>
      </c>
      <c r="O49" s="37"/>
      <c r="P49" s="39"/>
      <c r="Q49" s="41"/>
      <c r="R49" s="35" t="str">
        <f aca="true">IF(OR($B49="",$Q49=""),"",DATEDIF($Q49,TODAY(),"Y"))</f>
        <v/>
      </c>
      <c r="S49" s="40" t="str">
        <f aca="false">IF($R49="","",INDEX(usia_label,MATCH($R49,usia_min,1)))</f>
        <v/>
      </c>
      <c r="T49" s="36" t="s">
        <v>74</v>
      </c>
      <c r="U49" s="41"/>
      <c r="V49" s="36"/>
      <c r="W49" s="36" t="s">
        <v>189</v>
      </c>
      <c r="X49" s="40" t="str">
        <f aca="false">IF($M49="","",$M49&amp;"#"&amp;COUNTIF($M$4:$M49,$M49))</f>
        <v>Kp. Gamprit - RT 004/002#1</v>
      </c>
      <c r="Y49" s="40" t="str">
        <f aca="false">IF($B49="","",IF($C49="","NIK kosong",IF(LEN($C49)&lt;&gt;16,"NIK bukan 16 digit",IF(COUNTIF($C$4:$C$2003,$C49&amp;"*")&gt;1,"NIK ganda",IF(AND($D49&lt;&gt;"",LEN($D49)&lt;&gt;16),"No. KK bukan 16 digit",IF(AND($F49="",$I49=""),"Alamat kosong",IF($N49="","Jabatan kosong",IF($O49="","No. HP kosong",IF(AND($R49&lt;&gt;"",$R49&lt;17),"Usia di bawah 17","")))))))))</f>
        <v>NIK kosong</v>
      </c>
      <c r="Z49" s="40" t="n">
        <f aca="false">IF($B49="","",IF(AND(OR(CARI!$C$5="",ISNUMBER(SEARCH(CARI!$C$5,$B49&amp;" "&amp;$C49&amp;" "&amp;$D49&amp;" "&amp;$O49&amp;" "&amp;$I49&amp;" "&amp;$F49&amp;" "&amp;$J49&amp;" "&amp;$K49&amp;" "&amp;$L49&amp;" "&amp;$V49))),OR(CARI!$C$6="",$F49=CARI!$C$6),OR(CARI!$C$7="",$G49=CARI!$C$7),OR(CARI!$C$8="",$T49=CARI!$C$8)),MAX($Z$3:Z48)+1,""))</f>
        <v>46</v>
      </c>
      <c r="AA49" s="40" t="n">
        <f aca="false">IF($Y49="","",MAX($AA$3:AA48)+1)</f>
        <v>46</v>
      </c>
      <c r="AB49" s="40" t="str">
        <f aca="false">IF($F49="","",$F49&amp;"#"&amp;COUNTIF($F$4:$F49,$F49))</f>
        <v>Kp. Gamprit#14</v>
      </c>
      <c r="AC49" s="40" t="n">
        <f aca="false">IF($B49="","",IF(AND(OR(CETAK!$J$10="",$F49=CETAK!$J$10),OR(CETAK!$J$11="",$G49=CETAK!$J$11),OR(CETAK!$J$12="",$P49=CETAK!$J$12),OR(CETAK!$J$13="",$N49=CETAK!$J$13),OR(CETAK!$J$14="",$T49=CETAK!$J$14)),MAX($AC$3:AC48)+1,""))</f>
        <v>46</v>
      </c>
      <c r="AD49" s="40" t="n">
        <f aca="false">IF($B49="","",IF(AND(OR(ABSENSI!$H$10="",$F49=ABSENSI!$H$10),OR(ABSENSI!$H$11="",$G49=ABSENSI!$H$11),OR(ABSENSI!$H$12="",$P49=ABSENSI!$H$12)),MAX($AD$3:AD48)+1,""))</f>
        <v>46</v>
      </c>
      <c r="AE49" s="40" t="n">
        <f aca="false">IF($B49="","",IF(AND(OR(KARTU!$K$6="",$F49=KARTU!$K$6),OR(KARTU!$K$7="",$G49=KARTU!$K$7),OR(KARTU!$K$8="",$P49=KARTU!$K$8)),MAX($AE$3:AE48)+1,""))</f>
        <v>46</v>
      </c>
    </row>
    <row r="50" customFormat="false" ht="15" hidden="false" customHeight="false" outlineLevel="0" collapsed="false">
      <c r="A50" s="35" t="n">
        <f aca="false">IF($B50="","",COUNTA($B$4:$B50))</f>
        <v>47</v>
      </c>
      <c r="B50" s="36" t="s">
        <v>190</v>
      </c>
      <c r="C50" s="37"/>
      <c r="D50" s="37"/>
      <c r="E50" s="38"/>
      <c r="F50" s="36" t="s">
        <v>88</v>
      </c>
      <c r="G50" s="39" t="s">
        <v>101</v>
      </c>
      <c r="H50" s="39"/>
      <c r="I50" s="36"/>
      <c r="J50" s="36" t="s">
        <v>130</v>
      </c>
      <c r="K50" s="36"/>
      <c r="L50" s="36" t="s">
        <v>72</v>
      </c>
      <c r="M50" s="40" t="str">
        <f aca="false">IF($F50="","",$F50&amp;IF($G50="",""," - RT "&amp;$G50&amp;IF($H50="","","/"&amp;$H50)))</f>
        <v>Kp. Kuda Kuda - RT 004</v>
      </c>
      <c r="N50" s="36" t="s">
        <v>73</v>
      </c>
      <c r="O50" s="37"/>
      <c r="P50" s="39"/>
      <c r="Q50" s="41"/>
      <c r="R50" s="35" t="str">
        <f aca="true">IF(OR($B50="",$Q50=""),"",DATEDIF($Q50,TODAY(),"Y"))</f>
        <v/>
      </c>
      <c r="S50" s="40" t="str">
        <f aca="false">IF($R50="","",INDEX(usia_label,MATCH($R50,usia_min,1)))</f>
        <v/>
      </c>
      <c r="T50" s="36" t="s">
        <v>74</v>
      </c>
      <c r="U50" s="41"/>
      <c r="V50" s="36"/>
      <c r="W50" s="36" t="s">
        <v>191</v>
      </c>
      <c r="X50" s="40" t="str">
        <f aca="false">IF($M50="","",$M50&amp;"#"&amp;COUNTIF($M$4:$M50,$M50))</f>
        <v>Kp. Kuda Kuda - RT 004#2</v>
      </c>
      <c r="Y50" s="40" t="str">
        <f aca="false">IF($B50="","",IF($C50="","NIK kosong",IF(LEN($C50)&lt;&gt;16,"NIK bukan 16 digit",IF(COUNTIF($C$4:$C$2003,$C50&amp;"*")&gt;1,"NIK ganda",IF(AND($D50&lt;&gt;"",LEN($D50)&lt;&gt;16),"No. KK bukan 16 digit",IF(AND($F50="",$I50=""),"Alamat kosong",IF($N50="","Jabatan kosong",IF($O50="","No. HP kosong",IF(AND($R50&lt;&gt;"",$R50&lt;17),"Usia di bawah 17","")))))))))</f>
        <v>NIK kosong</v>
      </c>
      <c r="Z50" s="40" t="n">
        <f aca="false">IF($B50="","",IF(AND(OR(CARI!$C$5="",ISNUMBER(SEARCH(CARI!$C$5,$B50&amp;" "&amp;$C50&amp;" "&amp;$D50&amp;" "&amp;$O50&amp;" "&amp;$I50&amp;" "&amp;$F50&amp;" "&amp;$J50&amp;" "&amp;$K50&amp;" "&amp;$L50&amp;" "&amp;$V50))),OR(CARI!$C$6="",$F50=CARI!$C$6),OR(CARI!$C$7="",$G50=CARI!$C$7),OR(CARI!$C$8="",$T50=CARI!$C$8)),MAX($Z$3:Z49)+1,""))</f>
        <v>47</v>
      </c>
      <c r="AA50" s="40" t="n">
        <f aca="false">IF($Y50="","",MAX($AA$3:AA49)+1)</f>
        <v>47</v>
      </c>
      <c r="AB50" s="40" t="str">
        <f aca="false">IF($F50="","",$F50&amp;"#"&amp;COUNTIF($F$4:$F50,$F50))</f>
        <v>Kp. Kuda Kuda#11</v>
      </c>
      <c r="AC50" s="40" t="n">
        <f aca="false">IF($B50="","",IF(AND(OR(CETAK!$J$10="",$F50=CETAK!$J$10),OR(CETAK!$J$11="",$G50=CETAK!$J$11),OR(CETAK!$J$12="",$P50=CETAK!$J$12),OR(CETAK!$J$13="",$N50=CETAK!$J$13),OR(CETAK!$J$14="",$T50=CETAK!$J$14)),MAX($AC$3:AC49)+1,""))</f>
        <v>47</v>
      </c>
      <c r="AD50" s="40" t="n">
        <f aca="false">IF($B50="","",IF(AND(OR(ABSENSI!$H$10="",$F50=ABSENSI!$H$10),OR(ABSENSI!$H$11="",$G50=ABSENSI!$H$11),OR(ABSENSI!$H$12="",$P50=ABSENSI!$H$12)),MAX($AD$3:AD49)+1,""))</f>
        <v>47</v>
      </c>
      <c r="AE50" s="40" t="n">
        <f aca="false">IF($B50="","",IF(AND(OR(KARTU!$K$6="",$F50=KARTU!$K$6),OR(KARTU!$K$7="",$G50=KARTU!$K$7),OR(KARTU!$K$8="",$P50=KARTU!$K$8)),MAX($AE$3:AE49)+1,""))</f>
        <v>47</v>
      </c>
    </row>
    <row r="51" customFormat="false" ht="15" hidden="false" customHeight="false" outlineLevel="0" collapsed="false">
      <c r="A51" s="35" t="n">
        <f aca="false">IF($B51="","",COUNTA($B$4:$B51))</f>
        <v>48</v>
      </c>
      <c r="B51" s="36" t="s">
        <v>192</v>
      </c>
      <c r="C51" s="37"/>
      <c r="D51" s="37"/>
      <c r="E51" s="38"/>
      <c r="F51" s="36" t="s">
        <v>77</v>
      </c>
      <c r="G51" s="39" t="s">
        <v>70</v>
      </c>
      <c r="H51" s="39" t="s">
        <v>119</v>
      </c>
      <c r="I51" s="36"/>
      <c r="J51" s="36" t="s">
        <v>184</v>
      </c>
      <c r="K51" s="36" t="s">
        <v>185</v>
      </c>
      <c r="L51" s="36" t="s">
        <v>112</v>
      </c>
      <c r="M51" s="40" t="str">
        <f aca="false">IF($F51="","",$F51&amp;IF($G51="",""," - RT "&amp;$G51&amp;IF($H51="","","/"&amp;$H51)))</f>
        <v>Kp. Gamprit - RT 001/005</v>
      </c>
      <c r="N51" s="36" t="s">
        <v>193</v>
      </c>
      <c r="O51" s="37"/>
      <c r="P51" s="39"/>
      <c r="Q51" s="41"/>
      <c r="R51" s="35" t="str">
        <f aca="true">IF(OR($B51="",$Q51=""),"",DATEDIF($Q51,TODAY(),"Y"))</f>
        <v/>
      </c>
      <c r="S51" s="40" t="str">
        <f aca="false">IF($R51="","",INDEX(usia_label,MATCH($R51,usia_min,1)))</f>
        <v/>
      </c>
      <c r="T51" s="36" t="s">
        <v>74</v>
      </c>
      <c r="U51" s="41"/>
      <c r="V51" s="36"/>
      <c r="W51" s="36" t="s">
        <v>194</v>
      </c>
      <c r="X51" s="40" t="str">
        <f aca="false">IF($M51="","",$M51&amp;"#"&amp;COUNTIF($M$4:$M51,$M51))</f>
        <v>Kp. Gamprit - RT 001/005#2</v>
      </c>
      <c r="Y51" s="40" t="str">
        <f aca="false">IF($B51="","",IF($C51="","NIK kosong",IF(LEN($C51)&lt;&gt;16,"NIK bukan 16 digit",IF(COUNTIF($C$4:$C$2003,$C51&amp;"*")&gt;1,"NIK ganda",IF(AND($D51&lt;&gt;"",LEN($D51)&lt;&gt;16),"No. KK bukan 16 digit",IF(AND($F51="",$I51=""),"Alamat kosong",IF($N51="","Jabatan kosong",IF($O51="","No. HP kosong",IF(AND($R51&lt;&gt;"",$R51&lt;17),"Usia di bawah 17","")))))))))</f>
        <v>NIK kosong</v>
      </c>
      <c r="Z51" s="40" t="n">
        <f aca="false">IF($B51="","",IF(AND(OR(CARI!$C$5="",ISNUMBER(SEARCH(CARI!$C$5,$B51&amp;" "&amp;$C51&amp;" "&amp;$D51&amp;" "&amp;$O51&amp;" "&amp;$I51&amp;" "&amp;$F51&amp;" "&amp;$J51&amp;" "&amp;$K51&amp;" "&amp;$L51&amp;" "&amp;$V51))),OR(CARI!$C$6="",$F51=CARI!$C$6),OR(CARI!$C$7="",$G51=CARI!$C$7),OR(CARI!$C$8="",$T51=CARI!$C$8)),MAX($Z$3:Z50)+1,""))</f>
        <v>48</v>
      </c>
      <c r="AA51" s="40" t="n">
        <f aca="false">IF($Y51="","",MAX($AA$3:AA50)+1)</f>
        <v>48</v>
      </c>
      <c r="AB51" s="40" t="str">
        <f aca="false">IF($F51="","",$F51&amp;"#"&amp;COUNTIF($F$4:$F51,$F51))</f>
        <v>Kp. Gamprit#15</v>
      </c>
      <c r="AC51" s="40" t="n">
        <f aca="false">IF($B51="","",IF(AND(OR(CETAK!$J$10="",$F51=CETAK!$J$10),OR(CETAK!$J$11="",$G51=CETAK!$J$11),OR(CETAK!$J$12="",$P51=CETAK!$J$12),OR(CETAK!$J$13="",$N51=CETAK!$J$13),OR(CETAK!$J$14="",$T51=CETAK!$J$14)),MAX($AC$3:AC50)+1,""))</f>
        <v>48</v>
      </c>
      <c r="AD51" s="40" t="n">
        <f aca="false">IF($B51="","",IF(AND(OR(ABSENSI!$H$10="",$F51=ABSENSI!$H$10),OR(ABSENSI!$H$11="",$G51=ABSENSI!$H$11),OR(ABSENSI!$H$12="",$P51=ABSENSI!$H$12)),MAX($AD$3:AD50)+1,""))</f>
        <v>48</v>
      </c>
      <c r="AE51" s="40" t="n">
        <f aca="false">IF($B51="","",IF(AND(OR(KARTU!$K$6="",$F51=KARTU!$K$6),OR(KARTU!$K$7="",$G51=KARTU!$K$7),OR(KARTU!$K$8="",$P51=KARTU!$K$8)),MAX($AE$3:AE50)+1,""))</f>
        <v>48</v>
      </c>
    </row>
    <row r="52" customFormat="false" ht="15" hidden="false" customHeight="false" outlineLevel="0" collapsed="false">
      <c r="A52" s="35" t="n">
        <f aca="false">IF($B52="","",COUNTA($B$4:$B52))</f>
        <v>49</v>
      </c>
      <c r="B52" s="36" t="s">
        <v>195</v>
      </c>
      <c r="C52" s="37"/>
      <c r="D52" s="37"/>
      <c r="E52" s="38"/>
      <c r="F52" s="36" t="s">
        <v>85</v>
      </c>
      <c r="G52" s="39"/>
      <c r="H52" s="39"/>
      <c r="I52" s="36"/>
      <c r="J52" s="36"/>
      <c r="K52" s="36"/>
      <c r="L52" s="36"/>
      <c r="M52" s="40" t="str">
        <f aca="false">IF($F52="","",$F52&amp;IF($G52="",""," - RT "&amp;$G52&amp;IF($H52="","","/"&amp;$H52)))</f>
        <v>Kp. Wangkal</v>
      </c>
      <c r="N52" s="36" t="s">
        <v>73</v>
      </c>
      <c r="O52" s="37"/>
      <c r="P52" s="39"/>
      <c r="Q52" s="41"/>
      <c r="R52" s="35" t="str">
        <f aca="true">IF(OR($B52="",$Q52=""),"",DATEDIF($Q52,TODAY(),"Y"))</f>
        <v/>
      </c>
      <c r="S52" s="40" t="str">
        <f aca="false">IF($R52="","",INDEX(usia_label,MATCH($R52,usia_min,1)))</f>
        <v/>
      </c>
      <c r="T52" s="36" t="s">
        <v>74</v>
      </c>
      <c r="U52" s="41"/>
      <c r="V52" s="36"/>
      <c r="W52" s="36" t="s">
        <v>196</v>
      </c>
      <c r="X52" s="40" t="str">
        <f aca="false">IF($M52="","",$M52&amp;"#"&amp;COUNTIF($M$4:$M52,$M52))</f>
        <v>Kp. Wangkal#3</v>
      </c>
      <c r="Y52" s="40" t="str">
        <f aca="false">IF($B52="","",IF($C52="","NIK kosong",IF(LEN($C52)&lt;&gt;16,"NIK bukan 16 digit",IF(COUNTIF($C$4:$C$2003,$C52&amp;"*")&gt;1,"NIK ganda",IF(AND($D52&lt;&gt;"",LEN($D52)&lt;&gt;16),"No. KK bukan 16 digit",IF(AND($F52="",$I52=""),"Alamat kosong",IF($N52="","Jabatan kosong",IF($O52="","No. HP kosong",IF(AND($R52&lt;&gt;"",$R52&lt;17),"Usia di bawah 17","")))))))))</f>
        <v>NIK kosong</v>
      </c>
      <c r="Z52" s="40" t="n">
        <f aca="false">IF($B52="","",IF(AND(OR(CARI!$C$5="",ISNUMBER(SEARCH(CARI!$C$5,$B52&amp;" "&amp;$C52&amp;" "&amp;$D52&amp;" "&amp;$O52&amp;" "&amp;$I52&amp;" "&amp;$F52&amp;" "&amp;$J52&amp;" "&amp;$K52&amp;" "&amp;$L52&amp;" "&amp;$V52))),OR(CARI!$C$6="",$F52=CARI!$C$6),OR(CARI!$C$7="",$G52=CARI!$C$7),OR(CARI!$C$8="",$T52=CARI!$C$8)),MAX($Z$3:Z51)+1,""))</f>
        <v>49</v>
      </c>
      <c r="AA52" s="40" t="n">
        <f aca="false">IF($Y52="","",MAX($AA$3:AA51)+1)</f>
        <v>49</v>
      </c>
      <c r="AB52" s="40" t="str">
        <f aca="false">IF($F52="","",$F52&amp;"#"&amp;COUNTIF($F$4:$F52,$F52))</f>
        <v>Kp. Wangkal#10</v>
      </c>
      <c r="AC52" s="40" t="n">
        <f aca="false">IF($B52="","",IF(AND(OR(CETAK!$J$10="",$F52=CETAK!$J$10),OR(CETAK!$J$11="",$G52=CETAK!$J$11),OR(CETAK!$J$12="",$P52=CETAK!$J$12),OR(CETAK!$J$13="",$N52=CETAK!$J$13),OR(CETAK!$J$14="",$T52=CETAK!$J$14)),MAX($AC$3:AC51)+1,""))</f>
        <v>49</v>
      </c>
      <c r="AD52" s="40" t="n">
        <f aca="false">IF($B52="","",IF(AND(OR(ABSENSI!$H$10="",$F52=ABSENSI!$H$10),OR(ABSENSI!$H$11="",$G52=ABSENSI!$H$11),OR(ABSENSI!$H$12="",$P52=ABSENSI!$H$12)),MAX($AD$3:AD51)+1,""))</f>
        <v>49</v>
      </c>
      <c r="AE52" s="40" t="n">
        <f aca="false">IF($B52="","",IF(AND(OR(KARTU!$K$6="",$F52=KARTU!$K$6),OR(KARTU!$K$7="",$G52=KARTU!$K$7),OR(KARTU!$K$8="",$P52=KARTU!$K$8)),MAX($AE$3:AE51)+1,""))</f>
        <v>49</v>
      </c>
    </row>
    <row r="53" customFormat="false" ht="15" hidden="false" customHeight="false" outlineLevel="0" collapsed="false">
      <c r="A53" s="35" t="n">
        <f aca="false">IF($B53="","",COUNTA($B$4:$B53))</f>
        <v>50</v>
      </c>
      <c r="B53" s="36" t="s">
        <v>197</v>
      </c>
      <c r="C53" s="37"/>
      <c r="D53" s="37"/>
      <c r="E53" s="38"/>
      <c r="F53" s="36" t="s">
        <v>77</v>
      </c>
      <c r="G53" s="39"/>
      <c r="H53" s="39"/>
      <c r="I53" s="36"/>
      <c r="J53" s="36" t="s">
        <v>198</v>
      </c>
      <c r="K53" s="36"/>
      <c r="L53" s="36"/>
      <c r="M53" s="40" t="str">
        <f aca="false">IF($F53="","",$F53&amp;IF($G53="",""," - RT "&amp;$G53&amp;IF($H53="","","/"&amp;$H53)))</f>
        <v>Kp. Gamprit</v>
      </c>
      <c r="N53" s="36" t="s">
        <v>73</v>
      </c>
      <c r="O53" s="37"/>
      <c r="P53" s="39"/>
      <c r="Q53" s="41"/>
      <c r="R53" s="35" t="str">
        <f aca="true">IF(OR($B53="",$Q53=""),"",DATEDIF($Q53,TODAY(),"Y"))</f>
        <v/>
      </c>
      <c r="S53" s="40" t="str">
        <f aca="false">IF($R53="","",INDEX(usia_label,MATCH($R53,usia_min,1)))</f>
        <v/>
      </c>
      <c r="T53" s="36" t="s">
        <v>74</v>
      </c>
      <c r="U53" s="41"/>
      <c r="V53" s="36"/>
      <c r="W53" s="36" t="s">
        <v>199</v>
      </c>
      <c r="X53" s="40" t="str">
        <f aca="false">IF($M53="","",$M53&amp;"#"&amp;COUNTIF($M$4:$M53,$M53))</f>
        <v>Kp. Gamprit#5</v>
      </c>
      <c r="Y53" s="40" t="str">
        <f aca="false">IF($B53="","",IF($C53="","NIK kosong",IF(LEN($C53)&lt;&gt;16,"NIK bukan 16 digit",IF(COUNTIF($C$4:$C$2003,$C53&amp;"*")&gt;1,"NIK ganda",IF(AND($D53&lt;&gt;"",LEN($D53)&lt;&gt;16),"No. KK bukan 16 digit",IF(AND($F53="",$I53=""),"Alamat kosong",IF($N53="","Jabatan kosong",IF($O53="","No. HP kosong",IF(AND($R53&lt;&gt;"",$R53&lt;17),"Usia di bawah 17","")))))))))</f>
        <v>NIK kosong</v>
      </c>
      <c r="Z53" s="40" t="n">
        <f aca="false">IF($B53="","",IF(AND(OR(CARI!$C$5="",ISNUMBER(SEARCH(CARI!$C$5,$B53&amp;" "&amp;$C53&amp;" "&amp;$D53&amp;" "&amp;$O53&amp;" "&amp;$I53&amp;" "&amp;$F53&amp;" "&amp;$J53&amp;" "&amp;$K53&amp;" "&amp;$L53&amp;" "&amp;$V53))),OR(CARI!$C$6="",$F53=CARI!$C$6),OR(CARI!$C$7="",$G53=CARI!$C$7),OR(CARI!$C$8="",$T53=CARI!$C$8)),MAX($Z$3:Z52)+1,""))</f>
        <v>50</v>
      </c>
      <c r="AA53" s="40" t="n">
        <f aca="false">IF($Y53="","",MAX($AA$3:AA52)+1)</f>
        <v>50</v>
      </c>
      <c r="AB53" s="40" t="str">
        <f aca="false">IF($F53="","",$F53&amp;"#"&amp;COUNTIF($F$4:$F53,$F53))</f>
        <v>Kp. Gamprit#16</v>
      </c>
      <c r="AC53" s="40" t="n">
        <f aca="false">IF($B53="","",IF(AND(OR(CETAK!$J$10="",$F53=CETAK!$J$10),OR(CETAK!$J$11="",$G53=CETAK!$J$11),OR(CETAK!$J$12="",$P53=CETAK!$J$12),OR(CETAK!$J$13="",$N53=CETAK!$J$13),OR(CETAK!$J$14="",$T53=CETAK!$J$14)),MAX($AC$3:AC52)+1,""))</f>
        <v>50</v>
      </c>
      <c r="AD53" s="40" t="n">
        <f aca="false">IF($B53="","",IF(AND(OR(ABSENSI!$H$10="",$F53=ABSENSI!$H$10),OR(ABSENSI!$H$11="",$G53=ABSENSI!$H$11),OR(ABSENSI!$H$12="",$P53=ABSENSI!$H$12)),MAX($AD$3:AD52)+1,""))</f>
        <v>50</v>
      </c>
      <c r="AE53" s="40" t="n">
        <f aca="false">IF($B53="","",IF(AND(OR(KARTU!$K$6="",$F53=KARTU!$K$6),OR(KARTU!$K$7="",$G53=KARTU!$K$7),OR(KARTU!$K$8="",$P53=KARTU!$K$8)),MAX($AE$3:AE52)+1,""))</f>
        <v>50</v>
      </c>
    </row>
    <row r="54" customFormat="false" ht="15" hidden="false" customHeight="false" outlineLevel="0" collapsed="false">
      <c r="A54" s="35" t="n">
        <f aca="false">IF($B54="","",COUNTA($B$4:$B54))</f>
        <v>51</v>
      </c>
      <c r="B54" s="36" t="s">
        <v>200</v>
      </c>
      <c r="C54" s="37"/>
      <c r="D54" s="37"/>
      <c r="E54" s="38"/>
      <c r="F54" s="36" t="s">
        <v>77</v>
      </c>
      <c r="G54" s="39" t="s">
        <v>94</v>
      </c>
      <c r="H54" s="39" t="s">
        <v>110</v>
      </c>
      <c r="I54" s="36"/>
      <c r="J54" s="36" t="s">
        <v>115</v>
      </c>
      <c r="K54" s="36" t="s">
        <v>111</v>
      </c>
      <c r="L54" s="36" t="s">
        <v>112</v>
      </c>
      <c r="M54" s="40" t="str">
        <f aca="false">IF($F54="","",$F54&amp;IF($G54="",""," - RT "&amp;$G54&amp;IF($H54="","","/"&amp;$H54)))</f>
        <v>Kp. Gamprit - RT 003/006</v>
      </c>
      <c r="N54" s="36" t="s">
        <v>73</v>
      </c>
      <c r="O54" s="37"/>
      <c r="P54" s="39"/>
      <c r="Q54" s="41"/>
      <c r="R54" s="35" t="str">
        <f aca="true">IF(OR($B54="",$Q54=""),"",DATEDIF($Q54,TODAY(),"Y"))</f>
        <v/>
      </c>
      <c r="S54" s="40" t="str">
        <f aca="false">IF($R54="","",INDEX(usia_label,MATCH($R54,usia_min,1)))</f>
        <v/>
      </c>
      <c r="T54" s="36" t="s">
        <v>74</v>
      </c>
      <c r="U54" s="41"/>
      <c r="V54" s="36"/>
      <c r="W54" s="36" t="s">
        <v>201</v>
      </c>
      <c r="X54" s="40" t="str">
        <f aca="false">IF($M54="","",$M54&amp;"#"&amp;COUNTIF($M$4:$M54,$M54))</f>
        <v>Kp. Gamprit - RT 003/006#7</v>
      </c>
      <c r="Y54" s="40" t="str">
        <f aca="false">IF($B54="","",IF($C54="","NIK kosong",IF(LEN($C54)&lt;&gt;16,"NIK bukan 16 digit",IF(COUNTIF($C$4:$C$2003,$C54&amp;"*")&gt;1,"NIK ganda",IF(AND($D54&lt;&gt;"",LEN($D54)&lt;&gt;16),"No. KK bukan 16 digit",IF(AND($F54="",$I54=""),"Alamat kosong",IF($N54="","Jabatan kosong",IF($O54="","No. HP kosong",IF(AND($R54&lt;&gt;"",$R54&lt;17),"Usia di bawah 17","")))))))))</f>
        <v>NIK kosong</v>
      </c>
      <c r="Z54" s="40" t="n">
        <f aca="false">IF($B54="","",IF(AND(OR(CARI!$C$5="",ISNUMBER(SEARCH(CARI!$C$5,$B54&amp;" "&amp;$C54&amp;" "&amp;$D54&amp;" "&amp;$O54&amp;" "&amp;$I54&amp;" "&amp;$F54&amp;" "&amp;$J54&amp;" "&amp;$K54&amp;" "&amp;$L54&amp;" "&amp;$V54))),OR(CARI!$C$6="",$F54=CARI!$C$6),OR(CARI!$C$7="",$G54=CARI!$C$7),OR(CARI!$C$8="",$T54=CARI!$C$8)),MAX($Z$3:Z53)+1,""))</f>
        <v>51</v>
      </c>
      <c r="AA54" s="40" t="n">
        <f aca="false">IF($Y54="","",MAX($AA$3:AA53)+1)</f>
        <v>51</v>
      </c>
      <c r="AB54" s="40" t="str">
        <f aca="false">IF($F54="","",$F54&amp;"#"&amp;COUNTIF($F$4:$F54,$F54))</f>
        <v>Kp. Gamprit#17</v>
      </c>
      <c r="AC54" s="40" t="n">
        <f aca="false">IF($B54="","",IF(AND(OR(CETAK!$J$10="",$F54=CETAK!$J$10),OR(CETAK!$J$11="",$G54=CETAK!$J$11),OR(CETAK!$J$12="",$P54=CETAK!$J$12),OR(CETAK!$J$13="",$N54=CETAK!$J$13),OR(CETAK!$J$14="",$T54=CETAK!$J$14)),MAX($AC$3:AC53)+1,""))</f>
        <v>51</v>
      </c>
      <c r="AD54" s="40" t="n">
        <f aca="false">IF($B54="","",IF(AND(OR(ABSENSI!$H$10="",$F54=ABSENSI!$H$10),OR(ABSENSI!$H$11="",$G54=ABSENSI!$H$11),OR(ABSENSI!$H$12="",$P54=ABSENSI!$H$12)),MAX($AD$3:AD53)+1,""))</f>
        <v>51</v>
      </c>
      <c r="AE54" s="40" t="n">
        <f aca="false">IF($B54="","",IF(AND(OR(KARTU!$K$6="",$F54=KARTU!$K$6),OR(KARTU!$K$7="",$G54=KARTU!$K$7),OR(KARTU!$K$8="",$P54=KARTU!$K$8)),MAX($AE$3:AE53)+1,""))</f>
        <v>51</v>
      </c>
    </row>
    <row r="55" customFormat="false" ht="15" hidden="false" customHeight="false" outlineLevel="0" collapsed="false">
      <c r="A55" s="35" t="n">
        <f aca="false">IF($B55="","",COUNTA($B$4:$B55))</f>
        <v>52</v>
      </c>
      <c r="B55" s="36" t="s">
        <v>202</v>
      </c>
      <c r="C55" s="37"/>
      <c r="D55" s="37"/>
      <c r="E55" s="38"/>
      <c r="F55" s="36" t="s">
        <v>77</v>
      </c>
      <c r="G55" s="39" t="s">
        <v>94</v>
      </c>
      <c r="H55" s="39" t="s">
        <v>110</v>
      </c>
      <c r="I55" s="36"/>
      <c r="J55" s="36" t="s">
        <v>115</v>
      </c>
      <c r="K55" s="36" t="s">
        <v>111</v>
      </c>
      <c r="L55" s="36" t="s">
        <v>112</v>
      </c>
      <c r="M55" s="40" t="str">
        <f aca="false">IF($F55="","",$F55&amp;IF($G55="",""," - RT "&amp;$G55&amp;IF($H55="","","/"&amp;$H55)))</f>
        <v>Kp. Gamprit - RT 003/006</v>
      </c>
      <c r="N55" s="36" t="s">
        <v>73</v>
      </c>
      <c r="O55" s="37"/>
      <c r="P55" s="39"/>
      <c r="Q55" s="41"/>
      <c r="R55" s="35" t="str">
        <f aca="true">IF(OR($B55="",$Q55=""),"",DATEDIF($Q55,TODAY(),"Y"))</f>
        <v/>
      </c>
      <c r="S55" s="40" t="str">
        <f aca="false">IF($R55="","",INDEX(usia_label,MATCH($R55,usia_min,1)))</f>
        <v/>
      </c>
      <c r="T55" s="36" t="s">
        <v>74</v>
      </c>
      <c r="U55" s="41"/>
      <c r="V55" s="36"/>
      <c r="W55" s="36" t="s">
        <v>203</v>
      </c>
      <c r="X55" s="40" t="str">
        <f aca="false">IF($M55="","",$M55&amp;"#"&amp;COUNTIF($M$4:$M55,$M55))</f>
        <v>Kp. Gamprit - RT 003/006#8</v>
      </c>
      <c r="Y55" s="40" t="str">
        <f aca="false">IF($B55="","",IF($C55="","NIK kosong",IF(LEN($C55)&lt;&gt;16,"NIK bukan 16 digit",IF(COUNTIF($C$4:$C$2003,$C55&amp;"*")&gt;1,"NIK ganda",IF(AND($D55&lt;&gt;"",LEN($D55)&lt;&gt;16),"No. KK bukan 16 digit",IF(AND($F55="",$I55=""),"Alamat kosong",IF($N55="","Jabatan kosong",IF($O55="","No. HP kosong",IF(AND($R55&lt;&gt;"",$R55&lt;17),"Usia di bawah 17","")))))))))</f>
        <v>NIK kosong</v>
      </c>
      <c r="Z55" s="40" t="n">
        <f aca="false">IF($B55="","",IF(AND(OR(CARI!$C$5="",ISNUMBER(SEARCH(CARI!$C$5,$B55&amp;" "&amp;$C55&amp;" "&amp;$D55&amp;" "&amp;$O55&amp;" "&amp;$I55&amp;" "&amp;$F55&amp;" "&amp;$J55&amp;" "&amp;$K55&amp;" "&amp;$L55&amp;" "&amp;$V55))),OR(CARI!$C$6="",$F55=CARI!$C$6),OR(CARI!$C$7="",$G55=CARI!$C$7),OR(CARI!$C$8="",$T55=CARI!$C$8)),MAX($Z$3:Z54)+1,""))</f>
        <v>52</v>
      </c>
      <c r="AA55" s="40" t="n">
        <f aca="false">IF($Y55="","",MAX($AA$3:AA54)+1)</f>
        <v>52</v>
      </c>
      <c r="AB55" s="40" t="str">
        <f aca="false">IF($F55="","",$F55&amp;"#"&amp;COUNTIF($F$4:$F55,$F55))</f>
        <v>Kp. Gamprit#18</v>
      </c>
      <c r="AC55" s="40" t="n">
        <f aca="false">IF($B55="","",IF(AND(OR(CETAK!$J$10="",$F55=CETAK!$J$10),OR(CETAK!$J$11="",$G55=CETAK!$J$11),OR(CETAK!$J$12="",$P55=CETAK!$J$12),OR(CETAK!$J$13="",$N55=CETAK!$J$13),OR(CETAK!$J$14="",$T55=CETAK!$J$14)),MAX($AC$3:AC54)+1,""))</f>
        <v>52</v>
      </c>
      <c r="AD55" s="40" t="n">
        <f aca="false">IF($B55="","",IF(AND(OR(ABSENSI!$H$10="",$F55=ABSENSI!$H$10),OR(ABSENSI!$H$11="",$G55=ABSENSI!$H$11),OR(ABSENSI!$H$12="",$P55=ABSENSI!$H$12)),MAX($AD$3:AD54)+1,""))</f>
        <v>52</v>
      </c>
      <c r="AE55" s="40" t="n">
        <f aca="false">IF($B55="","",IF(AND(OR(KARTU!$K$6="",$F55=KARTU!$K$6),OR(KARTU!$K$7="",$G55=KARTU!$K$7),OR(KARTU!$K$8="",$P55=KARTU!$K$8)),MAX($AE$3:AE54)+1,""))</f>
        <v>52</v>
      </c>
    </row>
    <row r="56" customFormat="false" ht="15" hidden="false" customHeight="false" outlineLevel="0" collapsed="false">
      <c r="A56" s="35" t="str">
        <f aca="false">IF($B56="","",COUNTA($B$4:$B56))</f>
        <v/>
      </c>
      <c r="B56" s="36"/>
      <c r="C56" s="37"/>
      <c r="D56" s="37"/>
      <c r="E56" s="38"/>
      <c r="F56" s="36"/>
      <c r="G56" s="39"/>
      <c r="H56" s="39"/>
      <c r="I56" s="36"/>
      <c r="J56" s="36"/>
      <c r="K56" s="36"/>
      <c r="L56" s="36"/>
      <c r="M56" s="40" t="str">
        <f aca="false">IF($F56="","",$F56&amp;IF($G56="",""," - RT "&amp;$G56&amp;IF($H56="","","/"&amp;$H56)))</f>
        <v/>
      </c>
      <c r="N56" s="36"/>
      <c r="O56" s="37"/>
      <c r="P56" s="39"/>
      <c r="Q56" s="41"/>
      <c r="R56" s="35" t="str">
        <f aca="true">IF(OR($B56="",$Q56=""),"",DATEDIF($Q56,TODAY(),"Y"))</f>
        <v/>
      </c>
      <c r="S56" s="40" t="str">
        <f aca="false">IF($R56="","",INDEX(usia_label,MATCH($R56,usia_min,1)))</f>
        <v/>
      </c>
      <c r="T56" s="36"/>
      <c r="U56" s="41"/>
      <c r="V56" s="36"/>
      <c r="W56" s="36"/>
      <c r="X56" s="40" t="str">
        <f aca="false">IF($M56="","",$M56&amp;"#"&amp;COUNTIF($M$4:$M56,$M56))</f>
        <v/>
      </c>
      <c r="Y56" s="40" t="str">
        <f aca="false">IF($B56="","",IF($C56="","NIK kosong",IF(LEN($C56)&lt;&gt;16,"NIK bukan 16 digit",IF(COUNTIF($C$4:$C$2003,$C56&amp;"*")&gt;1,"NIK ganda",IF(AND($D56&lt;&gt;"",LEN($D56)&lt;&gt;16),"No. KK bukan 16 digit",IF(AND($F56="",$I56=""),"Alamat kosong",IF($N56="","Jabatan kosong",IF($O56="","No. HP kosong",IF(AND($R56&lt;&gt;"",$R56&lt;17),"Usia di bawah 17","")))))))))</f>
        <v/>
      </c>
      <c r="Z56" s="40" t="str">
        <f aca="false">IF($B56="","",IF(AND(OR(CARI!$C$5="",ISNUMBER(SEARCH(CARI!$C$5,$B56&amp;" "&amp;$C56&amp;" "&amp;$D56&amp;" "&amp;$O56&amp;" "&amp;$I56&amp;" "&amp;$F56&amp;" "&amp;$J56&amp;" "&amp;$K56&amp;" "&amp;$L56&amp;" "&amp;$V56))),OR(CARI!$C$6="",$F56=CARI!$C$6),OR(CARI!$C$7="",$G56=CARI!$C$7),OR(CARI!$C$8="",$T56=CARI!$C$8)),MAX($Z$3:Z55)+1,""))</f>
        <v/>
      </c>
      <c r="AA56" s="40" t="str">
        <f aca="false">IF($Y56="","",MAX($AA$3:AA55)+1)</f>
        <v/>
      </c>
      <c r="AB56" s="40" t="str">
        <f aca="false">IF($F56="","",$F56&amp;"#"&amp;COUNTIF($F$4:$F56,$F56))</f>
        <v/>
      </c>
      <c r="AC56" s="40" t="str">
        <f aca="false">IF($B56="","",IF(AND(OR(CETAK!$J$10="",$F56=CETAK!$J$10),OR(CETAK!$J$11="",$G56=CETAK!$J$11),OR(CETAK!$J$12="",$P56=CETAK!$J$12),OR(CETAK!$J$13="",$N56=CETAK!$J$13),OR(CETAK!$J$14="",$T56=CETAK!$J$14)),MAX($AC$3:AC55)+1,""))</f>
        <v/>
      </c>
      <c r="AD56" s="40" t="str">
        <f aca="false">IF($B56="","",IF(AND(OR(ABSENSI!$H$10="",$F56=ABSENSI!$H$10),OR(ABSENSI!$H$11="",$G56=ABSENSI!$H$11),OR(ABSENSI!$H$12="",$P56=ABSENSI!$H$12)),MAX($AD$3:AD55)+1,""))</f>
        <v/>
      </c>
      <c r="AE56" s="40" t="str">
        <f aca="false">IF($B56="","",IF(AND(OR(KARTU!$K$6="",$F56=KARTU!$K$6),OR(KARTU!$K$7="",$G56=KARTU!$K$7),OR(KARTU!$K$8="",$P56=KARTU!$K$8)),MAX($AE$3:AE55)+1,""))</f>
        <v/>
      </c>
    </row>
    <row r="57" customFormat="false" ht="15" hidden="false" customHeight="false" outlineLevel="0" collapsed="false">
      <c r="A57" s="35" t="str">
        <f aca="false">IF($B57="","",COUNTA($B$4:$B57))</f>
        <v/>
      </c>
      <c r="B57" s="36"/>
      <c r="C57" s="37"/>
      <c r="D57" s="37"/>
      <c r="E57" s="38"/>
      <c r="F57" s="36"/>
      <c r="G57" s="39"/>
      <c r="H57" s="39"/>
      <c r="I57" s="36"/>
      <c r="J57" s="36"/>
      <c r="K57" s="36"/>
      <c r="L57" s="36"/>
      <c r="M57" s="40" t="str">
        <f aca="false">IF($F57="","",$F57&amp;IF($G57="",""," - RT "&amp;$G57&amp;IF($H57="","","/"&amp;$H57)))</f>
        <v/>
      </c>
      <c r="N57" s="36"/>
      <c r="O57" s="37"/>
      <c r="P57" s="39"/>
      <c r="Q57" s="41"/>
      <c r="R57" s="35" t="str">
        <f aca="true">IF(OR($B57="",$Q57=""),"",DATEDIF($Q57,TODAY(),"Y"))</f>
        <v/>
      </c>
      <c r="S57" s="40" t="str">
        <f aca="false">IF($R57="","",INDEX(usia_label,MATCH($R57,usia_min,1)))</f>
        <v/>
      </c>
      <c r="T57" s="36"/>
      <c r="U57" s="41"/>
      <c r="V57" s="36"/>
      <c r="W57" s="36"/>
      <c r="X57" s="40" t="str">
        <f aca="false">IF($M57="","",$M57&amp;"#"&amp;COUNTIF($M$4:$M57,$M57))</f>
        <v/>
      </c>
      <c r="Y57" s="40" t="str">
        <f aca="false">IF($B57="","",IF($C57="","NIK kosong",IF(LEN($C57)&lt;&gt;16,"NIK bukan 16 digit",IF(COUNTIF($C$4:$C$2003,$C57&amp;"*")&gt;1,"NIK ganda",IF(AND($D57&lt;&gt;"",LEN($D57)&lt;&gt;16),"No. KK bukan 16 digit",IF(AND($F57="",$I57=""),"Alamat kosong",IF($N57="","Jabatan kosong",IF($O57="","No. HP kosong",IF(AND($R57&lt;&gt;"",$R57&lt;17),"Usia di bawah 17","")))))))))</f>
        <v/>
      </c>
      <c r="Z57" s="40" t="str">
        <f aca="false">IF($B57="","",IF(AND(OR(CARI!$C$5="",ISNUMBER(SEARCH(CARI!$C$5,$B57&amp;" "&amp;$C57&amp;" "&amp;$D57&amp;" "&amp;$O57&amp;" "&amp;$I57&amp;" "&amp;$F57&amp;" "&amp;$J57&amp;" "&amp;$K57&amp;" "&amp;$L57&amp;" "&amp;$V57))),OR(CARI!$C$6="",$F57=CARI!$C$6),OR(CARI!$C$7="",$G57=CARI!$C$7),OR(CARI!$C$8="",$T57=CARI!$C$8)),MAX($Z$3:Z56)+1,""))</f>
        <v/>
      </c>
      <c r="AA57" s="40" t="str">
        <f aca="false">IF($Y57="","",MAX($AA$3:AA56)+1)</f>
        <v/>
      </c>
      <c r="AB57" s="40" t="str">
        <f aca="false">IF($F57="","",$F57&amp;"#"&amp;COUNTIF($F$4:$F57,$F57))</f>
        <v/>
      </c>
      <c r="AC57" s="40" t="str">
        <f aca="false">IF($B57="","",IF(AND(OR(CETAK!$J$10="",$F57=CETAK!$J$10),OR(CETAK!$J$11="",$G57=CETAK!$J$11),OR(CETAK!$J$12="",$P57=CETAK!$J$12),OR(CETAK!$J$13="",$N57=CETAK!$J$13),OR(CETAK!$J$14="",$T57=CETAK!$J$14)),MAX($AC$3:AC56)+1,""))</f>
        <v/>
      </c>
      <c r="AD57" s="40" t="str">
        <f aca="false">IF($B57="","",IF(AND(OR(ABSENSI!$H$10="",$F57=ABSENSI!$H$10),OR(ABSENSI!$H$11="",$G57=ABSENSI!$H$11),OR(ABSENSI!$H$12="",$P57=ABSENSI!$H$12)),MAX($AD$3:AD56)+1,""))</f>
        <v/>
      </c>
      <c r="AE57" s="40" t="str">
        <f aca="false">IF($B57="","",IF(AND(OR(KARTU!$K$6="",$F57=KARTU!$K$6),OR(KARTU!$K$7="",$G57=KARTU!$K$7),OR(KARTU!$K$8="",$P57=KARTU!$K$8)),MAX($AE$3:AE56)+1,""))</f>
        <v/>
      </c>
    </row>
    <row r="58" customFormat="false" ht="15" hidden="false" customHeight="false" outlineLevel="0" collapsed="false">
      <c r="A58" s="35" t="str">
        <f aca="false">IF($B58="","",COUNTA($B$4:$B58))</f>
        <v/>
      </c>
      <c r="B58" s="36"/>
      <c r="C58" s="37"/>
      <c r="D58" s="37"/>
      <c r="E58" s="38"/>
      <c r="F58" s="36"/>
      <c r="G58" s="39"/>
      <c r="H58" s="39"/>
      <c r="I58" s="36"/>
      <c r="J58" s="36"/>
      <c r="K58" s="36"/>
      <c r="L58" s="36"/>
      <c r="M58" s="40" t="str">
        <f aca="false">IF($F58="","",$F58&amp;IF($G58="",""," - RT "&amp;$G58&amp;IF($H58="","","/"&amp;$H58)))</f>
        <v/>
      </c>
      <c r="N58" s="36"/>
      <c r="O58" s="37"/>
      <c r="P58" s="39"/>
      <c r="Q58" s="41"/>
      <c r="R58" s="35" t="str">
        <f aca="true">IF(OR($B58="",$Q58=""),"",DATEDIF($Q58,TODAY(),"Y"))</f>
        <v/>
      </c>
      <c r="S58" s="40" t="str">
        <f aca="false">IF($R58="","",INDEX(usia_label,MATCH($R58,usia_min,1)))</f>
        <v/>
      </c>
      <c r="T58" s="36"/>
      <c r="U58" s="41"/>
      <c r="V58" s="36"/>
      <c r="W58" s="36"/>
      <c r="X58" s="40" t="str">
        <f aca="false">IF($M58="","",$M58&amp;"#"&amp;COUNTIF($M$4:$M58,$M58))</f>
        <v/>
      </c>
      <c r="Y58" s="40" t="str">
        <f aca="false">IF($B58="","",IF($C58="","NIK kosong",IF(LEN($C58)&lt;&gt;16,"NIK bukan 16 digit",IF(COUNTIF($C$4:$C$2003,$C58&amp;"*")&gt;1,"NIK ganda",IF(AND($D58&lt;&gt;"",LEN($D58)&lt;&gt;16),"No. KK bukan 16 digit",IF(AND($F58="",$I58=""),"Alamat kosong",IF($N58="","Jabatan kosong",IF($O58="","No. HP kosong",IF(AND($R58&lt;&gt;"",$R58&lt;17),"Usia di bawah 17","")))))))))</f>
        <v/>
      </c>
      <c r="Z58" s="40" t="str">
        <f aca="false">IF($B58="","",IF(AND(OR(CARI!$C$5="",ISNUMBER(SEARCH(CARI!$C$5,$B58&amp;" "&amp;$C58&amp;" "&amp;$D58&amp;" "&amp;$O58&amp;" "&amp;$I58&amp;" "&amp;$F58&amp;" "&amp;$J58&amp;" "&amp;$K58&amp;" "&amp;$L58&amp;" "&amp;$V58))),OR(CARI!$C$6="",$F58=CARI!$C$6),OR(CARI!$C$7="",$G58=CARI!$C$7),OR(CARI!$C$8="",$T58=CARI!$C$8)),MAX($Z$3:Z57)+1,""))</f>
        <v/>
      </c>
      <c r="AA58" s="40" t="str">
        <f aca="false">IF($Y58="","",MAX($AA$3:AA57)+1)</f>
        <v/>
      </c>
      <c r="AB58" s="40" t="str">
        <f aca="false">IF($F58="","",$F58&amp;"#"&amp;COUNTIF($F$4:$F58,$F58))</f>
        <v/>
      </c>
      <c r="AC58" s="40" t="str">
        <f aca="false">IF($B58="","",IF(AND(OR(CETAK!$J$10="",$F58=CETAK!$J$10),OR(CETAK!$J$11="",$G58=CETAK!$J$11),OR(CETAK!$J$12="",$P58=CETAK!$J$12),OR(CETAK!$J$13="",$N58=CETAK!$J$13),OR(CETAK!$J$14="",$T58=CETAK!$J$14)),MAX($AC$3:AC57)+1,""))</f>
        <v/>
      </c>
      <c r="AD58" s="40" t="str">
        <f aca="false">IF($B58="","",IF(AND(OR(ABSENSI!$H$10="",$F58=ABSENSI!$H$10),OR(ABSENSI!$H$11="",$G58=ABSENSI!$H$11),OR(ABSENSI!$H$12="",$P58=ABSENSI!$H$12)),MAX($AD$3:AD57)+1,""))</f>
        <v/>
      </c>
      <c r="AE58" s="40" t="str">
        <f aca="false">IF($B58="","",IF(AND(OR(KARTU!$K$6="",$F58=KARTU!$K$6),OR(KARTU!$K$7="",$G58=KARTU!$K$7),OR(KARTU!$K$8="",$P58=KARTU!$K$8)),MAX($AE$3:AE57)+1,""))</f>
        <v/>
      </c>
    </row>
    <row r="59" customFormat="false" ht="15" hidden="false" customHeight="false" outlineLevel="0" collapsed="false">
      <c r="A59" s="35" t="str">
        <f aca="false">IF($B59="","",COUNTA($B$4:$B59))</f>
        <v/>
      </c>
      <c r="B59" s="36"/>
      <c r="C59" s="37"/>
      <c r="D59" s="37"/>
      <c r="E59" s="38"/>
      <c r="F59" s="36"/>
      <c r="G59" s="39"/>
      <c r="H59" s="39"/>
      <c r="I59" s="36"/>
      <c r="J59" s="36"/>
      <c r="K59" s="36"/>
      <c r="L59" s="36"/>
      <c r="M59" s="40" t="str">
        <f aca="false">IF($F59="","",$F59&amp;IF($G59="",""," - RT "&amp;$G59&amp;IF($H59="","","/"&amp;$H59)))</f>
        <v/>
      </c>
      <c r="N59" s="36"/>
      <c r="O59" s="37"/>
      <c r="P59" s="39"/>
      <c r="Q59" s="41"/>
      <c r="R59" s="35" t="str">
        <f aca="true">IF(OR($B59="",$Q59=""),"",DATEDIF($Q59,TODAY(),"Y"))</f>
        <v/>
      </c>
      <c r="S59" s="40" t="str">
        <f aca="false">IF($R59="","",INDEX(usia_label,MATCH($R59,usia_min,1)))</f>
        <v/>
      </c>
      <c r="T59" s="36"/>
      <c r="U59" s="41"/>
      <c r="V59" s="36"/>
      <c r="W59" s="36"/>
      <c r="X59" s="40" t="str">
        <f aca="false">IF($M59="","",$M59&amp;"#"&amp;COUNTIF($M$4:$M59,$M59))</f>
        <v/>
      </c>
      <c r="Y59" s="40" t="str">
        <f aca="false">IF($B59="","",IF($C59="","NIK kosong",IF(LEN($C59)&lt;&gt;16,"NIK bukan 16 digit",IF(COUNTIF($C$4:$C$2003,$C59&amp;"*")&gt;1,"NIK ganda",IF(AND($D59&lt;&gt;"",LEN($D59)&lt;&gt;16),"No. KK bukan 16 digit",IF(AND($F59="",$I59=""),"Alamat kosong",IF($N59="","Jabatan kosong",IF($O59="","No. HP kosong",IF(AND($R59&lt;&gt;"",$R59&lt;17),"Usia di bawah 17","")))))))))</f>
        <v/>
      </c>
      <c r="Z59" s="40" t="str">
        <f aca="false">IF($B59="","",IF(AND(OR(CARI!$C$5="",ISNUMBER(SEARCH(CARI!$C$5,$B59&amp;" "&amp;$C59&amp;" "&amp;$D59&amp;" "&amp;$O59&amp;" "&amp;$I59&amp;" "&amp;$F59&amp;" "&amp;$J59&amp;" "&amp;$K59&amp;" "&amp;$L59&amp;" "&amp;$V59))),OR(CARI!$C$6="",$F59=CARI!$C$6),OR(CARI!$C$7="",$G59=CARI!$C$7),OR(CARI!$C$8="",$T59=CARI!$C$8)),MAX($Z$3:Z58)+1,""))</f>
        <v/>
      </c>
      <c r="AA59" s="40" t="str">
        <f aca="false">IF($Y59="","",MAX($AA$3:AA58)+1)</f>
        <v/>
      </c>
      <c r="AB59" s="40" t="str">
        <f aca="false">IF($F59="","",$F59&amp;"#"&amp;COUNTIF($F$4:$F59,$F59))</f>
        <v/>
      </c>
      <c r="AC59" s="40" t="str">
        <f aca="false">IF($B59="","",IF(AND(OR(CETAK!$J$10="",$F59=CETAK!$J$10),OR(CETAK!$J$11="",$G59=CETAK!$J$11),OR(CETAK!$J$12="",$P59=CETAK!$J$12),OR(CETAK!$J$13="",$N59=CETAK!$J$13),OR(CETAK!$J$14="",$T59=CETAK!$J$14)),MAX($AC$3:AC58)+1,""))</f>
        <v/>
      </c>
      <c r="AD59" s="40" t="str">
        <f aca="false">IF($B59="","",IF(AND(OR(ABSENSI!$H$10="",$F59=ABSENSI!$H$10),OR(ABSENSI!$H$11="",$G59=ABSENSI!$H$11),OR(ABSENSI!$H$12="",$P59=ABSENSI!$H$12)),MAX($AD$3:AD58)+1,""))</f>
        <v/>
      </c>
      <c r="AE59" s="40" t="str">
        <f aca="false">IF($B59="","",IF(AND(OR(KARTU!$K$6="",$F59=KARTU!$K$6),OR(KARTU!$K$7="",$G59=KARTU!$K$7),OR(KARTU!$K$8="",$P59=KARTU!$K$8)),MAX($AE$3:AE58)+1,""))</f>
        <v/>
      </c>
    </row>
    <row r="60" customFormat="false" ht="15" hidden="false" customHeight="false" outlineLevel="0" collapsed="false">
      <c r="A60" s="35" t="str">
        <f aca="false">IF($B60="","",COUNTA($B$4:$B60))</f>
        <v/>
      </c>
      <c r="B60" s="36"/>
      <c r="C60" s="37"/>
      <c r="D60" s="37"/>
      <c r="E60" s="38"/>
      <c r="F60" s="36"/>
      <c r="G60" s="39"/>
      <c r="H60" s="39"/>
      <c r="I60" s="36"/>
      <c r="J60" s="36"/>
      <c r="K60" s="36"/>
      <c r="L60" s="36"/>
      <c r="M60" s="40" t="str">
        <f aca="false">IF($F60="","",$F60&amp;IF($G60="",""," - RT "&amp;$G60&amp;IF($H60="","","/"&amp;$H60)))</f>
        <v/>
      </c>
      <c r="N60" s="36"/>
      <c r="O60" s="37"/>
      <c r="P60" s="39"/>
      <c r="Q60" s="41"/>
      <c r="R60" s="35" t="str">
        <f aca="true">IF(OR($B60="",$Q60=""),"",DATEDIF($Q60,TODAY(),"Y"))</f>
        <v/>
      </c>
      <c r="S60" s="40" t="str">
        <f aca="false">IF($R60="","",INDEX(usia_label,MATCH($R60,usia_min,1)))</f>
        <v/>
      </c>
      <c r="T60" s="36"/>
      <c r="U60" s="41"/>
      <c r="V60" s="36"/>
      <c r="W60" s="36"/>
      <c r="X60" s="40" t="str">
        <f aca="false">IF($M60="","",$M60&amp;"#"&amp;COUNTIF($M$4:$M60,$M60))</f>
        <v/>
      </c>
      <c r="Y60" s="40" t="str">
        <f aca="false">IF($B60="","",IF($C60="","NIK kosong",IF(LEN($C60)&lt;&gt;16,"NIK bukan 16 digit",IF(COUNTIF($C$4:$C$2003,$C60&amp;"*")&gt;1,"NIK ganda",IF(AND($D60&lt;&gt;"",LEN($D60)&lt;&gt;16),"No. KK bukan 16 digit",IF(AND($F60="",$I60=""),"Alamat kosong",IF($N60="","Jabatan kosong",IF($O60="","No. HP kosong",IF(AND($R60&lt;&gt;"",$R60&lt;17),"Usia di bawah 17","")))))))))</f>
        <v/>
      </c>
      <c r="Z60" s="40" t="str">
        <f aca="false">IF($B60="","",IF(AND(OR(CARI!$C$5="",ISNUMBER(SEARCH(CARI!$C$5,$B60&amp;" "&amp;$C60&amp;" "&amp;$D60&amp;" "&amp;$O60&amp;" "&amp;$I60&amp;" "&amp;$F60&amp;" "&amp;$J60&amp;" "&amp;$K60&amp;" "&amp;$L60&amp;" "&amp;$V60))),OR(CARI!$C$6="",$F60=CARI!$C$6),OR(CARI!$C$7="",$G60=CARI!$C$7),OR(CARI!$C$8="",$T60=CARI!$C$8)),MAX($Z$3:Z59)+1,""))</f>
        <v/>
      </c>
      <c r="AA60" s="40" t="str">
        <f aca="false">IF($Y60="","",MAX($AA$3:AA59)+1)</f>
        <v/>
      </c>
      <c r="AB60" s="40" t="str">
        <f aca="false">IF($F60="","",$F60&amp;"#"&amp;COUNTIF($F$4:$F60,$F60))</f>
        <v/>
      </c>
      <c r="AC60" s="40" t="str">
        <f aca="false">IF($B60="","",IF(AND(OR(CETAK!$J$10="",$F60=CETAK!$J$10),OR(CETAK!$J$11="",$G60=CETAK!$J$11),OR(CETAK!$J$12="",$P60=CETAK!$J$12),OR(CETAK!$J$13="",$N60=CETAK!$J$13),OR(CETAK!$J$14="",$T60=CETAK!$J$14)),MAX($AC$3:AC59)+1,""))</f>
        <v/>
      </c>
      <c r="AD60" s="40" t="str">
        <f aca="false">IF($B60="","",IF(AND(OR(ABSENSI!$H$10="",$F60=ABSENSI!$H$10),OR(ABSENSI!$H$11="",$G60=ABSENSI!$H$11),OR(ABSENSI!$H$12="",$P60=ABSENSI!$H$12)),MAX($AD$3:AD59)+1,""))</f>
        <v/>
      </c>
      <c r="AE60" s="40" t="str">
        <f aca="false">IF($B60="","",IF(AND(OR(KARTU!$K$6="",$F60=KARTU!$K$6),OR(KARTU!$K$7="",$G60=KARTU!$K$7),OR(KARTU!$K$8="",$P60=KARTU!$K$8)),MAX($AE$3:AE59)+1,""))</f>
        <v/>
      </c>
    </row>
    <row r="61" customFormat="false" ht="15" hidden="false" customHeight="false" outlineLevel="0" collapsed="false">
      <c r="A61" s="35" t="str">
        <f aca="false">IF($B61="","",COUNTA($B$4:$B61))</f>
        <v/>
      </c>
      <c r="B61" s="36"/>
      <c r="C61" s="37"/>
      <c r="D61" s="37"/>
      <c r="E61" s="38"/>
      <c r="F61" s="36"/>
      <c r="G61" s="39"/>
      <c r="H61" s="39"/>
      <c r="I61" s="36"/>
      <c r="J61" s="36"/>
      <c r="K61" s="36"/>
      <c r="L61" s="36"/>
      <c r="M61" s="40" t="str">
        <f aca="false">IF($F61="","",$F61&amp;IF($G61="",""," - RT "&amp;$G61&amp;IF($H61="","","/"&amp;$H61)))</f>
        <v/>
      </c>
      <c r="N61" s="36"/>
      <c r="O61" s="37"/>
      <c r="P61" s="39"/>
      <c r="Q61" s="41"/>
      <c r="R61" s="35" t="str">
        <f aca="true">IF(OR($B61="",$Q61=""),"",DATEDIF($Q61,TODAY(),"Y"))</f>
        <v/>
      </c>
      <c r="S61" s="40" t="str">
        <f aca="false">IF($R61="","",INDEX(usia_label,MATCH($R61,usia_min,1)))</f>
        <v/>
      </c>
      <c r="T61" s="36"/>
      <c r="U61" s="41"/>
      <c r="V61" s="36"/>
      <c r="W61" s="36"/>
      <c r="X61" s="40" t="str">
        <f aca="false">IF($M61="","",$M61&amp;"#"&amp;COUNTIF($M$4:$M61,$M61))</f>
        <v/>
      </c>
      <c r="Y61" s="40" t="str">
        <f aca="false">IF($B61="","",IF($C61="","NIK kosong",IF(LEN($C61)&lt;&gt;16,"NIK bukan 16 digit",IF(COUNTIF($C$4:$C$2003,$C61&amp;"*")&gt;1,"NIK ganda",IF(AND($D61&lt;&gt;"",LEN($D61)&lt;&gt;16),"No. KK bukan 16 digit",IF(AND($F61="",$I61=""),"Alamat kosong",IF($N61="","Jabatan kosong",IF($O61="","No. HP kosong",IF(AND($R61&lt;&gt;"",$R61&lt;17),"Usia di bawah 17","")))))))))</f>
        <v/>
      </c>
      <c r="Z61" s="40" t="str">
        <f aca="false">IF($B61="","",IF(AND(OR(CARI!$C$5="",ISNUMBER(SEARCH(CARI!$C$5,$B61&amp;" "&amp;$C61&amp;" "&amp;$D61&amp;" "&amp;$O61&amp;" "&amp;$I61&amp;" "&amp;$F61&amp;" "&amp;$J61&amp;" "&amp;$K61&amp;" "&amp;$L61&amp;" "&amp;$V61))),OR(CARI!$C$6="",$F61=CARI!$C$6),OR(CARI!$C$7="",$G61=CARI!$C$7),OR(CARI!$C$8="",$T61=CARI!$C$8)),MAX($Z$3:Z60)+1,""))</f>
        <v/>
      </c>
      <c r="AA61" s="40" t="str">
        <f aca="false">IF($Y61="","",MAX($AA$3:AA60)+1)</f>
        <v/>
      </c>
      <c r="AB61" s="40" t="str">
        <f aca="false">IF($F61="","",$F61&amp;"#"&amp;COUNTIF($F$4:$F61,$F61))</f>
        <v/>
      </c>
      <c r="AC61" s="40" t="str">
        <f aca="false">IF($B61="","",IF(AND(OR(CETAK!$J$10="",$F61=CETAK!$J$10),OR(CETAK!$J$11="",$G61=CETAK!$J$11),OR(CETAK!$J$12="",$P61=CETAK!$J$12),OR(CETAK!$J$13="",$N61=CETAK!$J$13),OR(CETAK!$J$14="",$T61=CETAK!$J$14)),MAX($AC$3:AC60)+1,""))</f>
        <v/>
      </c>
      <c r="AD61" s="40" t="str">
        <f aca="false">IF($B61="","",IF(AND(OR(ABSENSI!$H$10="",$F61=ABSENSI!$H$10),OR(ABSENSI!$H$11="",$G61=ABSENSI!$H$11),OR(ABSENSI!$H$12="",$P61=ABSENSI!$H$12)),MAX($AD$3:AD60)+1,""))</f>
        <v/>
      </c>
      <c r="AE61" s="40" t="str">
        <f aca="false">IF($B61="","",IF(AND(OR(KARTU!$K$6="",$F61=KARTU!$K$6),OR(KARTU!$K$7="",$G61=KARTU!$K$7),OR(KARTU!$K$8="",$P61=KARTU!$K$8)),MAX($AE$3:AE60)+1,""))</f>
        <v/>
      </c>
    </row>
    <row r="62" customFormat="false" ht="15" hidden="false" customHeight="false" outlineLevel="0" collapsed="false">
      <c r="A62" s="35" t="str">
        <f aca="false">IF($B62="","",COUNTA($B$4:$B62))</f>
        <v/>
      </c>
      <c r="B62" s="36"/>
      <c r="C62" s="37"/>
      <c r="D62" s="37"/>
      <c r="E62" s="38"/>
      <c r="F62" s="36"/>
      <c r="G62" s="39"/>
      <c r="H62" s="39"/>
      <c r="I62" s="36"/>
      <c r="J62" s="36"/>
      <c r="K62" s="36"/>
      <c r="L62" s="36"/>
      <c r="M62" s="40" t="str">
        <f aca="false">IF($F62="","",$F62&amp;IF($G62="",""," - RT "&amp;$G62&amp;IF($H62="","","/"&amp;$H62)))</f>
        <v/>
      </c>
      <c r="N62" s="36"/>
      <c r="O62" s="37"/>
      <c r="P62" s="39"/>
      <c r="Q62" s="41"/>
      <c r="R62" s="35" t="str">
        <f aca="true">IF(OR($B62="",$Q62=""),"",DATEDIF($Q62,TODAY(),"Y"))</f>
        <v/>
      </c>
      <c r="S62" s="40" t="str">
        <f aca="false">IF($R62="","",INDEX(usia_label,MATCH($R62,usia_min,1)))</f>
        <v/>
      </c>
      <c r="T62" s="36"/>
      <c r="U62" s="41"/>
      <c r="V62" s="36"/>
      <c r="W62" s="36"/>
      <c r="X62" s="40" t="str">
        <f aca="false">IF($M62="","",$M62&amp;"#"&amp;COUNTIF($M$4:$M62,$M62))</f>
        <v/>
      </c>
      <c r="Y62" s="40" t="str">
        <f aca="false">IF($B62="","",IF($C62="","NIK kosong",IF(LEN($C62)&lt;&gt;16,"NIK bukan 16 digit",IF(COUNTIF($C$4:$C$2003,$C62&amp;"*")&gt;1,"NIK ganda",IF(AND($D62&lt;&gt;"",LEN($D62)&lt;&gt;16),"No. KK bukan 16 digit",IF(AND($F62="",$I62=""),"Alamat kosong",IF($N62="","Jabatan kosong",IF($O62="","No. HP kosong",IF(AND($R62&lt;&gt;"",$R62&lt;17),"Usia di bawah 17","")))))))))</f>
        <v/>
      </c>
      <c r="Z62" s="40" t="str">
        <f aca="false">IF($B62="","",IF(AND(OR(CARI!$C$5="",ISNUMBER(SEARCH(CARI!$C$5,$B62&amp;" "&amp;$C62&amp;" "&amp;$D62&amp;" "&amp;$O62&amp;" "&amp;$I62&amp;" "&amp;$F62&amp;" "&amp;$J62&amp;" "&amp;$K62&amp;" "&amp;$L62&amp;" "&amp;$V62))),OR(CARI!$C$6="",$F62=CARI!$C$6),OR(CARI!$C$7="",$G62=CARI!$C$7),OR(CARI!$C$8="",$T62=CARI!$C$8)),MAX($Z$3:Z61)+1,""))</f>
        <v/>
      </c>
      <c r="AA62" s="40" t="str">
        <f aca="false">IF($Y62="","",MAX($AA$3:AA61)+1)</f>
        <v/>
      </c>
      <c r="AB62" s="40" t="str">
        <f aca="false">IF($F62="","",$F62&amp;"#"&amp;COUNTIF($F$4:$F62,$F62))</f>
        <v/>
      </c>
      <c r="AC62" s="40" t="str">
        <f aca="false">IF($B62="","",IF(AND(OR(CETAK!$J$10="",$F62=CETAK!$J$10),OR(CETAK!$J$11="",$G62=CETAK!$J$11),OR(CETAK!$J$12="",$P62=CETAK!$J$12),OR(CETAK!$J$13="",$N62=CETAK!$J$13),OR(CETAK!$J$14="",$T62=CETAK!$J$14)),MAX($AC$3:AC61)+1,""))</f>
        <v/>
      </c>
      <c r="AD62" s="40" t="str">
        <f aca="false">IF($B62="","",IF(AND(OR(ABSENSI!$H$10="",$F62=ABSENSI!$H$10),OR(ABSENSI!$H$11="",$G62=ABSENSI!$H$11),OR(ABSENSI!$H$12="",$P62=ABSENSI!$H$12)),MAX($AD$3:AD61)+1,""))</f>
        <v/>
      </c>
      <c r="AE62" s="40" t="str">
        <f aca="false">IF($B62="","",IF(AND(OR(KARTU!$K$6="",$F62=KARTU!$K$6),OR(KARTU!$K$7="",$G62=KARTU!$K$7),OR(KARTU!$K$8="",$P62=KARTU!$K$8)),MAX($AE$3:AE61)+1,""))</f>
        <v/>
      </c>
    </row>
    <row r="63" customFormat="false" ht="15" hidden="false" customHeight="false" outlineLevel="0" collapsed="false">
      <c r="A63" s="35" t="str">
        <f aca="false">IF($B63="","",COUNTA($B$4:$B63))</f>
        <v/>
      </c>
      <c r="B63" s="36"/>
      <c r="C63" s="37"/>
      <c r="D63" s="37"/>
      <c r="E63" s="38"/>
      <c r="F63" s="36"/>
      <c r="G63" s="39"/>
      <c r="H63" s="39"/>
      <c r="I63" s="36"/>
      <c r="J63" s="36"/>
      <c r="K63" s="36"/>
      <c r="L63" s="36"/>
      <c r="M63" s="40" t="str">
        <f aca="false">IF($F63="","",$F63&amp;IF($G63="",""," - RT "&amp;$G63&amp;IF($H63="","","/"&amp;$H63)))</f>
        <v/>
      </c>
      <c r="N63" s="36"/>
      <c r="O63" s="37"/>
      <c r="P63" s="39"/>
      <c r="Q63" s="41"/>
      <c r="R63" s="35" t="str">
        <f aca="true">IF(OR($B63="",$Q63=""),"",DATEDIF($Q63,TODAY(),"Y"))</f>
        <v/>
      </c>
      <c r="S63" s="40" t="str">
        <f aca="false">IF($R63="","",INDEX(usia_label,MATCH($R63,usia_min,1)))</f>
        <v/>
      </c>
      <c r="T63" s="36"/>
      <c r="U63" s="41"/>
      <c r="V63" s="36"/>
      <c r="W63" s="36"/>
      <c r="X63" s="40" t="str">
        <f aca="false">IF($M63="","",$M63&amp;"#"&amp;COUNTIF($M$4:$M63,$M63))</f>
        <v/>
      </c>
      <c r="Y63" s="40" t="str">
        <f aca="false">IF($B63="","",IF($C63="","NIK kosong",IF(LEN($C63)&lt;&gt;16,"NIK bukan 16 digit",IF(COUNTIF($C$4:$C$2003,$C63&amp;"*")&gt;1,"NIK ganda",IF(AND($D63&lt;&gt;"",LEN($D63)&lt;&gt;16),"No. KK bukan 16 digit",IF(AND($F63="",$I63=""),"Alamat kosong",IF($N63="","Jabatan kosong",IF($O63="","No. HP kosong",IF(AND($R63&lt;&gt;"",$R63&lt;17),"Usia di bawah 17","")))))))))</f>
        <v/>
      </c>
      <c r="Z63" s="40" t="str">
        <f aca="false">IF($B63="","",IF(AND(OR(CARI!$C$5="",ISNUMBER(SEARCH(CARI!$C$5,$B63&amp;" "&amp;$C63&amp;" "&amp;$D63&amp;" "&amp;$O63&amp;" "&amp;$I63&amp;" "&amp;$F63&amp;" "&amp;$J63&amp;" "&amp;$K63&amp;" "&amp;$L63&amp;" "&amp;$V63))),OR(CARI!$C$6="",$F63=CARI!$C$6),OR(CARI!$C$7="",$G63=CARI!$C$7),OR(CARI!$C$8="",$T63=CARI!$C$8)),MAX($Z$3:Z62)+1,""))</f>
        <v/>
      </c>
      <c r="AA63" s="40" t="str">
        <f aca="false">IF($Y63="","",MAX($AA$3:AA62)+1)</f>
        <v/>
      </c>
      <c r="AB63" s="40" t="str">
        <f aca="false">IF($F63="","",$F63&amp;"#"&amp;COUNTIF($F$4:$F63,$F63))</f>
        <v/>
      </c>
      <c r="AC63" s="40" t="str">
        <f aca="false">IF($B63="","",IF(AND(OR(CETAK!$J$10="",$F63=CETAK!$J$10),OR(CETAK!$J$11="",$G63=CETAK!$J$11),OR(CETAK!$J$12="",$P63=CETAK!$J$12),OR(CETAK!$J$13="",$N63=CETAK!$J$13),OR(CETAK!$J$14="",$T63=CETAK!$J$14)),MAX($AC$3:AC62)+1,""))</f>
        <v/>
      </c>
      <c r="AD63" s="40" t="str">
        <f aca="false">IF($B63="","",IF(AND(OR(ABSENSI!$H$10="",$F63=ABSENSI!$H$10),OR(ABSENSI!$H$11="",$G63=ABSENSI!$H$11),OR(ABSENSI!$H$12="",$P63=ABSENSI!$H$12)),MAX($AD$3:AD62)+1,""))</f>
        <v/>
      </c>
      <c r="AE63" s="40" t="str">
        <f aca="false">IF($B63="","",IF(AND(OR(KARTU!$K$6="",$F63=KARTU!$K$6),OR(KARTU!$K$7="",$G63=KARTU!$K$7),OR(KARTU!$K$8="",$P63=KARTU!$K$8)),MAX($AE$3:AE62)+1,""))</f>
        <v/>
      </c>
    </row>
    <row r="64" customFormat="false" ht="15" hidden="false" customHeight="false" outlineLevel="0" collapsed="false">
      <c r="A64" s="35" t="str">
        <f aca="false">IF($B64="","",COUNTA($B$4:$B64))</f>
        <v/>
      </c>
      <c r="B64" s="36"/>
      <c r="C64" s="37"/>
      <c r="D64" s="37"/>
      <c r="E64" s="38"/>
      <c r="F64" s="36"/>
      <c r="G64" s="39"/>
      <c r="H64" s="39"/>
      <c r="I64" s="36"/>
      <c r="J64" s="36"/>
      <c r="K64" s="36"/>
      <c r="L64" s="36"/>
      <c r="M64" s="40" t="str">
        <f aca="false">IF($F64="","",$F64&amp;IF($G64="",""," - RT "&amp;$G64&amp;IF($H64="","","/"&amp;$H64)))</f>
        <v/>
      </c>
      <c r="N64" s="36"/>
      <c r="O64" s="37"/>
      <c r="P64" s="39"/>
      <c r="Q64" s="41"/>
      <c r="R64" s="35" t="str">
        <f aca="true">IF(OR($B64="",$Q64=""),"",DATEDIF($Q64,TODAY(),"Y"))</f>
        <v/>
      </c>
      <c r="S64" s="40" t="str">
        <f aca="false">IF($R64="","",INDEX(usia_label,MATCH($R64,usia_min,1)))</f>
        <v/>
      </c>
      <c r="T64" s="36"/>
      <c r="U64" s="41"/>
      <c r="V64" s="36"/>
      <c r="W64" s="36"/>
      <c r="X64" s="40" t="str">
        <f aca="false">IF($M64="","",$M64&amp;"#"&amp;COUNTIF($M$4:$M64,$M64))</f>
        <v/>
      </c>
      <c r="Y64" s="40" t="str">
        <f aca="false">IF($B64="","",IF($C64="","NIK kosong",IF(LEN($C64)&lt;&gt;16,"NIK bukan 16 digit",IF(COUNTIF($C$4:$C$2003,$C64&amp;"*")&gt;1,"NIK ganda",IF(AND($D64&lt;&gt;"",LEN($D64)&lt;&gt;16),"No. KK bukan 16 digit",IF(AND($F64="",$I64=""),"Alamat kosong",IF($N64="","Jabatan kosong",IF($O64="","No. HP kosong",IF(AND($R64&lt;&gt;"",$R64&lt;17),"Usia di bawah 17","")))))))))</f>
        <v/>
      </c>
      <c r="Z64" s="40" t="str">
        <f aca="false">IF($B64="","",IF(AND(OR(CARI!$C$5="",ISNUMBER(SEARCH(CARI!$C$5,$B64&amp;" "&amp;$C64&amp;" "&amp;$D64&amp;" "&amp;$O64&amp;" "&amp;$I64&amp;" "&amp;$F64&amp;" "&amp;$J64&amp;" "&amp;$K64&amp;" "&amp;$L64&amp;" "&amp;$V64))),OR(CARI!$C$6="",$F64=CARI!$C$6),OR(CARI!$C$7="",$G64=CARI!$C$7),OR(CARI!$C$8="",$T64=CARI!$C$8)),MAX($Z$3:Z63)+1,""))</f>
        <v/>
      </c>
      <c r="AA64" s="40" t="str">
        <f aca="false">IF($Y64="","",MAX($AA$3:AA63)+1)</f>
        <v/>
      </c>
      <c r="AB64" s="40" t="str">
        <f aca="false">IF($F64="","",$F64&amp;"#"&amp;COUNTIF($F$4:$F64,$F64))</f>
        <v/>
      </c>
      <c r="AC64" s="40" t="str">
        <f aca="false">IF($B64="","",IF(AND(OR(CETAK!$J$10="",$F64=CETAK!$J$10),OR(CETAK!$J$11="",$G64=CETAK!$J$11),OR(CETAK!$J$12="",$P64=CETAK!$J$12),OR(CETAK!$J$13="",$N64=CETAK!$J$13),OR(CETAK!$J$14="",$T64=CETAK!$J$14)),MAX($AC$3:AC63)+1,""))</f>
        <v/>
      </c>
      <c r="AD64" s="40" t="str">
        <f aca="false">IF($B64="","",IF(AND(OR(ABSENSI!$H$10="",$F64=ABSENSI!$H$10),OR(ABSENSI!$H$11="",$G64=ABSENSI!$H$11),OR(ABSENSI!$H$12="",$P64=ABSENSI!$H$12)),MAX($AD$3:AD63)+1,""))</f>
        <v/>
      </c>
      <c r="AE64" s="40" t="str">
        <f aca="false">IF($B64="","",IF(AND(OR(KARTU!$K$6="",$F64=KARTU!$K$6),OR(KARTU!$K$7="",$G64=KARTU!$K$7),OR(KARTU!$K$8="",$P64=KARTU!$K$8)),MAX($AE$3:AE63)+1,""))</f>
        <v/>
      </c>
    </row>
    <row r="65" customFormat="false" ht="15" hidden="false" customHeight="false" outlineLevel="0" collapsed="false">
      <c r="A65" s="35" t="str">
        <f aca="false">IF($B65="","",COUNTA($B$4:$B65))</f>
        <v/>
      </c>
      <c r="B65" s="36"/>
      <c r="C65" s="37"/>
      <c r="D65" s="37"/>
      <c r="E65" s="38"/>
      <c r="F65" s="36"/>
      <c r="G65" s="39"/>
      <c r="H65" s="39"/>
      <c r="I65" s="36"/>
      <c r="J65" s="36"/>
      <c r="K65" s="36"/>
      <c r="L65" s="36"/>
      <c r="M65" s="40" t="str">
        <f aca="false">IF($F65="","",$F65&amp;IF($G65="",""," - RT "&amp;$G65&amp;IF($H65="","","/"&amp;$H65)))</f>
        <v/>
      </c>
      <c r="N65" s="36"/>
      <c r="O65" s="37"/>
      <c r="P65" s="39"/>
      <c r="Q65" s="41"/>
      <c r="R65" s="35" t="str">
        <f aca="true">IF(OR($B65="",$Q65=""),"",DATEDIF($Q65,TODAY(),"Y"))</f>
        <v/>
      </c>
      <c r="S65" s="40" t="str">
        <f aca="false">IF($R65="","",INDEX(usia_label,MATCH($R65,usia_min,1)))</f>
        <v/>
      </c>
      <c r="T65" s="36"/>
      <c r="U65" s="41"/>
      <c r="V65" s="36"/>
      <c r="W65" s="36"/>
      <c r="X65" s="40" t="str">
        <f aca="false">IF($M65="","",$M65&amp;"#"&amp;COUNTIF($M$4:$M65,$M65))</f>
        <v/>
      </c>
      <c r="Y65" s="40" t="str">
        <f aca="false">IF($B65="","",IF($C65="","NIK kosong",IF(LEN($C65)&lt;&gt;16,"NIK bukan 16 digit",IF(COUNTIF($C$4:$C$2003,$C65&amp;"*")&gt;1,"NIK ganda",IF(AND($D65&lt;&gt;"",LEN($D65)&lt;&gt;16),"No. KK bukan 16 digit",IF(AND($F65="",$I65=""),"Alamat kosong",IF($N65="","Jabatan kosong",IF($O65="","No. HP kosong",IF(AND($R65&lt;&gt;"",$R65&lt;17),"Usia di bawah 17","")))))))))</f>
        <v/>
      </c>
      <c r="Z65" s="40" t="str">
        <f aca="false">IF($B65="","",IF(AND(OR(CARI!$C$5="",ISNUMBER(SEARCH(CARI!$C$5,$B65&amp;" "&amp;$C65&amp;" "&amp;$D65&amp;" "&amp;$O65&amp;" "&amp;$I65&amp;" "&amp;$F65&amp;" "&amp;$J65&amp;" "&amp;$K65&amp;" "&amp;$L65&amp;" "&amp;$V65))),OR(CARI!$C$6="",$F65=CARI!$C$6),OR(CARI!$C$7="",$G65=CARI!$C$7),OR(CARI!$C$8="",$T65=CARI!$C$8)),MAX($Z$3:Z64)+1,""))</f>
        <v/>
      </c>
      <c r="AA65" s="40" t="str">
        <f aca="false">IF($Y65="","",MAX($AA$3:AA64)+1)</f>
        <v/>
      </c>
      <c r="AB65" s="40" t="str">
        <f aca="false">IF($F65="","",$F65&amp;"#"&amp;COUNTIF($F$4:$F65,$F65))</f>
        <v/>
      </c>
      <c r="AC65" s="40" t="str">
        <f aca="false">IF($B65="","",IF(AND(OR(CETAK!$J$10="",$F65=CETAK!$J$10),OR(CETAK!$J$11="",$G65=CETAK!$J$11),OR(CETAK!$J$12="",$P65=CETAK!$J$12),OR(CETAK!$J$13="",$N65=CETAK!$J$13),OR(CETAK!$J$14="",$T65=CETAK!$J$14)),MAX($AC$3:AC64)+1,""))</f>
        <v/>
      </c>
      <c r="AD65" s="40" t="str">
        <f aca="false">IF($B65="","",IF(AND(OR(ABSENSI!$H$10="",$F65=ABSENSI!$H$10),OR(ABSENSI!$H$11="",$G65=ABSENSI!$H$11),OR(ABSENSI!$H$12="",$P65=ABSENSI!$H$12)),MAX($AD$3:AD64)+1,""))</f>
        <v/>
      </c>
      <c r="AE65" s="40" t="str">
        <f aca="false">IF($B65="","",IF(AND(OR(KARTU!$K$6="",$F65=KARTU!$K$6),OR(KARTU!$K$7="",$G65=KARTU!$K$7),OR(KARTU!$K$8="",$P65=KARTU!$K$8)),MAX($AE$3:AE64)+1,""))</f>
        <v/>
      </c>
    </row>
    <row r="66" customFormat="false" ht="15" hidden="false" customHeight="false" outlineLevel="0" collapsed="false">
      <c r="A66" s="35" t="str">
        <f aca="false">IF($B66="","",COUNTA($B$4:$B66))</f>
        <v/>
      </c>
      <c r="B66" s="36"/>
      <c r="C66" s="37"/>
      <c r="D66" s="37"/>
      <c r="E66" s="38"/>
      <c r="F66" s="36"/>
      <c r="G66" s="39"/>
      <c r="H66" s="39"/>
      <c r="I66" s="36"/>
      <c r="J66" s="36"/>
      <c r="K66" s="36"/>
      <c r="L66" s="36"/>
      <c r="M66" s="40" t="str">
        <f aca="false">IF($F66="","",$F66&amp;IF($G66="",""," - RT "&amp;$G66&amp;IF($H66="","","/"&amp;$H66)))</f>
        <v/>
      </c>
      <c r="N66" s="36"/>
      <c r="O66" s="37"/>
      <c r="P66" s="39"/>
      <c r="Q66" s="41"/>
      <c r="R66" s="35" t="str">
        <f aca="true">IF(OR($B66="",$Q66=""),"",DATEDIF($Q66,TODAY(),"Y"))</f>
        <v/>
      </c>
      <c r="S66" s="40" t="str">
        <f aca="false">IF($R66="","",INDEX(usia_label,MATCH($R66,usia_min,1)))</f>
        <v/>
      </c>
      <c r="T66" s="36"/>
      <c r="U66" s="41"/>
      <c r="V66" s="36"/>
      <c r="W66" s="36"/>
      <c r="X66" s="40" t="str">
        <f aca="false">IF($M66="","",$M66&amp;"#"&amp;COUNTIF($M$4:$M66,$M66))</f>
        <v/>
      </c>
      <c r="Y66" s="40" t="str">
        <f aca="false">IF($B66="","",IF($C66="","NIK kosong",IF(LEN($C66)&lt;&gt;16,"NIK bukan 16 digit",IF(COUNTIF($C$4:$C$2003,$C66&amp;"*")&gt;1,"NIK ganda",IF(AND($D66&lt;&gt;"",LEN($D66)&lt;&gt;16),"No. KK bukan 16 digit",IF(AND($F66="",$I66=""),"Alamat kosong",IF($N66="","Jabatan kosong",IF($O66="","No. HP kosong",IF(AND($R66&lt;&gt;"",$R66&lt;17),"Usia di bawah 17","")))))))))</f>
        <v/>
      </c>
      <c r="Z66" s="40" t="str">
        <f aca="false">IF($B66="","",IF(AND(OR(CARI!$C$5="",ISNUMBER(SEARCH(CARI!$C$5,$B66&amp;" "&amp;$C66&amp;" "&amp;$D66&amp;" "&amp;$O66&amp;" "&amp;$I66&amp;" "&amp;$F66&amp;" "&amp;$J66&amp;" "&amp;$K66&amp;" "&amp;$L66&amp;" "&amp;$V66))),OR(CARI!$C$6="",$F66=CARI!$C$6),OR(CARI!$C$7="",$G66=CARI!$C$7),OR(CARI!$C$8="",$T66=CARI!$C$8)),MAX($Z$3:Z65)+1,""))</f>
        <v/>
      </c>
      <c r="AA66" s="40" t="str">
        <f aca="false">IF($Y66="","",MAX($AA$3:AA65)+1)</f>
        <v/>
      </c>
      <c r="AB66" s="40" t="str">
        <f aca="false">IF($F66="","",$F66&amp;"#"&amp;COUNTIF($F$4:$F66,$F66))</f>
        <v/>
      </c>
      <c r="AC66" s="40" t="str">
        <f aca="false">IF($B66="","",IF(AND(OR(CETAK!$J$10="",$F66=CETAK!$J$10),OR(CETAK!$J$11="",$G66=CETAK!$J$11),OR(CETAK!$J$12="",$P66=CETAK!$J$12),OR(CETAK!$J$13="",$N66=CETAK!$J$13),OR(CETAK!$J$14="",$T66=CETAK!$J$14)),MAX($AC$3:AC65)+1,""))</f>
        <v/>
      </c>
      <c r="AD66" s="40" t="str">
        <f aca="false">IF($B66="","",IF(AND(OR(ABSENSI!$H$10="",$F66=ABSENSI!$H$10),OR(ABSENSI!$H$11="",$G66=ABSENSI!$H$11),OR(ABSENSI!$H$12="",$P66=ABSENSI!$H$12)),MAX($AD$3:AD65)+1,""))</f>
        <v/>
      </c>
      <c r="AE66" s="40" t="str">
        <f aca="false">IF($B66="","",IF(AND(OR(KARTU!$K$6="",$F66=KARTU!$K$6),OR(KARTU!$K$7="",$G66=KARTU!$K$7),OR(KARTU!$K$8="",$P66=KARTU!$K$8)),MAX($AE$3:AE65)+1,""))</f>
        <v/>
      </c>
    </row>
    <row r="67" customFormat="false" ht="15" hidden="false" customHeight="false" outlineLevel="0" collapsed="false">
      <c r="A67" s="35" t="str">
        <f aca="false">IF($B67="","",COUNTA($B$4:$B67))</f>
        <v/>
      </c>
      <c r="B67" s="36"/>
      <c r="C67" s="37"/>
      <c r="D67" s="37"/>
      <c r="E67" s="38"/>
      <c r="F67" s="36"/>
      <c r="G67" s="39"/>
      <c r="H67" s="39"/>
      <c r="I67" s="36"/>
      <c r="J67" s="36"/>
      <c r="K67" s="36"/>
      <c r="L67" s="36"/>
      <c r="M67" s="40" t="str">
        <f aca="false">IF($F67="","",$F67&amp;IF($G67="",""," - RT "&amp;$G67&amp;IF($H67="","","/"&amp;$H67)))</f>
        <v/>
      </c>
      <c r="N67" s="36"/>
      <c r="O67" s="37"/>
      <c r="P67" s="39"/>
      <c r="Q67" s="41"/>
      <c r="R67" s="35" t="str">
        <f aca="true">IF(OR($B67="",$Q67=""),"",DATEDIF($Q67,TODAY(),"Y"))</f>
        <v/>
      </c>
      <c r="S67" s="40" t="str">
        <f aca="false">IF($R67="","",INDEX(usia_label,MATCH($R67,usia_min,1)))</f>
        <v/>
      </c>
      <c r="T67" s="36"/>
      <c r="U67" s="41"/>
      <c r="V67" s="36"/>
      <c r="W67" s="36"/>
      <c r="X67" s="40" t="str">
        <f aca="false">IF($M67="","",$M67&amp;"#"&amp;COUNTIF($M$4:$M67,$M67))</f>
        <v/>
      </c>
      <c r="Y67" s="40" t="str">
        <f aca="false">IF($B67="","",IF($C67="","NIK kosong",IF(LEN($C67)&lt;&gt;16,"NIK bukan 16 digit",IF(COUNTIF($C$4:$C$2003,$C67&amp;"*")&gt;1,"NIK ganda",IF(AND($D67&lt;&gt;"",LEN($D67)&lt;&gt;16),"No. KK bukan 16 digit",IF(AND($F67="",$I67=""),"Alamat kosong",IF($N67="","Jabatan kosong",IF($O67="","No. HP kosong",IF(AND($R67&lt;&gt;"",$R67&lt;17),"Usia di bawah 17","")))))))))</f>
        <v/>
      </c>
      <c r="Z67" s="40" t="str">
        <f aca="false">IF($B67="","",IF(AND(OR(CARI!$C$5="",ISNUMBER(SEARCH(CARI!$C$5,$B67&amp;" "&amp;$C67&amp;" "&amp;$D67&amp;" "&amp;$O67&amp;" "&amp;$I67&amp;" "&amp;$F67&amp;" "&amp;$J67&amp;" "&amp;$K67&amp;" "&amp;$L67&amp;" "&amp;$V67))),OR(CARI!$C$6="",$F67=CARI!$C$6),OR(CARI!$C$7="",$G67=CARI!$C$7),OR(CARI!$C$8="",$T67=CARI!$C$8)),MAX($Z$3:Z66)+1,""))</f>
        <v/>
      </c>
      <c r="AA67" s="40" t="str">
        <f aca="false">IF($Y67="","",MAX($AA$3:AA66)+1)</f>
        <v/>
      </c>
      <c r="AB67" s="40" t="str">
        <f aca="false">IF($F67="","",$F67&amp;"#"&amp;COUNTIF($F$4:$F67,$F67))</f>
        <v/>
      </c>
      <c r="AC67" s="40" t="str">
        <f aca="false">IF($B67="","",IF(AND(OR(CETAK!$J$10="",$F67=CETAK!$J$10),OR(CETAK!$J$11="",$G67=CETAK!$J$11),OR(CETAK!$J$12="",$P67=CETAK!$J$12),OR(CETAK!$J$13="",$N67=CETAK!$J$13),OR(CETAK!$J$14="",$T67=CETAK!$J$14)),MAX($AC$3:AC66)+1,""))</f>
        <v/>
      </c>
      <c r="AD67" s="40" t="str">
        <f aca="false">IF($B67="","",IF(AND(OR(ABSENSI!$H$10="",$F67=ABSENSI!$H$10),OR(ABSENSI!$H$11="",$G67=ABSENSI!$H$11),OR(ABSENSI!$H$12="",$P67=ABSENSI!$H$12)),MAX($AD$3:AD66)+1,""))</f>
        <v/>
      </c>
      <c r="AE67" s="40" t="str">
        <f aca="false">IF($B67="","",IF(AND(OR(KARTU!$K$6="",$F67=KARTU!$K$6),OR(KARTU!$K$7="",$G67=KARTU!$K$7),OR(KARTU!$K$8="",$P67=KARTU!$K$8)),MAX($AE$3:AE66)+1,""))</f>
        <v/>
      </c>
    </row>
    <row r="68" customFormat="false" ht="15" hidden="false" customHeight="false" outlineLevel="0" collapsed="false">
      <c r="A68" s="35" t="str">
        <f aca="false">IF($B68="","",COUNTA($B$4:$B68))</f>
        <v/>
      </c>
      <c r="B68" s="36"/>
      <c r="C68" s="37"/>
      <c r="D68" s="37"/>
      <c r="E68" s="38"/>
      <c r="F68" s="36"/>
      <c r="G68" s="39"/>
      <c r="H68" s="39"/>
      <c r="I68" s="36"/>
      <c r="J68" s="36"/>
      <c r="K68" s="36"/>
      <c r="L68" s="36"/>
      <c r="M68" s="40" t="str">
        <f aca="false">IF($F68="","",$F68&amp;IF($G68="",""," - RT "&amp;$G68&amp;IF($H68="","","/"&amp;$H68)))</f>
        <v/>
      </c>
      <c r="N68" s="36"/>
      <c r="O68" s="37"/>
      <c r="P68" s="39"/>
      <c r="Q68" s="41"/>
      <c r="R68" s="35" t="str">
        <f aca="true">IF(OR($B68="",$Q68=""),"",DATEDIF($Q68,TODAY(),"Y"))</f>
        <v/>
      </c>
      <c r="S68" s="40" t="str">
        <f aca="false">IF($R68="","",INDEX(usia_label,MATCH($R68,usia_min,1)))</f>
        <v/>
      </c>
      <c r="T68" s="36"/>
      <c r="U68" s="41"/>
      <c r="V68" s="36"/>
      <c r="W68" s="36"/>
      <c r="X68" s="40" t="str">
        <f aca="false">IF($M68="","",$M68&amp;"#"&amp;COUNTIF($M$4:$M68,$M68))</f>
        <v/>
      </c>
      <c r="Y68" s="40" t="str">
        <f aca="false">IF($B68="","",IF($C68="","NIK kosong",IF(LEN($C68)&lt;&gt;16,"NIK bukan 16 digit",IF(COUNTIF($C$4:$C$2003,$C68&amp;"*")&gt;1,"NIK ganda",IF(AND($D68&lt;&gt;"",LEN($D68)&lt;&gt;16),"No. KK bukan 16 digit",IF(AND($F68="",$I68=""),"Alamat kosong",IF($N68="","Jabatan kosong",IF($O68="","No. HP kosong",IF(AND($R68&lt;&gt;"",$R68&lt;17),"Usia di bawah 17","")))))))))</f>
        <v/>
      </c>
      <c r="Z68" s="40" t="str">
        <f aca="false">IF($B68="","",IF(AND(OR(CARI!$C$5="",ISNUMBER(SEARCH(CARI!$C$5,$B68&amp;" "&amp;$C68&amp;" "&amp;$D68&amp;" "&amp;$O68&amp;" "&amp;$I68&amp;" "&amp;$F68&amp;" "&amp;$J68&amp;" "&amp;$K68&amp;" "&amp;$L68&amp;" "&amp;$V68))),OR(CARI!$C$6="",$F68=CARI!$C$6),OR(CARI!$C$7="",$G68=CARI!$C$7),OR(CARI!$C$8="",$T68=CARI!$C$8)),MAX($Z$3:Z67)+1,""))</f>
        <v/>
      </c>
      <c r="AA68" s="40" t="str">
        <f aca="false">IF($Y68="","",MAX($AA$3:AA67)+1)</f>
        <v/>
      </c>
      <c r="AB68" s="40" t="str">
        <f aca="false">IF($F68="","",$F68&amp;"#"&amp;COUNTIF($F$4:$F68,$F68))</f>
        <v/>
      </c>
      <c r="AC68" s="40" t="str">
        <f aca="false">IF($B68="","",IF(AND(OR(CETAK!$J$10="",$F68=CETAK!$J$10),OR(CETAK!$J$11="",$G68=CETAK!$J$11),OR(CETAK!$J$12="",$P68=CETAK!$J$12),OR(CETAK!$J$13="",$N68=CETAK!$J$13),OR(CETAK!$J$14="",$T68=CETAK!$J$14)),MAX($AC$3:AC67)+1,""))</f>
        <v/>
      </c>
      <c r="AD68" s="40" t="str">
        <f aca="false">IF($B68="","",IF(AND(OR(ABSENSI!$H$10="",$F68=ABSENSI!$H$10),OR(ABSENSI!$H$11="",$G68=ABSENSI!$H$11),OR(ABSENSI!$H$12="",$P68=ABSENSI!$H$12)),MAX($AD$3:AD67)+1,""))</f>
        <v/>
      </c>
      <c r="AE68" s="40" t="str">
        <f aca="false">IF($B68="","",IF(AND(OR(KARTU!$K$6="",$F68=KARTU!$K$6),OR(KARTU!$K$7="",$G68=KARTU!$K$7),OR(KARTU!$K$8="",$P68=KARTU!$K$8)),MAX($AE$3:AE67)+1,""))</f>
        <v/>
      </c>
    </row>
    <row r="69" customFormat="false" ht="15" hidden="false" customHeight="false" outlineLevel="0" collapsed="false">
      <c r="A69" s="35" t="str">
        <f aca="false">IF($B69="","",COUNTA($B$4:$B69))</f>
        <v/>
      </c>
      <c r="B69" s="36"/>
      <c r="C69" s="37"/>
      <c r="D69" s="37"/>
      <c r="E69" s="38"/>
      <c r="F69" s="36"/>
      <c r="G69" s="39"/>
      <c r="H69" s="39"/>
      <c r="I69" s="36"/>
      <c r="J69" s="36"/>
      <c r="K69" s="36"/>
      <c r="L69" s="36"/>
      <c r="M69" s="40" t="str">
        <f aca="false">IF($F69="","",$F69&amp;IF($G69="",""," - RT "&amp;$G69&amp;IF($H69="","","/"&amp;$H69)))</f>
        <v/>
      </c>
      <c r="N69" s="36"/>
      <c r="O69" s="37"/>
      <c r="P69" s="39"/>
      <c r="Q69" s="41"/>
      <c r="R69" s="35" t="str">
        <f aca="true">IF(OR($B69="",$Q69=""),"",DATEDIF($Q69,TODAY(),"Y"))</f>
        <v/>
      </c>
      <c r="S69" s="40" t="str">
        <f aca="false">IF($R69="","",INDEX(usia_label,MATCH($R69,usia_min,1)))</f>
        <v/>
      </c>
      <c r="T69" s="36"/>
      <c r="U69" s="41"/>
      <c r="V69" s="36"/>
      <c r="W69" s="36"/>
      <c r="X69" s="40" t="str">
        <f aca="false">IF($M69="","",$M69&amp;"#"&amp;COUNTIF($M$4:$M69,$M69))</f>
        <v/>
      </c>
      <c r="Y69" s="40" t="str">
        <f aca="false">IF($B69="","",IF($C69="","NIK kosong",IF(LEN($C69)&lt;&gt;16,"NIK bukan 16 digit",IF(COUNTIF($C$4:$C$2003,$C69&amp;"*")&gt;1,"NIK ganda",IF(AND($D69&lt;&gt;"",LEN($D69)&lt;&gt;16),"No. KK bukan 16 digit",IF(AND($F69="",$I69=""),"Alamat kosong",IF($N69="","Jabatan kosong",IF($O69="","No. HP kosong",IF(AND($R69&lt;&gt;"",$R69&lt;17),"Usia di bawah 17","")))))))))</f>
        <v/>
      </c>
      <c r="Z69" s="40" t="str">
        <f aca="false">IF($B69="","",IF(AND(OR(CARI!$C$5="",ISNUMBER(SEARCH(CARI!$C$5,$B69&amp;" "&amp;$C69&amp;" "&amp;$D69&amp;" "&amp;$O69&amp;" "&amp;$I69&amp;" "&amp;$F69&amp;" "&amp;$J69&amp;" "&amp;$K69&amp;" "&amp;$L69&amp;" "&amp;$V69))),OR(CARI!$C$6="",$F69=CARI!$C$6),OR(CARI!$C$7="",$G69=CARI!$C$7),OR(CARI!$C$8="",$T69=CARI!$C$8)),MAX($Z$3:Z68)+1,""))</f>
        <v/>
      </c>
      <c r="AA69" s="40" t="str">
        <f aca="false">IF($Y69="","",MAX($AA$3:AA68)+1)</f>
        <v/>
      </c>
      <c r="AB69" s="40" t="str">
        <f aca="false">IF($F69="","",$F69&amp;"#"&amp;COUNTIF($F$4:$F69,$F69))</f>
        <v/>
      </c>
      <c r="AC69" s="40" t="str">
        <f aca="false">IF($B69="","",IF(AND(OR(CETAK!$J$10="",$F69=CETAK!$J$10),OR(CETAK!$J$11="",$G69=CETAK!$J$11),OR(CETAK!$J$12="",$P69=CETAK!$J$12),OR(CETAK!$J$13="",$N69=CETAK!$J$13),OR(CETAK!$J$14="",$T69=CETAK!$J$14)),MAX($AC$3:AC68)+1,""))</f>
        <v/>
      </c>
      <c r="AD69" s="40" t="str">
        <f aca="false">IF($B69="","",IF(AND(OR(ABSENSI!$H$10="",$F69=ABSENSI!$H$10),OR(ABSENSI!$H$11="",$G69=ABSENSI!$H$11),OR(ABSENSI!$H$12="",$P69=ABSENSI!$H$12)),MAX($AD$3:AD68)+1,""))</f>
        <v/>
      </c>
      <c r="AE69" s="40" t="str">
        <f aca="false">IF($B69="","",IF(AND(OR(KARTU!$K$6="",$F69=KARTU!$K$6),OR(KARTU!$K$7="",$G69=KARTU!$K$7),OR(KARTU!$K$8="",$P69=KARTU!$K$8)),MAX($AE$3:AE68)+1,""))</f>
        <v/>
      </c>
    </row>
    <row r="70" customFormat="false" ht="15" hidden="false" customHeight="false" outlineLevel="0" collapsed="false">
      <c r="A70" s="35" t="str">
        <f aca="false">IF($B70="","",COUNTA($B$4:$B70))</f>
        <v/>
      </c>
      <c r="B70" s="36"/>
      <c r="C70" s="37"/>
      <c r="D70" s="37"/>
      <c r="E70" s="38"/>
      <c r="F70" s="36"/>
      <c r="G70" s="39"/>
      <c r="H70" s="39"/>
      <c r="I70" s="36"/>
      <c r="J70" s="36"/>
      <c r="K70" s="36"/>
      <c r="L70" s="36"/>
      <c r="M70" s="40" t="str">
        <f aca="false">IF($F70="","",$F70&amp;IF($G70="",""," - RT "&amp;$G70&amp;IF($H70="","","/"&amp;$H70)))</f>
        <v/>
      </c>
      <c r="N70" s="36"/>
      <c r="O70" s="37"/>
      <c r="P70" s="39"/>
      <c r="Q70" s="41"/>
      <c r="R70" s="35" t="str">
        <f aca="true">IF(OR($B70="",$Q70=""),"",DATEDIF($Q70,TODAY(),"Y"))</f>
        <v/>
      </c>
      <c r="S70" s="40" t="str">
        <f aca="false">IF($R70="","",INDEX(usia_label,MATCH($R70,usia_min,1)))</f>
        <v/>
      </c>
      <c r="T70" s="36"/>
      <c r="U70" s="41"/>
      <c r="V70" s="36"/>
      <c r="W70" s="36"/>
      <c r="X70" s="40" t="str">
        <f aca="false">IF($M70="","",$M70&amp;"#"&amp;COUNTIF($M$4:$M70,$M70))</f>
        <v/>
      </c>
      <c r="Y70" s="40" t="str">
        <f aca="false">IF($B70="","",IF($C70="","NIK kosong",IF(LEN($C70)&lt;&gt;16,"NIK bukan 16 digit",IF(COUNTIF($C$4:$C$2003,$C70&amp;"*")&gt;1,"NIK ganda",IF(AND($D70&lt;&gt;"",LEN($D70)&lt;&gt;16),"No. KK bukan 16 digit",IF(AND($F70="",$I70=""),"Alamat kosong",IF($N70="","Jabatan kosong",IF($O70="","No. HP kosong",IF(AND($R70&lt;&gt;"",$R70&lt;17),"Usia di bawah 17","")))))))))</f>
        <v/>
      </c>
      <c r="Z70" s="40" t="str">
        <f aca="false">IF($B70="","",IF(AND(OR(CARI!$C$5="",ISNUMBER(SEARCH(CARI!$C$5,$B70&amp;" "&amp;$C70&amp;" "&amp;$D70&amp;" "&amp;$O70&amp;" "&amp;$I70&amp;" "&amp;$F70&amp;" "&amp;$J70&amp;" "&amp;$K70&amp;" "&amp;$L70&amp;" "&amp;$V70))),OR(CARI!$C$6="",$F70=CARI!$C$6),OR(CARI!$C$7="",$G70=CARI!$C$7),OR(CARI!$C$8="",$T70=CARI!$C$8)),MAX($Z$3:Z69)+1,""))</f>
        <v/>
      </c>
      <c r="AA70" s="40" t="str">
        <f aca="false">IF($Y70="","",MAX($AA$3:AA69)+1)</f>
        <v/>
      </c>
      <c r="AB70" s="40" t="str">
        <f aca="false">IF($F70="","",$F70&amp;"#"&amp;COUNTIF($F$4:$F70,$F70))</f>
        <v/>
      </c>
      <c r="AC70" s="40" t="str">
        <f aca="false">IF($B70="","",IF(AND(OR(CETAK!$J$10="",$F70=CETAK!$J$10),OR(CETAK!$J$11="",$G70=CETAK!$J$11),OR(CETAK!$J$12="",$P70=CETAK!$J$12),OR(CETAK!$J$13="",$N70=CETAK!$J$13),OR(CETAK!$J$14="",$T70=CETAK!$J$14)),MAX($AC$3:AC69)+1,""))</f>
        <v/>
      </c>
      <c r="AD70" s="40" t="str">
        <f aca="false">IF($B70="","",IF(AND(OR(ABSENSI!$H$10="",$F70=ABSENSI!$H$10),OR(ABSENSI!$H$11="",$G70=ABSENSI!$H$11),OR(ABSENSI!$H$12="",$P70=ABSENSI!$H$12)),MAX($AD$3:AD69)+1,""))</f>
        <v/>
      </c>
      <c r="AE70" s="40" t="str">
        <f aca="false">IF($B70="","",IF(AND(OR(KARTU!$K$6="",$F70=KARTU!$K$6),OR(KARTU!$K$7="",$G70=KARTU!$K$7),OR(KARTU!$K$8="",$P70=KARTU!$K$8)),MAX($AE$3:AE69)+1,""))</f>
        <v/>
      </c>
    </row>
    <row r="71" customFormat="false" ht="15" hidden="false" customHeight="false" outlineLevel="0" collapsed="false">
      <c r="A71" s="35" t="str">
        <f aca="false">IF($B71="","",COUNTA($B$4:$B71))</f>
        <v/>
      </c>
      <c r="B71" s="36"/>
      <c r="C71" s="37"/>
      <c r="D71" s="37"/>
      <c r="E71" s="38"/>
      <c r="F71" s="36"/>
      <c r="G71" s="39"/>
      <c r="H71" s="39"/>
      <c r="I71" s="36"/>
      <c r="J71" s="36"/>
      <c r="K71" s="36"/>
      <c r="L71" s="36"/>
      <c r="M71" s="40" t="str">
        <f aca="false">IF($F71="","",$F71&amp;IF($G71="",""," - RT "&amp;$G71&amp;IF($H71="","","/"&amp;$H71)))</f>
        <v/>
      </c>
      <c r="N71" s="36"/>
      <c r="O71" s="37"/>
      <c r="P71" s="39"/>
      <c r="Q71" s="41"/>
      <c r="R71" s="35" t="str">
        <f aca="true">IF(OR($B71="",$Q71=""),"",DATEDIF($Q71,TODAY(),"Y"))</f>
        <v/>
      </c>
      <c r="S71" s="40" t="str">
        <f aca="false">IF($R71="","",INDEX(usia_label,MATCH($R71,usia_min,1)))</f>
        <v/>
      </c>
      <c r="T71" s="36"/>
      <c r="U71" s="41"/>
      <c r="V71" s="36"/>
      <c r="W71" s="36"/>
      <c r="X71" s="40" t="str">
        <f aca="false">IF($M71="","",$M71&amp;"#"&amp;COUNTIF($M$4:$M71,$M71))</f>
        <v/>
      </c>
      <c r="Y71" s="40" t="str">
        <f aca="false">IF($B71="","",IF($C71="","NIK kosong",IF(LEN($C71)&lt;&gt;16,"NIK bukan 16 digit",IF(COUNTIF($C$4:$C$2003,$C71&amp;"*")&gt;1,"NIK ganda",IF(AND($D71&lt;&gt;"",LEN($D71)&lt;&gt;16),"No. KK bukan 16 digit",IF(AND($F71="",$I71=""),"Alamat kosong",IF($N71="","Jabatan kosong",IF($O71="","No. HP kosong",IF(AND($R71&lt;&gt;"",$R71&lt;17),"Usia di bawah 17","")))))))))</f>
        <v/>
      </c>
      <c r="Z71" s="40" t="str">
        <f aca="false">IF($B71="","",IF(AND(OR(CARI!$C$5="",ISNUMBER(SEARCH(CARI!$C$5,$B71&amp;" "&amp;$C71&amp;" "&amp;$D71&amp;" "&amp;$O71&amp;" "&amp;$I71&amp;" "&amp;$F71&amp;" "&amp;$J71&amp;" "&amp;$K71&amp;" "&amp;$L71&amp;" "&amp;$V71))),OR(CARI!$C$6="",$F71=CARI!$C$6),OR(CARI!$C$7="",$G71=CARI!$C$7),OR(CARI!$C$8="",$T71=CARI!$C$8)),MAX($Z$3:Z70)+1,""))</f>
        <v/>
      </c>
      <c r="AA71" s="40" t="str">
        <f aca="false">IF($Y71="","",MAX($AA$3:AA70)+1)</f>
        <v/>
      </c>
      <c r="AB71" s="40" t="str">
        <f aca="false">IF($F71="","",$F71&amp;"#"&amp;COUNTIF($F$4:$F71,$F71))</f>
        <v/>
      </c>
      <c r="AC71" s="40" t="str">
        <f aca="false">IF($B71="","",IF(AND(OR(CETAK!$J$10="",$F71=CETAK!$J$10),OR(CETAK!$J$11="",$G71=CETAK!$J$11),OR(CETAK!$J$12="",$P71=CETAK!$J$12),OR(CETAK!$J$13="",$N71=CETAK!$J$13),OR(CETAK!$J$14="",$T71=CETAK!$J$14)),MAX($AC$3:AC70)+1,""))</f>
        <v/>
      </c>
      <c r="AD71" s="40" t="str">
        <f aca="false">IF($B71="","",IF(AND(OR(ABSENSI!$H$10="",$F71=ABSENSI!$H$10),OR(ABSENSI!$H$11="",$G71=ABSENSI!$H$11),OR(ABSENSI!$H$12="",$P71=ABSENSI!$H$12)),MAX($AD$3:AD70)+1,""))</f>
        <v/>
      </c>
      <c r="AE71" s="40" t="str">
        <f aca="false">IF($B71="","",IF(AND(OR(KARTU!$K$6="",$F71=KARTU!$K$6),OR(KARTU!$K$7="",$G71=KARTU!$K$7),OR(KARTU!$K$8="",$P71=KARTU!$K$8)),MAX($AE$3:AE70)+1,""))</f>
        <v/>
      </c>
    </row>
    <row r="72" customFormat="false" ht="15" hidden="false" customHeight="false" outlineLevel="0" collapsed="false">
      <c r="A72" s="35" t="str">
        <f aca="false">IF($B72="","",COUNTA($B$4:$B72))</f>
        <v/>
      </c>
      <c r="B72" s="36"/>
      <c r="C72" s="37"/>
      <c r="D72" s="37"/>
      <c r="E72" s="38"/>
      <c r="F72" s="36"/>
      <c r="G72" s="39"/>
      <c r="H72" s="39"/>
      <c r="I72" s="36"/>
      <c r="J72" s="36"/>
      <c r="K72" s="36"/>
      <c r="L72" s="36"/>
      <c r="M72" s="40" t="str">
        <f aca="false">IF($F72="","",$F72&amp;IF($G72="",""," - RT "&amp;$G72&amp;IF($H72="","","/"&amp;$H72)))</f>
        <v/>
      </c>
      <c r="N72" s="36"/>
      <c r="O72" s="37"/>
      <c r="P72" s="39"/>
      <c r="Q72" s="41"/>
      <c r="R72" s="35" t="str">
        <f aca="true">IF(OR($B72="",$Q72=""),"",DATEDIF($Q72,TODAY(),"Y"))</f>
        <v/>
      </c>
      <c r="S72" s="40" t="str">
        <f aca="false">IF($R72="","",INDEX(usia_label,MATCH($R72,usia_min,1)))</f>
        <v/>
      </c>
      <c r="T72" s="36"/>
      <c r="U72" s="41"/>
      <c r="V72" s="36"/>
      <c r="W72" s="36"/>
      <c r="X72" s="40" t="str">
        <f aca="false">IF($M72="","",$M72&amp;"#"&amp;COUNTIF($M$4:$M72,$M72))</f>
        <v/>
      </c>
      <c r="Y72" s="40" t="str">
        <f aca="false">IF($B72="","",IF($C72="","NIK kosong",IF(LEN($C72)&lt;&gt;16,"NIK bukan 16 digit",IF(COUNTIF($C$4:$C$2003,$C72&amp;"*")&gt;1,"NIK ganda",IF(AND($D72&lt;&gt;"",LEN($D72)&lt;&gt;16),"No. KK bukan 16 digit",IF(AND($F72="",$I72=""),"Alamat kosong",IF($N72="","Jabatan kosong",IF($O72="","No. HP kosong",IF(AND($R72&lt;&gt;"",$R72&lt;17),"Usia di bawah 17","")))))))))</f>
        <v/>
      </c>
      <c r="Z72" s="40" t="str">
        <f aca="false">IF($B72="","",IF(AND(OR(CARI!$C$5="",ISNUMBER(SEARCH(CARI!$C$5,$B72&amp;" "&amp;$C72&amp;" "&amp;$D72&amp;" "&amp;$O72&amp;" "&amp;$I72&amp;" "&amp;$F72&amp;" "&amp;$J72&amp;" "&amp;$K72&amp;" "&amp;$L72&amp;" "&amp;$V72))),OR(CARI!$C$6="",$F72=CARI!$C$6),OR(CARI!$C$7="",$G72=CARI!$C$7),OR(CARI!$C$8="",$T72=CARI!$C$8)),MAX($Z$3:Z71)+1,""))</f>
        <v/>
      </c>
      <c r="AA72" s="40" t="str">
        <f aca="false">IF($Y72="","",MAX($AA$3:AA71)+1)</f>
        <v/>
      </c>
      <c r="AB72" s="40" t="str">
        <f aca="false">IF($F72="","",$F72&amp;"#"&amp;COUNTIF($F$4:$F72,$F72))</f>
        <v/>
      </c>
      <c r="AC72" s="40" t="str">
        <f aca="false">IF($B72="","",IF(AND(OR(CETAK!$J$10="",$F72=CETAK!$J$10),OR(CETAK!$J$11="",$G72=CETAK!$J$11),OR(CETAK!$J$12="",$P72=CETAK!$J$12),OR(CETAK!$J$13="",$N72=CETAK!$J$13),OR(CETAK!$J$14="",$T72=CETAK!$J$14)),MAX($AC$3:AC71)+1,""))</f>
        <v/>
      </c>
      <c r="AD72" s="40" t="str">
        <f aca="false">IF($B72="","",IF(AND(OR(ABSENSI!$H$10="",$F72=ABSENSI!$H$10),OR(ABSENSI!$H$11="",$G72=ABSENSI!$H$11),OR(ABSENSI!$H$12="",$P72=ABSENSI!$H$12)),MAX($AD$3:AD71)+1,""))</f>
        <v/>
      </c>
      <c r="AE72" s="40" t="str">
        <f aca="false">IF($B72="","",IF(AND(OR(KARTU!$K$6="",$F72=KARTU!$K$6),OR(KARTU!$K$7="",$G72=KARTU!$K$7),OR(KARTU!$K$8="",$P72=KARTU!$K$8)),MAX($AE$3:AE71)+1,""))</f>
        <v/>
      </c>
    </row>
    <row r="73" customFormat="false" ht="15" hidden="false" customHeight="false" outlineLevel="0" collapsed="false">
      <c r="A73" s="35" t="str">
        <f aca="false">IF($B73="","",COUNTA($B$4:$B73))</f>
        <v/>
      </c>
      <c r="B73" s="36"/>
      <c r="C73" s="37"/>
      <c r="D73" s="37"/>
      <c r="E73" s="38"/>
      <c r="F73" s="36"/>
      <c r="G73" s="39"/>
      <c r="H73" s="39"/>
      <c r="I73" s="36"/>
      <c r="J73" s="36"/>
      <c r="K73" s="36"/>
      <c r="L73" s="36"/>
      <c r="M73" s="40" t="str">
        <f aca="false">IF($F73="","",$F73&amp;IF($G73="",""," - RT "&amp;$G73&amp;IF($H73="","","/"&amp;$H73)))</f>
        <v/>
      </c>
      <c r="N73" s="36"/>
      <c r="O73" s="37"/>
      <c r="P73" s="39"/>
      <c r="Q73" s="41"/>
      <c r="R73" s="35" t="str">
        <f aca="true">IF(OR($B73="",$Q73=""),"",DATEDIF($Q73,TODAY(),"Y"))</f>
        <v/>
      </c>
      <c r="S73" s="40" t="str">
        <f aca="false">IF($R73="","",INDEX(usia_label,MATCH($R73,usia_min,1)))</f>
        <v/>
      </c>
      <c r="T73" s="36"/>
      <c r="U73" s="41"/>
      <c r="V73" s="36"/>
      <c r="W73" s="36"/>
      <c r="X73" s="40" t="str">
        <f aca="false">IF($M73="","",$M73&amp;"#"&amp;COUNTIF($M$4:$M73,$M73))</f>
        <v/>
      </c>
      <c r="Y73" s="40" t="str">
        <f aca="false">IF($B73="","",IF($C73="","NIK kosong",IF(LEN($C73)&lt;&gt;16,"NIK bukan 16 digit",IF(COUNTIF($C$4:$C$2003,$C73&amp;"*")&gt;1,"NIK ganda",IF(AND($D73&lt;&gt;"",LEN($D73)&lt;&gt;16),"No. KK bukan 16 digit",IF(AND($F73="",$I73=""),"Alamat kosong",IF($N73="","Jabatan kosong",IF($O73="","No. HP kosong",IF(AND($R73&lt;&gt;"",$R73&lt;17),"Usia di bawah 17","")))))))))</f>
        <v/>
      </c>
      <c r="Z73" s="40" t="str">
        <f aca="false">IF($B73="","",IF(AND(OR(CARI!$C$5="",ISNUMBER(SEARCH(CARI!$C$5,$B73&amp;" "&amp;$C73&amp;" "&amp;$D73&amp;" "&amp;$O73&amp;" "&amp;$I73&amp;" "&amp;$F73&amp;" "&amp;$J73&amp;" "&amp;$K73&amp;" "&amp;$L73&amp;" "&amp;$V73))),OR(CARI!$C$6="",$F73=CARI!$C$6),OR(CARI!$C$7="",$G73=CARI!$C$7),OR(CARI!$C$8="",$T73=CARI!$C$8)),MAX($Z$3:Z72)+1,""))</f>
        <v/>
      </c>
      <c r="AA73" s="40" t="str">
        <f aca="false">IF($Y73="","",MAX($AA$3:AA72)+1)</f>
        <v/>
      </c>
      <c r="AB73" s="40" t="str">
        <f aca="false">IF($F73="","",$F73&amp;"#"&amp;COUNTIF($F$4:$F73,$F73))</f>
        <v/>
      </c>
      <c r="AC73" s="40" t="str">
        <f aca="false">IF($B73="","",IF(AND(OR(CETAK!$J$10="",$F73=CETAK!$J$10),OR(CETAK!$J$11="",$G73=CETAK!$J$11),OR(CETAK!$J$12="",$P73=CETAK!$J$12),OR(CETAK!$J$13="",$N73=CETAK!$J$13),OR(CETAK!$J$14="",$T73=CETAK!$J$14)),MAX($AC$3:AC72)+1,""))</f>
        <v/>
      </c>
      <c r="AD73" s="40" t="str">
        <f aca="false">IF($B73="","",IF(AND(OR(ABSENSI!$H$10="",$F73=ABSENSI!$H$10),OR(ABSENSI!$H$11="",$G73=ABSENSI!$H$11),OR(ABSENSI!$H$12="",$P73=ABSENSI!$H$12)),MAX($AD$3:AD72)+1,""))</f>
        <v/>
      </c>
      <c r="AE73" s="40" t="str">
        <f aca="false">IF($B73="","",IF(AND(OR(KARTU!$K$6="",$F73=KARTU!$K$6),OR(KARTU!$K$7="",$G73=KARTU!$K$7),OR(KARTU!$K$8="",$P73=KARTU!$K$8)),MAX($AE$3:AE72)+1,""))</f>
        <v/>
      </c>
    </row>
    <row r="74" customFormat="false" ht="15" hidden="false" customHeight="false" outlineLevel="0" collapsed="false">
      <c r="A74" s="35" t="str">
        <f aca="false">IF($B74="","",COUNTA($B$4:$B74))</f>
        <v/>
      </c>
      <c r="B74" s="36"/>
      <c r="C74" s="37"/>
      <c r="D74" s="37"/>
      <c r="E74" s="38"/>
      <c r="F74" s="36"/>
      <c r="G74" s="39"/>
      <c r="H74" s="39"/>
      <c r="I74" s="36"/>
      <c r="J74" s="36"/>
      <c r="K74" s="36"/>
      <c r="L74" s="36"/>
      <c r="M74" s="40" t="str">
        <f aca="false">IF($F74="","",$F74&amp;IF($G74="",""," - RT "&amp;$G74&amp;IF($H74="","","/"&amp;$H74)))</f>
        <v/>
      </c>
      <c r="N74" s="36"/>
      <c r="O74" s="37"/>
      <c r="P74" s="39"/>
      <c r="Q74" s="41"/>
      <c r="R74" s="35" t="str">
        <f aca="true">IF(OR($B74="",$Q74=""),"",DATEDIF($Q74,TODAY(),"Y"))</f>
        <v/>
      </c>
      <c r="S74" s="40" t="str">
        <f aca="false">IF($R74="","",INDEX(usia_label,MATCH($R74,usia_min,1)))</f>
        <v/>
      </c>
      <c r="T74" s="36"/>
      <c r="U74" s="41"/>
      <c r="V74" s="36"/>
      <c r="W74" s="36"/>
      <c r="X74" s="40" t="str">
        <f aca="false">IF($M74="","",$M74&amp;"#"&amp;COUNTIF($M$4:$M74,$M74))</f>
        <v/>
      </c>
      <c r="Y74" s="40" t="str">
        <f aca="false">IF($B74="","",IF($C74="","NIK kosong",IF(LEN($C74)&lt;&gt;16,"NIK bukan 16 digit",IF(COUNTIF($C$4:$C$2003,$C74&amp;"*")&gt;1,"NIK ganda",IF(AND($D74&lt;&gt;"",LEN($D74)&lt;&gt;16),"No. KK bukan 16 digit",IF(AND($F74="",$I74=""),"Alamat kosong",IF($N74="","Jabatan kosong",IF($O74="","No. HP kosong",IF(AND($R74&lt;&gt;"",$R74&lt;17),"Usia di bawah 17","")))))))))</f>
        <v/>
      </c>
      <c r="Z74" s="40" t="str">
        <f aca="false">IF($B74="","",IF(AND(OR(CARI!$C$5="",ISNUMBER(SEARCH(CARI!$C$5,$B74&amp;" "&amp;$C74&amp;" "&amp;$D74&amp;" "&amp;$O74&amp;" "&amp;$I74&amp;" "&amp;$F74&amp;" "&amp;$J74&amp;" "&amp;$K74&amp;" "&amp;$L74&amp;" "&amp;$V74))),OR(CARI!$C$6="",$F74=CARI!$C$6),OR(CARI!$C$7="",$G74=CARI!$C$7),OR(CARI!$C$8="",$T74=CARI!$C$8)),MAX($Z$3:Z73)+1,""))</f>
        <v/>
      </c>
      <c r="AA74" s="40" t="str">
        <f aca="false">IF($Y74="","",MAX($AA$3:AA73)+1)</f>
        <v/>
      </c>
      <c r="AB74" s="40" t="str">
        <f aca="false">IF($F74="","",$F74&amp;"#"&amp;COUNTIF($F$4:$F74,$F74))</f>
        <v/>
      </c>
      <c r="AC74" s="40" t="str">
        <f aca="false">IF($B74="","",IF(AND(OR(CETAK!$J$10="",$F74=CETAK!$J$10),OR(CETAK!$J$11="",$G74=CETAK!$J$11),OR(CETAK!$J$12="",$P74=CETAK!$J$12),OR(CETAK!$J$13="",$N74=CETAK!$J$13),OR(CETAK!$J$14="",$T74=CETAK!$J$14)),MAX($AC$3:AC73)+1,""))</f>
        <v/>
      </c>
      <c r="AD74" s="40" t="str">
        <f aca="false">IF($B74="","",IF(AND(OR(ABSENSI!$H$10="",$F74=ABSENSI!$H$10),OR(ABSENSI!$H$11="",$G74=ABSENSI!$H$11),OR(ABSENSI!$H$12="",$P74=ABSENSI!$H$12)),MAX($AD$3:AD73)+1,""))</f>
        <v/>
      </c>
      <c r="AE74" s="40" t="str">
        <f aca="false">IF($B74="","",IF(AND(OR(KARTU!$K$6="",$F74=KARTU!$K$6),OR(KARTU!$K$7="",$G74=KARTU!$K$7),OR(KARTU!$K$8="",$P74=KARTU!$K$8)),MAX($AE$3:AE73)+1,""))</f>
        <v/>
      </c>
    </row>
    <row r="75" customFormat="false" ht="15" hidden="false" customHeight="false" outlineLevel="0" collapsed="false">
      <c r="A75" s="35" t="str">
        <f aca="false">IF($B75="","",COUNTA($B$4:$B75))</f>
        <v/>
      </c>
      <c r="B75" s="36"/>
      <c r="C75" s="37"/>
      <c r="D75" s="37"/>
      <c r="E75" s="38"/>
      <c r="F75" s="36"/>
      <c r="G75" s="39"/>
      <c r="H75" s="39"/>
      <c r="I75" s="36"/>
      <c r="J75" s="36"/>
      <c r="K75" s="36"/>
      <c r="L75" s="36"/>
      <c r="M75" s="40" t="str">
        <f aca="false">IF($F75="","",$F75&amp;IF($G75="",""," - RT "&amp;$G75&amp;IF($H75="","","/"&amp;$H75)))</f>
        <v/>
      </c>
      <c r="N75" s="36"/>
      <c r="O75" s="37"/>
      <c r="P75" s="39"/>
      <c r="Q75" s="41"/>
      <c r="R75" s="35" t="str">
        <f aca="true">IF(OR($B75="",$Q75=""),"",DATEDIF($Q75,TODAY(),"Y"))</f>
        <v/>
      </c>
      <c r="S75" s="40" t="str">
        <f aca="false">IF($R75="","",INDEX(usia_label,MATCH($R75,usia_min,1)))</f>
        <v/>
      </c>
      <c r="T75" s="36"/>
      <c r="U75" s="41"/>
      <c r="V75" s="36"/>
      <c r="W75" s="36"/>
      <c r="X75" s="40" t="str">
        <f aca="false">IF($M75="","",$M75&amp;"#"&amp;COUNTIF($M$4:$M75,$M75))</f>
        <v/>
      </c>
      <c r="Y75" s="40" t="str">
        <f aca="false">IF($B75="","",IF($C75="","NIK kosong",IF(LEN($C75)&lt;&gt;16,"NIK bukan 16 digit",IF(COUNTIF($C$4:$C$2003,$C75&amp;"*")&gt;1,"NIK ganda",IF(AND($D75&lt;&gt;"",LEN($D75)&lt;&gt;16),"No. KK bukan 16 digit",IF(AND($F75="",$I75=""),"Alamat kosong",IF($N75="","Jabatan kosong",IF($O75="","No. HP kosong",IF(AND($R75&lt;&gt;"",$R75&lt;17),"Usia di bawah 17","")))))))))</f>
        <v/>
      </c>
      <c r="Z75" s="40" t="str">
        <f aca="false">IF($B75="","",IF(AND(OR(CARI!$C$5="",ISNUMBER(SEARCH(CARI!$C$5,$B75&amp;" "&amp;$C75&amp;" "&amp;$D75&amp;" "&amp;$O75&amp;" "&amp;$I75&amp;" "&amp;$F75&amp;" "&amp;$J75&amp;" "&amp;$K75&amp;" "&amp;$L75&amp;" "&amp;$V75))),OR(CARI!$C$6="",$F75=CARI!$C$6),OR(CARI!$C$7="",$G75=CARI!$C$7),OR(CARI!$C$8="",$T75=CARI!$C$8)),MAX($Z$3:Z74)+1,""))</f>
        <v/>
      </c>
      <c r="AA75" s="40" t="str">
        <f aca="false">IF($Y75="","",MAX($AA$3:AA74)+1)</f>
        <v/>
      </c>
      <c r="AB75" s="40" t="str">
        <f aca="false">IF($F75="","",$F75&amp;"#"&amp;COUNTIF($F$4:$F75,$F75))</f>
        <v/>
      </c>
      <c r="AC75" s="40" t="str">
        <f aca="false">IF($B75="","",IF(AND(OR(CETAK!$J$10="",$F75=CETAK!$J$10),OR(CETAK!$J$11="",$G75=CETAK!$J$11),OR(CETAK!$J$12="",$P75=CETAK!$J$12),OR(CETAK!$J$13="",$N75=CETAK!$J$13),OR(CETAK!$J$14="",$T75=CETAK!$J$14)),MAX($AC$3:AC74)+1,""))</f>
        <v/>
      </c>
      <c r="AD75" s="40" t="str">
        <f aca="false">IF($B75="","",IF(AND(OR(ABSENSI!$H$10="",$F75=ABSENSI!$H$10),OR(ABSENSI!$H$11="",$G75=ABSENSI!$H$11),OR(ABSENSI!$H$12="",$P75=ABSENSI!$H$12)),MAX($AD$3:AD74)+1,""))</f>
        <v/>
      </c>
      <c r="AE75" s="40" t="str">
        <f aca="false">IF($B75="","",IF(AND(OR(KARTU!$K$6="",$F75=KARTU!$K$6),OR(KARTU!$K$7="",$G75=KARTU!$K$7),OR(KARTU!$K$8="",$P75=KARTU!$K$8)),MAX($AE$3:AE74)+1,""))</f>
        <v/>
      </c>
    </row>
    <row r="76" customFormat="false" ht="15" hidden="false" customHeight="false" outlineLevel="0" collapsed="false">
      <c r="A76" s="35" t="str">
        <f aca="false">IF($B76="","",COUNTA($B$4:$B76))</f>
        <v/>
      </c>
      <c r="B76" s="36"/>
      <c r="C76" s="37"/>
      <c r="D76" s="37"/>
      <c r="E76" s="38"/>
      <c r="F76" s="36"/>
      <c r="G76" s="39"/>
      <c r="H76" s="39"/>
      <c r="I76" s="36"/>
      <c r="J76" s="36"/>
      <c r="K76" s="36"/>
      <c r="L76" s="36"/>
      <c r="M76" s="40" t="str">
        <f aca="false">IF($F76="","",$F76&amp;IF($G76="",""," - RT "&amp;$G76&amp;IF($H76="","","/"&amp;$H76)))</f>
        <v/>
      </c>
      <c r="N76" s="36"/>
      <c r="O76" s="37"/>
      <c r="P76" s="39"/>
      <c r="Q76" s="41"/>
      <c r="R76" s="35" t="str">
        <f aca="true">IF(OR($B76="",$Q76=""),"",DATEDIF($Q76,TODAY(),"Y"))</f>
        <v/>
      </c>
      <c r="S76" s="40" t="str">
        <f aca="false">IF($R76="","",INDEX(usia_label,MATCH($R76,usia_min,1)))</f>
        <v/>
      </c>
      <c r="T76" s="36"/>
      <c r="U76" s="41"/>
      <c r="V76" s="36"/>
      <c r="W76" s="36"/>
      <c r="X76" s="40" t="str">
        <f aca="false">IF($M76="","",$M76&amp;"#"&amp;COUNTIF($M$4:$M76,$M76))</f>
        <v/>
      </c>
      <c r="Y76" s="40" t="str">
        <f aca="false">IF($B76="","",IF($C76="","NIK kosong",IF(LEN($C76)&lt;&gt;16,"NIK bukan 16 digit",IF(COUNTIF($C$4:$C$2003,$C76&amp;"*")&gt;1,"NIK ganda",IF(AND($D76&lt;&gt;"",LEN($D76)&lt;&gt;16),"No. KK bukan 16 digit",IF(AND($F76="",$I76=""),"Alamat kosong",IF($N76="","Jabatan kosong",IF($O76="","No. HP kosong",IF(AND($R76&lt;&gt;"",$R76&lt;17),"Usia di bawah 17","")))))))))</f>
        <v/>
      </c>
      <c r="Z76" s="40" t="str">
        <f aca="false">IF($B76="","",IF(AND(OR(CARI!$C$5="",ISNUMBER(SEARCH(CARI!$C$5,$B76&amp;" "&amp;$C76&amp;" "&amp;$D76&amp;" "&amp;$O76&amp;" "&amp;$I76&amp;" "&amp;$F76&amp;" "&amp;$J76&amp;" "&amp;$K76&amp;" "&amp;$L76&amp;" "&amp;$V76))),OR(CARI!$C$6="",$F76=CARI!$C$6),OR(CARI!$C$7="",$G76=CARI!$C$7),OR(CARI!$C$8="",$T76=CARI!$C$8)),MAX($Z$3:Z75)+1,""))</f>
        <v/>
      </c>
      <c r="AA76" s="40" t="str">
        <f aca="false">IF($Y76="","",MAX($AA$3:AA75)+1)</f>
        <v/>
      </c>
      <c r="AB76" s="40" t="str">
        <f aca="false">IF($F76="","",$F76&amp;"#"&amp;COUNTIF($F$4:$F76,$F76))</f>
        <v/>
      </c>
      <c r="AC76" s="40" t="str">
        <f aca="false">IF($B76="","",IF(AND(OR(CETAK!$J$10="",$F76=CETAK!$J$10),OR(CETAK!$J$11="",$G76=CETAK!$J$11),OR(CETAK!$J$12="",$P76=CETAK!$J$12),OR(CETAK!$J$13="",$N76=CETAK!$J$13),OR(CETAK!$J$14="",$T76=CETAK!$J$14)),MAX($AC$3:AC75)+1,""))</f>
        <v/>
      </c>
      <c r="AD76" s="40" t="str">
        <f aca="false">IF($B76="","",IF(AND(OR(ABSENSI!$H$10="",$F76=ABSENSI!$H$10),OR(ABSENSI!$H$11="",$G76=ABSENSI!$H$11),OR(ABSENSI!$H$12="",$P76=ABSENSI!$H$12)),MAX($AD$3:AD75)+1,""))</f>
        <v/>
      </c>
      <c r="AE76" s="40" t="str">
        <f aca="false">IF($B76="","",IF(AND(OR(KARTU!$K$6="",$F76=KARTU!$K$6),OR(KARTU!$K$7="",$G76=KARTU!$K$7),OR(KARTU!$K$8="",$P76=KARTU!$K$8)),MAX($AE$3:AE75)+1,""))</f>
        <v/>
      </c>
    </row>
    <row r="77" customFormat="false" ht="15" hidden="false" customHeight="false" outlineLevel="0" collapsed="false">
      <c r="A77" s="35" t="str">
        <f aca="false">IF($B77="","",COUNTA($B$4:$B77))</f>
        <v/>
      </c>
      <c r="B77" s="36"/>
      <c r="C77" s="37"/>
      <c r="D77" s="37"/>
      <c r="E77" s="38"/>
      <c r="F77" s="36"/>
      <c r="G77" s="39"/>
      <c r="H77" s="39"/>
      <c r="I77" s="36"/>
      <c r="J77" s="36"/>
      <c r="K77" s="36"/>
      <c r="L77" s="36"/>
      <c r="M77" s="40" t="str">
        <f aca="false">IF($F77="","",$F77&amp;IF($G77="",""," - RT "&amp;$G77&amp;IF($H77="","","/"&amp;$H77)))</f>
        <v/>
      </c>
      <c r="N77" s="36"/>
      <c r="O77" s="37"/>
      <c r="P77" s="39"/>
      <c r="Q77" s="41"/>
      <c r="R77" s="35" t="str">
        <f aca="true">IF(OR($B77="",$Q77=""),"",DATEDIF($Q77,TODAY(),"Y"))</f>
        <v/>
      </c>
      <c r="S77" s="40" t="str">
        <f aca="false">IF($R77="","",INDEX(usia_label,MATCH($R77,usia_min,1)))</f>
        <v/>
      </c>
      <c r="T77" s="36"/>
      <c r="U77" s="41"/>
      <c r="V77" s="36"/>
      <c r="W77" s="36"/>
      <c r="X77" s="40" t="str">
        <f aca="false">IF($M77="","",$M77&amp;"#"&amp;COUNTIF($M$4:$M77,$M77))</f>
        <v/>
      </c>
      <c r="Y77" s="40" t="str">
        <f aca="false">IF($B77="","",IF($C77="","NIK kosong",IF(LEN($C77)&lt;&gt;16,"NIK bukan 16 digit",IF(COUNTIF($C$4:$C$2003,$C77&amp;"*")&gt;1,"NIK ganda",IF(AND($D77&lt;&gt;"",LEN($D77)&lt;&gt;16),"No. KK bukan 16 digit",IF(AND($F77="",$I77=""),"Alamat kosong",IF($N77="","Jabatan kosong",IF($O77="","No. HP kosong",IF(AND($R77&lt;&gt;"",$R77&lt;17),"Usia di bawah 17","")))))))))</f>
        <v/>
      </c>
      <c r="Z77" s="40" t="str">
        <f aca="false">IF($B77="","",IF(AND(OR(CARI!$C$5="",ISNUMBER(SEARCH(CARI!$C$5,$B77&amp;" "&amp;$C77&amp;" "&amp;$D77&amp;" "&amp;$O77&amp;" "&amp;$I77&amp;" "&amp;$F77&amp;" "&amp;$J77&amp;" "&amp;$K77&amp;" "&amp;$L77&amp;" "&amp;$V77))),OR(CARI!$C$6="",$F77=CARI!$C$6),OR(CARI!$C$7="",$G77=CARI!$C$7),OR(CARI!$C$8="",$T77=CARI!$C$8)),MAX($Z$3:Z76)+1,""))</f>
        <v/>
      </c>
      <c r="AA77" s="40" t="str">
        <f aca="false">IF($Y77="","",MAX($AA$3:AA76)+1)</f>
        <v/>
      </c>
      <c r="AB77" s="40" t="str">
        <f aca="false">IF($F77="","",$F77&amp;"#"&amp;COUNTIF($F$4:$F77,$F77))</f>
        <v/>
      </c>
      <c r="AC77" s="40" t="str">
        <f aca="false">IF($B77="","",IF(AND(OR(CETAK!$J$10="",$F77=CETAK!$J$10),OR(CETAK!$J$11="",$G77=CETAK!$J$11),OR(CETAK!$J$12="",$P77=CETAK!$J$12),OR(CETAK!$J$13="",$N77=CETAK!$J$13),OR(CETAK!$J$14="",$T77=CETAK!$J$14)),MAX($AC$3:AC76)+1,""))</f>
        <v/>
      </c>
      <c r="AD77" s="40" t="str">
        <f aca="false">IF($B77="","",IF(AND(OR(ABSENSI!$H$10="",$F77=ABSENSI!$H$10),OR(ABSENSI!$H$11="",$G77=ABSENSI!$H$11),OR(ABSENSI!$H$12="",$P77=ABSENSI!$H$12)),MAX($AD$3:AD76)+1,""))</f>
        <v/>
      </c>
      <c r="AE77" s="40" t="str">
        <f aca="false">IF($B77="","",IF(AND(OR(KARTU!$K$6="",$F77=KARTU!$K$6),OR(KARTU!$K$7="",$G77=KARTU!$K$7),OR(KARTU!$K$8="",$P77=KARTU!$K$8)),MAX($AE$3:AE76)+1,""))</f>
        <v/>
      </c>
    </row>
    <row r="78" customFormat="false" ht="15" hidden="false" customHeight="false" outlineLevel="0" collapsed="false">
      <c r="A78" s="35" t="str">
        <f aca="false">IF($B78="","",COUNTA($B$4:$B78))</f>
        <v/>
      </c>
      <c r="B78" s="36"/>
      <c r="C78" s="37"/>
      <c r="D78" s="37"/>
      <c r="E78" s="38"/>
      <c r="F78" s="36"/>
      <c r="G78" s="39"/>
      <c r="H78" s="39"/>
      <c r="I78" s="36"/>
      <c r="J78" s="36"/>
      <c r="K78" s="36"/>
      <c r="L78" s="36"/>
      <c r="M78" s="40" t="str">
        <f aca="false">IF($F78="","",$F78&amp;IF($G78="",""," - RT "&amp;$G78&amp;IF($H78="","","/"&amp;$H78)))</f>
        <v/>
      </c>
      <c r="N78" s="36"/>
      <c r="O78" s="37"/>
      <c r="P78" s="39"/>
      <c r="Q78" s="41"/>
      <c r="R78" s="35" t="str">
        <f aca="true">IF(OR($B78="",$Q78=""),"",DATEDIF($Q78,TODAY(),"Y"))</f>
        <v/>
      </c>
      <c r="S78" s="40" t="str">
        <f aca="false">IF($R78="","",INDEX(usia_label,MATCH($R78,usia_min,1)))</f>
        <v/>
      </c>
      <c r="T78" s="36"/>
      <c r="U78" s="41"/>
      <c r="V78" s="36"/>
      <c r="W78" s="36"/>
      <c r="X78" s="40" t="str">
        <f aca="false">IF($M78="","",$M78&amp;"#"&amp;COUNTIF($M$4:$M78,$M78))</f>
        <v/>
      </c>
      <c r="Y78" s="40" t="str">
        <f aca="false">IF($B78="","",IF($C78="","NIK kosong",IF(LEN($C78)&lt;&gt;16,"NIK bukan 16 digit",IF(COUNTIF($C$4:$C$2003,$C78&amp;"*")&gt;1,"NIK ganda",IF(AND($D78&lt;&gt;"",LEN($D78)&lt;&gt;16),"No. KK bukan 16 digit",IF(AND($F78="",$I78=""),"Alamat kosong",IF($N78="","Jabatan kosong",IF($O78="","No. HP kosong",IF(AND($R78&lt;&gt;"",$R78&lt;17),"Usia di bawah 17","")))))))))</f>
        <v/>
      </c>
      <c r="Z78" s="40" t="str">
        <f aca="false">IF($B78="","",IF(AND(OR(CARI!$C$5="",ISNUMBER(SEARCH(CARI!$C$5,$B78&amp;" "&amp;$C78&amp;" "&amp;$D78&amp;" "&amp;$O78&amp;" "&amp;$I78&amp;" "&amp;$F78&amp;" "&amp;$J78&amp;" "&amp;$K78&amp;" "&amp;$L78&amp;" "&amp;$V78))),OR(CARI!$C$6="",$F78=CARI!$C$6),OR(CARI!$C$7="",$G78=CARI!$C$7),OR(CARI!$C$8="",$T78=CARI!$C$8)),MAX($Z$3:Z77)+1,""))</f>
        <v/>
      </c>
      <c r="AA78" s="40" t="str">
        <f aca="false">IF($Y78="","",MAX($AA$3:AA77)+1)</f>
        <v/>
      </c>
      <c r="AB78" s="40" t="str">
        <f aca="false">IF($F78="","",$F78&amp;"#"&amp;COUNTIF($F$4:$F78,$F78))</f>
        <v/>
      </c>
      <c r="AC78" s="40" t="str">
        <f aca="false">IF($B78="","",IF(AND(OR(CETAK!$J$10="",$F78=CETAK!$J$10),OR(CETAK!$J$11="",$G78=CETAK!$J$11),OR(CETAK!$J$12="",$P78=CETAK!$J$12),OR(CETAK!$J$13="",$N78=CETAK!$J$13),OR(CETAK!$J$14="",$T78=CETAK!$J$14)),MAX($AC$3:AC77)+1,""))</f>
        <v/>
      </c>
      <c r="AD78" s="40" t="str">
        <f aca="false">IF($B78="","",IF(AND(OR(ABSENSI!$H$10="",$F78=ABSENSI!$H$10),OR(ABSENSI!$H$11="",$G78=ABSENSI!$H$11),OR(ABSENSI!$H$12="",$P78=ABSENSI!$H$12)),MAX($AD$3:AD77)+1,""))</f>
        <v/>
      </c>
      <c r="AE78" s="40" t="str">
        <f aca="false">IF($B78="","",IF(AND(OR(KARTU!$K$6="",$F78=KARTU!$K$6),OR(KARTU!$K$7="",$G78=KARTU!$K$7),OR(KARTU!$K$8="",$P78=KARTU!$K$8)),MAX($AE$3:AE77)+1,""))</f>
        <v/>
      </c>
    </row>
    <row r="79" customFormat="false" ht="15" hidden="false" customHeight="false" outlineLevel="0" collapsed="false">
      <c r="A79" s="35" t="str">
        <f aca="false">IF($B79="","",COUNTA($B$4:$B79))</f>
        <v/>
      </c>
      <c r="B79" s="36"/>
      <c r="C79" s="37"/>
      <c r="D79" s="37"/>
      <c r="E79" s="38"/>
      <c r="F79" s="36"/>
      <c r="G79" s="39"/>
      <c r="H79" s="39"/>
      <c r="I79" s="36"/>
      <c r="J79" s="36"/>
      <c r="K79" s="36"/>
      <c r="L79" s="36"/>
      <c r="M79" s="40" t="str">
        <f aca="false">IF($F79="","",$F79&amp;IF($G79="",""," - RT "&amp;$G79&amp;IF($H79="","","/"&amp;$H79)))</f>
        <v/>
      </c>
      <c r="N79" s="36"/>
      <c r="O79" s="37"/>
      <c r="P79" s="39"/>
      <c r="Q79" s="41"/>
      <c r="R79" s="35" t="str">
        <f aca="true">IF(OR($B79="",$Q79=""),"",DATEDIF($Q79,TODAY(),"Y"))</f>
        <v/>
      </c>
      <c r="S79" s="40" t="str">
        <f aca="false">IF($R79="","",INDEX(usia_label,MATCH($R79,usia_min,1)))</f>
        <v/>
      </c>
      <c r="T79" s="36"/>
      <c r="U79" s="41"/>
      <c r="V79" s="36"/>
      <c r="W79" s="36"/>
      <c r="X79" s="40" t="str">
        <f aca="false">IF($M79="","",$M79&amp;"#"&amp;COUNTIF($M$4:$M79,$M79))</f>
        <v/>
      </c>
      <c r="Y79" s="40" t="str">
        <f aca="false">IF($B79="","",IF($C79="","NIK kosong",IF(LEN($C79)&lt;&gt;16,"NIK bukan 16 digit",IF(COUNTIF($C$4:$C$2003,$C79&amp;"*")&gt;1,"NIK ganda",IF(AND($D79&lt;&gt;"",LEN($D79)&lt;&gt;16),"No. KK bukan 16 digit",IF(AND($F79="",$I79=""),"Alamat kosong",IF($N79="","Jabatan kosong",IF($O79="","No. HP kosong",IF(AND($R79&lt;&gt;"",$R79&lt;17),"Usia di bawah 17","")))))))))</f>
        <v/>
      </c>
      <c r="Z79" s="40" t="str">
        <f aca="false">IF($B79="","",IF(AND(OR(CARI!$C$5="",ISNUMBER(SEARCH(CARI!$C$5,$B79&amp;" "&amp;$C79&amp;" "&amp;$D79&amp;" "&amp;$O79&amp;" "&amp;$I79&amp;" "&amp;$F79&amp;" "&amp;$J79&amp;" "&amp;$K79&amp;" "&amp;$L79&amp;" "&amp;$V79))),OR(CARI!$C$6="",$F79=CARI!$C$6),OR(CARI!$C$7="",$G79=CARI!$C$7),OR(CARI!$C$8="",$T79=CARI!$C$8)),MAX($Z$3:Z78)+1,""))</f>
        <v/>
      </c>
      <c r="AA79" s="40" t="str">
        <f aca="false">IF($Y79="","",MAX($AA$3:AA78)+1)</f>
        <v/>
      </c>
      <c r="AB79" s="40" t="str">
        <f aca="false">IF($F79="","",$F79&amp;"#"&amp;COUNTIF($F$4:$F79,$F79))</f>
        <v/>
      </c>
      <c r="AC79" s="40" t="str">
        <f aca="false">IF($B79="","",IF(AND(OR(CETAK!$J$10="",$F79=CETAK!$J$10),OR(CETAK!$J$11="",$G79=CETAK!$J$11),OR(CETAK!$J$12="",$P79=CETAK!$J$12),OR(CETAK!$J$13="",$N79=CETAK!$J$13),OR(CETAK!$J$14="",$T79=CETAK!$J$14)),MAX($AC$3:AC78)+1,""))</f>
        <v/>
      </c>
      <c r="AD79" s="40" t="str">
        <f aca="false">IF($B79="","",IF(AND(OR(ABSENSI!$H$10="",$F79=ABSENSI!$H$10),OR(ABSENSI!$H$11="",$G79=ABSENSI!$H$11),OR(ABSENSI!$H$12="",$P79=ABSENSI!$H$12)),MAX($AD$3:AD78)+1,""))</f>
        <v/>
      </c>
      <c r="AE79" s="40" t="str">
        <f aca="false">IF($B79="","",IF(AND(OR(KARTU!$K$6="",$F79=KARTU!$K$6),OR(KARTU!$K$7="",$G79=KARTU!$K$7),OR(KARTU!$K$8="",$P79=KARTU!$K$8)),MAX($AE$3:AE78)+1,""))</f>
        <v/>
      </c>
    </row>
    <row r="80" customFormat="false" ht="15" hidden="false" customHeight="false" outlineLevel="0" collapsed="false">
      <c r="A80" s="35" t="str">
        <f aca="false">IF($B80="","",COUNTA($B$4:$B80))</f>
        <v/>
      </c>
      <c r="B80" s="36"/>
      <c r="C80" s="37"/>
      <c r="D80" s="37"/>
      <c r="E80" s="38"/>
      <c r="F80" s="36"/>
      <c r="G80" s="39"/>
      <c r="H80" s="39"/>
      <c r="I80" s="36"/>
      <c r="J80" s="36"/>
      <c r="K80" s="36"/>
      <c r="L80" s="36"/>
      <c r="M80" s="40" t="str">
        <f aca="false">IF($F80="","",$F80&amp;IF($G80="",""," - RT "&amp;$G80&amp;IF($H80="","","/"&amp;$H80)))</f>
        <v/>
      </c>
      <c r="N80" s="36"/>
      <c r="O80" s="37"/>
      <c r="P80" s="39"/>
      <c r="Q80" s="41"/>
      <c r="R80" s="35" t="str">
        <f aca="true">IF(OR($B80="",$Q80=""),"",DATEDIF($Q80,TODAY(),"Y"))</f>
        <v/>
      </c>
      <c r="S80" s="40" t="str">
        <f aca="false">IF($R80="","",INDEX(usia_label,MATCH($R80,usia_min,1)))</f>
        <v/>
      </c>
      <c r="T80" s="36"/>
      <c r="U80" s="41"/>
      <c r="V80" s="36"/>
      <c r="W80" s="36"/>
      <c r="X80" s="40" t="str">
        <f aca="false">IF($M80="","",$M80&amp;"#"&amp;COUNTIF($M$4:$M80,$M80))</f>
        <v/>
      </c>
      <c r="Y80" s="40" t="str">
        <f aca="false">IF($B80="","",IF($C80="","NIK kosong",IF(LEN($C80)&lt;&gt;16,"NIK bukan 16 digit",IF(COUNTIF($C$4:$C$2003,$C80&amp;"*")&gt;1,"NIK ganda",IF(AND($D80&lt;&gt;"",LEN($D80)&lt;&gt;16),"No. KK bukan 16 digit",IF(AND($F80="",$I80=""),"Alamat kosong",IF($N80="","Jabatan kosong",IF($O80="","No. HP kosong",IF(AND($R80&lt;&gt;"",$R80&lt;17),"Usia di bawah 17","")))))))))</f>
        <v/>
      </c>
      <c r="Z80" s="40" t="str">
        <f aca="false">IF($B80="","",IF(AND(OR(CARI!$C$5="",ISNUMBER(SEARCH(CARI!$C$5,$B80&amp;" "&amp;$C80&amp;" "&amp;$D80&amp;" "&amp;$O80&amp;" "&amp;$I80&amp;" "&amp;$F80&amp;" "&amp;$J80&amp;" "&amp;$K80&amp;" "&amp;$L80&amp;" "&amp;$V80))),OR(CARI!$C$6="",$F80=CARI!$C$6),OR(CARI!$C$7="",$G80=CARI!$C$7),OR(CARI!$C$8="",$T80=CARI!$C$8)),MAX($Z$3:Z79)+1,""))</f>
        <v/>
      </c>
      <c r="AA80" s="40" t="str">
        <f aca="false">IF($Y80="","",MAX($AA$3:AA79)+1)</f>
        <v/>
      </c>
      <c r="AB80" s="40" t="str">
        <f aca="false">IF($F80="","",$F80&amp;"#"&amp;COUNTIF($F$4:$F80,$F80))</f>
        <v/>
      </c>
      <c r="AC80" s="40" t="str">
        <f aca="false">IF($B80="","",IF(AND(OR(CETAK!$J$10="",$F80=CETAK!$J$10),OR(CETAK!$J$11="",$G80=CETAK!$J$11),OR(CETAK!$J$12="",$P80=CETAK!$J$12),OR(CETAK!$J$13="",$N80=CETAK!$J$13),OR(CETAK!$J$14="",$T80=CETAK!$J$14)),MAX($AC$3:AC79)+1,""))</f>
        <v/>
      </c>
      <c r="AD80" s="40" t="str">
        <f aca="false">IF($B80="","",IF(AND(OR(ABSENSI!$H$10="",$F80=ABSENSI!$H$10),OR(ABSENSI!$H$11="",$G80=ABSENSI!$H$11),OR(ABSENSI!$H$12="",$P80=ABSENSI!$H$12)),MAX($AD$3:AD79)+1,""))</f>
        <v/>
      </c>
      <c r="AE80" s="40" t="str">
        <f aca="false">IF($B80="","",IF(AND(OR(KARTU!$K$6="",$F80=KARTU!$K$6),OR(KARTU!$K$7="",$G80=KARTU!$K$7),OR(KARTU!$K$8="",$P80=KARTU!$K$8)),MAX($AE$3:AE79)+1,""))</f>
        <v/>
      </c>
    </row>
    <row r="81" customFormat="false" ht="15" hidden="false" customHeight="false" outlineLevel="0" collapsed="false">
      <c r="A81" s="35" t="str">
        <f aca="false">IF($B81="","",COUNTA($B$4:$B81))</f>
        <v/>
      </c>
      <c r="B81" s="36"/>
      <c r="C81" s="37"/>
      <c r="D81" s="37"/>
      <c r="E81" s="38"/>
      <c r="F81" s="36"/>
      <c r="G81" s="39"/>
      <c r="H81" s="39"/>
      <c r="I81" s="36"/>
      <c r="J81" s="36"/>
      <c r="K81" s="36"/>
      <c r="L81" s="36"/>
      <c r="M81" s="40" t="str">
        <f aca="false">IF($F81="","",$F81&amp;IF($G81="",""," - RT "&amp;$G81&amp;IF($H81="","","/"&amp;$H81)))</f>
        <v/>
      </c>
      <c r="N81" s="36"/>
      <c r="O81" s="37"/>
      <c r="P81" s="39"/>
      <c r="Q81" s="41"/>
      <c r="R81" s="35" t="str">
        <f aca="true">IF(OR($B81="",$Q81=""),"",DATEDIF($Q81,TODAY(),"Y"))</f>
        <v/>
      </c>
      <c r="S81" s="40" t="str">
        <f aca="false">IF($R81="","",INDEX(usia_label,MATCH($R81,usia_min,1)))</f>
        <v/>
      </c>
      <c r="T81" s="36"/>
      <c r="U81" s="41"/>
      <c r="V81" s="36"/>
      <c r="W81" s="36"/>
      <c r="X81" s="40" t="str">
        <f aca="false">IF($M81="","",$M81&amp;"#"&amp;COUNTIF($M$4:$M81,$M81))</f>
        <v/>
      </c>
      <c r="Y81" s="40" t="str">
        <f aca="false">IF($B81="","",IF($C81="","NIK kosong",IF(LEN($C81)&lt;&gt;16,"NIK bukan 16 digit",IF(COUNTIF($C$4:$C$2003,$C81&amp;"*")&gt;1,"NIK ganda",IF(AND($D81&lt;&gt;"",LEN($D81)&lt;&gt;16),"No. KK bukan 16 digit",IF(AND($F81="",$I81=""),"Alamat kosong",IF($N81="","Jabatan kosong",IF($O81="","No. HP kosong",IF(AND($R81&lt;&gt;"",$R81&lt;17),"Usia di bawah 17","")))))))))</f>
        <v/>
      </c>
      <c r="Z81" s="40" t="str">
        <f aca="false">IF($B81="","",IF(AND(OR(CARI!$C$5="",ISNUMBER(SEARCH(CARI!$C$5,$B81&amp;" "&amp;$C81&amp;" "&amp;$D81&amp;" "&amp;$O81&amp;" "&amp;$I81&amp;" "&amp;$F81&amp;" "&amp;$J81&amp;" "&amp;$K81&amp;" "&amp;$L81&amp;" "&amp;$V81))),OR(CARI!$C$6="",$F81=CARI!$C$6),OR(CARI!$C$7="",$G81=CARI!$C$7),OR(CARI!$C$8="",$T81=CARI!$C$8)),MAX($Z$3:Z80)+1,""))</f>
        <v/>
      </c>
      <c r="AA81" s="40" t="str">
        <f aca="false">IF($Y81="","",MAX($AA$3:AA80)+1)</f>
        <v/>
      </c>
      <c r="AB81" s="40" t="str">
        <f aca="false">IF($F81="","",$F81&amp;"#"&amp;COUNTIF($F$4:$F81,$F81))</f>
        <v/>
      </c>
      <c r="AC81" s="40" t="str">
        <f aca="false">IF($B81="","",IF(AND(OR(CETAK!$J$10="",$F81=CETAK!$J$10),OR(CETAK!$J$11="",$G81=CETAK!$J$11),OR(CETAK!$J$12="",$P81=CETAK!$J$12),OR(CETAK!$J$13="",$N81=CETAK!$J$13),OR(CETAK!$J$14="",$T81=CETAK!$J$14)),MAX($AC$3:AC80)+1,""))</f>
        <v/>
      </c>
      <c r="AD81" s="40" t="str">
        <f aca="false">IF($B81="","",IF(AND(OR(ABSENSI!$H$10="",$F81=ABSENSI!$H$10),OR(ABSENSI!$H$11="",$G81=ABSENSI!$H$11),OR(ABSENSI!$H$12="",$P81=ABSENSI!$H$12)),MAX($AD$3:AD80)+1,""))</f>
        <v/>
      </c>
      <c r="AE81" s="40" t="str">
        <f aca="false">IF($B81="","",IF(AND(OR(KARTU!$K$6="",$F81=KARTU!$K$6),OR(KARTU!$K$7="",$G81=KARTU!$K$7),OR(KARTU!$K$8="",$P81=KARTU!$K$8)),MAX($AE$3:AE80)+1,""))</f>
        <v/>
      </c>
    </row>
    <row r="82" customFormat="false" ht="15" hidden="false" customHeight="false" outlineLevel="0" collapsed="false">
      <c r="A82" s="35" t="str">
        <f aca="false">IF($B82="","",COUNTA($B$4:$B82))</f>
        <v/>
      </c>
      <c r="B82" s="36"/>
      <c r="C82" s="37"/>
      <c r="D82" s="37"/>
      <c r="E82" s="38"/>
      <c r="F82" s="36"/>
      <c r="G82" s="39"/>
      <c r="H82" s="39"/>
      <c r="I82" s="36"/>
      <c r="J82" s="36"/>
      <c r="K82" s="36"/>
      <c r="L82" s="36"/>
      <c r="M82" s="40" t="str">
        <f aca="false">IF($F82="","",$F82&amp;IF($G82="",""," - RT "&amp;$G82&amp;IF($H82="","","/"&amp;$H82)))</f>
        <v/>
      </c>
      <c r="N82" s="36"/>
      <c r="O82" s="37"/>
      <c r="P82" s="39"/>
      <c r="Q82" s="41"/>
      <c r="R82" s="35" t="str">
        <f aca="true">IF(OR($B82="",$Q82=""),"",DATEDIF($Q82,TODAY(),"Y"))</f>
        <v/>
      </c>
      <c r="S82" s="40" t="str">
        <f aca="false">IF($R82="","",INDEX(usia_label,MATCH($R82,usia_min,1)))</f>
        <v/>
      </c>
      <c r="T82" s="36"/>
      <c r="U82" s="41"/>
      <c r="V82" s="36"/>
      <c r="W82" s="36"/>
      <c r="X82" s="40" t="str">
        <f aca="false">IF($M82="","",$M82&amp;"#"&amp;COUNTIF($M$4:$M82,$M82))</f>
        <v/>
      </c>
      <c r="Y82" s="40" t="str">
        <f aca="false">IF($B82="","",IF($C82="","NIK kosong",IF(LEN($C82)&lt;&gt;16,"NIK bukan 16 digit",IF(COUNTIF($C$4:$C$2003,$C82&amp;"*")&gt;1,"NIK ganda",IF(AND($D82&lt;&gt;"",LEN($D82)&lt;&gt;16),"No. KK bukan 16 digit",IF(AND($F82="",$I82=""),"Alamat kosong",IF($N82="","Jabatan kosong",IF($O82="","No. HP kosong",IF(AND($R82&lt;&gt;"",$R82&lt;17),"Usia di bawah 17","")))))))))</f>
        <v/>
      </c>
      <c r="Z82" s="40" t="str">
        <f aca="false">IF($B82="","",IF(AND(OR(CARI!$C$5="",ISNUMBER(SEARCH(CARI!$C$5,$B82&amp;" "&amp;$C82&amp;" "&amp;$D82&amp;" "&amp;$O82&amp;" "&amp;$I82&amp;" "&amp;$F82&amp;" "&amp;$J82&amp;" "&amp;$K82&amp;" "&amp;$L82&amp;" "&amp;$V82))),OR(CARI!$C$6="",$F82=CARI!$C$6),OR(CARI!$C$7="",$G82=CARI!$C$7),OR(CARI!$C$8="",$T82=CARI!$C$8)),MAX($Z$3:Z81)+1,""))</f>
        <v/>
      </c>
      <c r="AA82" s="40" t="str">
        <f aca="false">IF($Y82="","",MAX($AA$3:AA81)+1)</f>
        <v/>
      </c>
      <c r="AB82" s="40" t="str">
        <f aca="false">IF($F82="","",$F82&amp;"#"&amp;COUNTIF($F$4:$F82,$F82))</f>
        <v/>
      </c>
      <c r="AC82" s="40" t="str">
        <f aca="false">IF($B82="","",IF(AND(OR(CETAK!$J$10="",$F82=CETAK!$J$10),OR(CETAK!$J$11="",$G82=CETAK!$J$11),OR(CETAK!$J$12="",$P82=CETAK!$J$12),OR(CETAK!$J$13="",$N82=CETAK!$J$13),OR(CETAK!$J$14="",$T82=CETAK!$J$14)),MAX($AC$3:AC81)+1,""))</f>
        <v/>
      </c>
      <c r="AD82" s="40" t="str">
        <f aca="false">IF($B82="","",IF(AND(OR(ABSENSI!$H$10="",$F82=ABSENSI!$H$10),OR(ABSENSI!$H$11="",$G82=ABSENSI!$H$11),OR(ABSENSI!$H$12="",$P82=ABSENSI!$H$12)),MAX($AD$3:AD81)+1,""))</f>
        <v/>
      </c>
      <c r="AE82" s="40" t="str">
        <f aca="false">IF($B82="","",IF(AND(OR(KARTU!$K$6="",$F82=KARTU!$K$6),OR(KARTU!$K$7="",$G82=KARTU!$K$7),OR(KARTU!$K$8="",$P82=KARTU!$K$8)),MAX($AE$3:AE81)+1,""))</f>
        <v/>
      </c>
    </row>
    <row r="83" customFormat="false" ht="15" hidden="false" customHeight="false" outlineLevel="0" collapsed="false">
      <c r="A83" s="35" t="str">
        <f aca="false">IF($B83="","",COUNTA($B$4:$B83))</f>
        <v/>
      </c>
      <c r="B83" s="36"/>
      <c r="C83" s="37"/>
      <c r="D83" s="37"/>
      <c r="E83" s="38"/>
      <c r="F83" s="36"/>
      <c r="G83" s="39"/>
      <c r="H83" s="39"/>
      <c r="I83" s="36"/>
      <c r="J83" s="36"/>
      <c r="K83" s="36"/>
      <c r="L83" s="36"/>
      <c r="M83" s="40" t="str">
        <f aca="false">IF($F83="","",$F83&amp;IF($G83="",""," - RT "&amp;$G83&amp;IF($H83="","","/"&amp;$H83)))</f>
        <v/>
      </c>
      <c r="N83" s="36"/>
      <c r="O83" s="37"/>
      <c r="P83" s="39"/>
      <c r="Q83" s="41"/>
      <c r="R83" s="35" t="str">
        <f aca="true">IF(OR($B83="",$Q83=""),"",DATEDIF($Q83,TODAY(),"Y"))</f>
        <v/>
      </c>
      <c r="S83" s="40" t="str">
        <f aca="false">IF($R83="","",INDEX(usia_label,MATCH($R83,usia_min,1)))</f>
        <v/>
      </c>
      <c r="T83" s="36"/>
      <c r="U83" s="41"/>
      <c r="V83" s="36"/>
      <c r="W83" s="36"/>
      <c r="X83" s="40" t="str">
        <f aca="false">IF($M83="","",$M83&amp;"#"&amp;COUNTIF($M$4:$M83,$M83))</f>
        <v/>
      </c>
      <c r="Y83" s="40" t="str">
        <f aca="false">IF($B83="","",IF($C83="","NIK kosong",IF(LEN($C83)&lt;&gt;16,"NIK bukan 16 digit",IF(COUNTIF($C$4:$C$2003,$C83&amp;"*")&gt;1,"NIK ganda",IF(AND($D83&lt;&gt;"",LEN($D83)&lt;&gt;16),"No. KK bukan 16 digit",IF(AND($F83="",$I83=""),"Alamat kosong",IF($N83="","Jabatan kosong",IF($O83="","No. HP kosong",IF(AND($R83&lt;&gt;"",$R83&lt;17),"Usia di bawah 17","")))))))))</f>
        <v/>
      </c>
      <c r="Z83" s="40" t="str">
        <f aca="false">IF($B83="","",IF(AND(OR(CARI!$C$5="",ISNUMBER(SEARCH(CARI!$C$5,$B83&amp;" "&amp;$C83&amp;" "&amp;$D83&amp;" "&amp;$O83&amp;" "&amp;$I83&amp;" "&amp;$F83&amp;" "&amp;$J83&amp;" "&amp;$K83&amp;" "&amp;$L83&amp;" "&amp;$V83))),OR(CARI!$C$6="",$F83=CARI!$C$6),OR(CARI!$C$7="",$G83=CARI!$C$7),OR(CARI!$C$8="",$T83=CARI!$C$8)),MAX($Z$3:Z82)+1,""))</f>
        <v/>
      </c>
      <c r="AA83" s="40" t="str">
        <f aca="false">IF($Y83="","",MAX($AA$3:AA82)+1)</f>
        <v/>
      </c>
      <c r="AB83" s="40" t="str">
        <f aca="false">IF($F83="","",$F83&amp;"#"&amp;COUNTIF($F$4:$F83,$F83))</f>
        <v/>
      </c>
      <c r="AC83" s="40" t="str">
        <f aca="false">IF($B83="","",IF(AND(OR(CETAK!$J$10="",$F83=CETAK!$J$10),OR(CETAK!$J$11="",$G83=CETAK!$J$11),OR(CETAK!$J$12="",$P83=CETAK!$J$12),OR(CETAK!$J$13="",$N83=CETAK!$J$13),OR(CETAK!$J$14="",$T83=CETAK!$J$14)),MAX($AC$3:AC82)+1,""))</f>
        <v/>
      </c>
      <c r="AD83" s="40" t="str">
        <f aca="false">IF($B83="","",IF(AND(OR(ABSENSI!$H$10="",$F83=ABSENSI!$H$10),OR(ABSENSI!$H$11="",$G83=ABSENSI!$H$11),OR(ABSENSI!$H$12="",$P83=ABSENSI!$H$12)),MAX($AD$3:AD82)+1,""))</f>
        <v/>
      </c>
      <c r="AE83" s="40" t="str">
        <f aca="false">IF($B83="","",IF(AND(OR(KARTU!$K$6="",$F83=KARTU!$K$6),OR(KARTU!$K$7="",$G83=KARTU!$K$7),OR(KARTU!$K$8="",$P83=KARTU!$K$8)),MAX($AE$3:AE82)+1,""))</f>
        <v/>
      </c>
    </row>
    <row r="84" customFormat="false" ht="15" hidden="false" customHeight="false" outlineLevel="0" collapsed="false">
      <c r="A84" s="35" t="str">
        <f aca="false">IF($B84="","",COUNTA($B$4:$B84))</f>
        <v/>
      </c>
      <c r="B84" s="36"/>
      <c r="C84" s="37"/>
      <c r="D84" s="37"/>
      <c r="E84" s="38"/>
      <c r="F84" s="36"/>
      <c r="G84" s="39"/>
      <c r="H84" s="39"/>
      <c r="I84" s="36"/>
      <c r="J84" s="36"/>
      <c r="K84" s="36"/>
      <c r="L84" s="36"/>
      <c r="M84" s="40" t="str">
        <f aca="false">IF($F84="","",$F84&amp;IF($G84="",""," - RT "&amp;$G84&amp;IF($H84="","","/"&amp;$H84)))</f>
        <v/>
      </c>
      <c r="N84" s="36"/>
      <c r="O84" s="37"/>
      <c r="P84" s="39"/>
      <c r="Q84" s="41"/>
      <c r="R84" s="35" t="str">
        <f aca="true">IF(OR($B84="",$Q84=""),"",DATEDIF($Q84,TODAY(),"Y"))</f>
        <v/>
      </c>
      <c r="S84" s="40" t="str">
        <f aca="false">IF($R84="","",INDEX(usia_label,MATCH($R84,usia_min,1)))</f>
        <v/>
      </c>
      <c r="T84" s="36"/>
      <c r="U84" s="41"/>
      <c r="V84" s="36"/>
      <c r="W84" s="36"/>
      <c r="X84" s="40" t="str">
        <f aca="false">IF($M84="","",$M84&amp;"#"&amp;COUNTIF($M$4:$M84,$M84))</f>
        <v/>
      </c>
      <c r="Y84" s="40" t="str">
        <f aca="false">IF($B84="","",IF($C84="","NIK kosong",IF(LEN($C84)&lt;&gt;16,"NIK bukan 16 digit",IF(COUNTIF($C$4:$C$2003,$C84&amp;"*")&gt;1,"NIK ganda",IF(AND($D84&lt;&gt;"",LEN($D84)&lt;&gt;16),"No. KK bukan 16 digit",IF(AND($F84="",$I84=""),"Alamat kosong",IF($N84="","Jabatan kosong",IF($O84="","No. HP kosong",IF(AND($R84&lt;&gt;"",$R84&lt;17),"Usia di bawah 17","")))))))))</f>
        <v/>
      </c>
      <c r="Z84" s="40" t="str">
        <f aca="false">IF($B84="","",IF(AND(OR(CARI!$C$5="",ISNUMBER(SEARCH(CARI!$C$5,$B84&amp;" "&amp;$C84&amp;" "&amp;$D84&amp;" "&amp;$O84&amp;" "&amp;$I84&amp;" "&amp;$F84&amp;" "&amp;$J84&amp;" "&amp;$K84&amp;" "&amp;$L84&amp;" "&amp;$V84))),OR(CARI!$C$6="",$F84=CARI!$C$6),OR(CARI!$C$7="",$G84=CARI!$C$7),OR(CARI!$C$8="",$T84=CARI!$C$8)),MAX($Z$3:Z83)+1,""))</f>
        <v/>
      </c>
      <c r="AA84" s="40" t="str">
        <f aca="false">IF($Y84="","",MAX($AA$3:AA83)+1)</f>
        <v/>
      </c>
      <c r="AB84" s="40" t="str">
        <f aca="false">IF($F84="","",$F84&amp;"#"&amp;COUNTIF($F$4:$F84,$F84))</f>
        <v/>
      </c>
      <c r="AC84" s="40" t="str">
        <f aca="false">IF($B84="","",IF(AND(OR(CETAK!$J$10="",$F84=CETAK!$J$10),OR(CETAK!$J$11="",$G84=CETAK!$J$11),OR(CETAK!$J$12="",$P84=CETAK!$J$12),OR(CETAK!$J$13="",$N84=CETAK!$J$13),OR(CETAK!$J$14="",$T84=CETAK!$J$14)),MAX($AC$3:AC83)+1,""))</f>
        <v/>
      </c>
      <c r="AD84" s="40" t="str">
        <f aca="false">IF($B84="","",IF(AND(OR(ABSENSI!$H$10="",$F84=ABSENSI!$H$10),OR(ABSENSI!$H$11="",$G84=ABSENSI!$H$11),OR(ABSENSI!$H$12="",$P84=ABSENSI!$H$12)),MAX($AD$3:AD83)+1,""))</f>
        <v/>
      </c>
      <c r="AE84" s="40" t="str">
        <f aca="false">IF($B84="","",IF(AND(OR(KARTU!$K$6="",$F84=KARTU!$K$6),OR(KARTU!$K$7="",$G84=KARTU!$K$7),OR(KARTU!$K$8="",$P84=KARTU!$K$8)),MAX($AE$3:AE83)+1,""))</f>
        <v/>
      </c>
    </row>
    <row r="85" customFormat="false" ht="15" hidden="false" customHeight="false" outlineLevel="0" collapsed="false">
      <c r="A85" s="35" t="str">
        <f aca="false">IF($B85="","",COUNTA($B$4:$B85))</f>
        <v/>
      </c>
      <c r="B85" s="36"/>
      <c r="C85" s="37"/>
      <c r="D85" s="37"/>
      <c r="E85" s="38"/>
      <c r="F85" s="36"/>
      <c r="G85" s="39"/>
      <c r="H85" s="39"/>
      <c r="I85" s="36"/>
      <c r="J85" s="36"/>
      <c r="K85" s="36"/>
      <c r="L85" s="36"/>
      <c r="M85" s="40" t="str">
        <f aca="false">IF($F85="","",$F85&amp;IF($G85="",""," - RT "&amp;$G85&amp;IF($H85="","","/"&amp;$H85)))</f>
        <v/>
      </c>
      <c r="N85" s="36"/>
      <c r="O85" s="37"/>
      <c r="P85" s="39"/>
      <c r="Q85" s="41"/>
      <c r="R85" s="35" t="str">
        <f aca="true">IF(OR($B85="",$Q85=""),"",DATEDIF($Q85,TODAY(),"Y"))</f>
        <v/>
      </c>
      <c r="S85" s="40" t="str">
        <f aca="false">IF($R85="","",INDEX(usia_label,MATCH($R85,usia_min,1)))</f>
        <v/>
      </c>
      <c r="T85" s="36"/>
      <c r="U85" s="41"/>
      <c r="V85" s="36"/>
      <c r="W85" s="36"/>
      <c r="X85" s="40" t="str">
        <f aca="false">IF($M85="","",$M85&amp;"#"&amp;COUNTIF($M$4:$M85,$M85))</f>
        <v/>
      </c>
      <c r="Y85" s="40" t="str">
        <f aca="false">IF($B85="","",IF($C85="","NIK kosong",IF(LEN($C85)&lt;&gt;16,"NIK bukan 16 digit",IF(COUNTIF($C$4:$C$2003,$C85&amp;"*")&gt;1,"NIK ganda",IF(AND($D85&lt;&gt;"",LEN($D85)&lt;&gt;16),"No. KK bukan 16 digit",IF(AND($F85="",$I85=""),"Alamat kosong",IF($N85="","Jabatan kosong",IF($O85="","No. HP kosong",IF(AND($R85&lt;&gt;"",$R85&lt;17),"Usia di bawah 17","")))))))))</f>
        <v/>
      </c>
      <c r="Z85" s="40" t="str">
        <f aca="false">IF($B85="","",IF(AND(OR(CARI!$C$5="",ISNUMBER(SEARCH(CARI!$C$5,$B85&amp;" "&amp;$C85&amp;" "&amp;$D85&amp;" "&amp;$O85&amp;" "&amp;$I85&amp;" "&amp;$F85&amp;" "&amp;$J85&amp;" "&amp;$K85&amp;" "&amp;$L85&amp;" "&amp;$V85))),OR(CARI!$C$6="",$F85=CARI!$C$6),OR(CARI!$C$7="",$G85=CARI!$C$7),OR(CARI!$C$8="",$T85=CARI!$C$8)),MAX($Z$3:Z84)+1,""))</f>
        <v/>
      </c>
      <c r="AA85" s="40" t="str">
        <f aca="false">IF($Y85="","",MAX($AA$3:AA84)+1)</f>
        <v/>
      </c>
      <c r="AB85" s="40" t="str">
        <f aca="false">IF($F85="","",$F85&amp;"#"&amp;COUNTIF($F$4:$F85,$F85))</f>
        <v/>
      </c>
      <c r="AC85" s="40" t="str">
        <f aca="false">IF($B85="","",IF(AND(OR(CETAK!$J$10="",$F85=CETAK!$J$10),OR(CETAK!$J$11="",$G85=CETAK!$J$11),OR(CETAK!$J$12="",$P85=CETAK!$J$12),OR(CETAK!$J$13="",$N85=CETAK!$J$13),OR(CETAK!$J$14="",$T85=CETAK!$J$14)),MAX($AC$3:AC84)+1,""))</f>
        <v/>
      </c>
      <c r="AD85" s="40" t="str">
        <f aca="false">IF($B85="","",IF(AND(OR(ABSENSI!$H$10="",$F85=ABSENSI!$H$10),OR(ABSENSI!$H$11="",$G85=ABSENSI!$H$11),OR(ABSENSI!$H$12="",$P85=ABSENSI!$H$12)),MAX($AD$3:AD84)+1,""))</f>
        <v/>
      </c>
      <c r="AE85" s="40" t="str">
        <f aca="false">IF($B85="","",IF(AND(OR(KARTU!$K$6="",$F85=KARTU!$K$6),OR(KARTU!$K$7="",$G85=KARTU!$K$7),OR(KARTU!$K$8="",$P85=KARTU!$K$8)),MAX($AE$3:AE84)+1,""))</f>
        <v/>
      </c>
    </row>
    <row r="86" customFormat="false" ht="15" hidden="false" customHeight="false" outlineLevel="0" collapsed="false">
      <c r="A86" s="35" t="str">
        <f aca="false">IF($B86="","",COUNTA($B$4:$B86))</f>
        <v/>
      </c>
      <c r="B86" s="36"/>
      <c r="C86" s="37"/>
      <c r="D86" s="37"/>
      <c r="E86" s="38"/>
      <c r="F86" s="36"/>
      <c r="G86" s="39"/>
      <c r="H86" s="39"/>
      <c r="I86" s="36"/>
      <c r="J86" s="36"/>
      <c r="K86" s="36"/>
      <c r="L86" s="36"/>
      <c r="M86" s="40" t="str">
        <f aca="false">IF($F86="","",$F86&amp;IF($G86="",""," - RT "&amp;$G86&amp;IF($H86="","","/"&amp;$H86)))</f>
        <v/>
      </c>
      <c r="N86" s="36"/>
      <c r="O86" s="37"/>
      <c r="P86" s="39"/>
      <c r="Q86" s="41"/>
      <c r="R86" s="35" t="str">
        <f aca="true">IF(OR($B86="",$Q86=""),"",DATEDIF($Q86,TODAY(),"Y"))</f>
        <v/>
      </c>
      <c r="S86" s="40" t="str">
        <f aca="false">IF($R86="","",INDEX(usia_label,MATCH($R86,usia_min,1)))</f>
        <v/>
      </c>
      <c r="T86" s="36"/>
      <c r="U86" s="41"/>
      <c r="V86" s="36"/>
      <c r="W86" s="36"/>
      <c r="X86" s="40" t="str">
        <f aca="false">IF($M86="","",$M86&amp;"#"&amp;COUNTIF($M$4:$M86,$M86))</f>
        <v/>
      </c>
      <c r="Y86" s="40" t="str">
        <f aca="false">IF($B86="","",IF($C86="","NIK kosong",IF(LEN($C86)&lt;&gt;16,"NIK bukan 16 digit",IF(COUNTIF($C$4:$C$2003,$C86&amp;"*")&gt;1,"NIK ganda",IF(AND($D86&lt;&gt;"",LEN($D86)&lt;&gt;16),"No. KK bukan 16 digit",IF(AND($F86="",$I86=""),"Alamat kosong",IF($N86="","Jabatan kosong",IF($O86="","No. HP kosong",IF(AND($R86&lt;&gt;"",$R86&lt;17),"Usia di bawah 17","")))))))))</f>
        <v/>
      </c>
      <c r="Z86" s="40" t="str">
        <f aca="false">IF($B86="","",IF(AND(OR(CARI!$C$5="",ISNUMBER(SEARCH(CARI!$C$5,$B86&amp;" "&amp;$C86&amp;" "&amp;$D86&amp;" "&amp;$O86&amp;" "&amp;$I86&amp;" "&amp;$F86&amp;" "&amp;$J86&amp;" "&amp;$K86&amp;" "&amp;$L86&amp;" "&amp;$V86))),OR(CARI!$C$6="",$F86=CARI!$C$6),OR(CARI!$C$7="",$G86=CARI!$C$7),OR(CARI!$C$8="",$T86=CARI!$C$8)),MAX($Z$3:Z85)+1,""))</f>
        <v/>
      </c>
      <c r="AA86" s="40" t="str">
        <f aca="false">IF($Y86="","",MAX($AA$3:AA85)+1)</f>
        <v/>
      </c>
      <c r="AB86" s="40" t="str">
        <f aca="false">IF($F86="","",$F86&amp;"#"&amp;COUNTIF($F$4:$F86,$F86))</f>
        <v/>
      </c>
      <c r="AC86" s="40" t="str">
        <f aca="false">IF($B86="","",IF(AND(OR(CETAK!$J$10="",$F86=CETAK!$J$10),OR(CETAK!$J$11="",$G86=CETAK!$J$11),OR(CETAK!$J$12="",$P86=CETAK!$J$12),OR(CETAK!$J$13="",$N86=CETAK!$J$13),OR(CETAK!$J$14="",$T86=CETAK!$J$14)),MAX($AC$3:AC85)+1,""))</f>
        <v/>
      </c>
      <c r="AD86" s="40" t="str">
        <f aca="false">IF($B86="","",IF(AND(OR(ABSENSI!$H$10="",$F86=ABSENSI!$H$10),OR(ABSENSI!$H$11="",$G86=ABSENSI!$H$11),OR(ABSENSI!$H$12="",$P86=ABSENSI!$H$12)),MAX($AD$3:AD85)+1,""))</f>
        <v/>
      </c>
      <c r="AE86" s="40" t="str">
        <f aca="false">IF($B86="","",IF(AND(OR(KARTU!$K$6="",$F86=KARTU!$K$6),OR(KARTU!$K$7="",$G86=KARTU!$K$7),OR(KARTU!$K$8="",$P86=KARTU!$K$8)),MAX($AE$3:AE85)+1,""))</f>
        <v/>
      </c>
    </row>
    <row r="87" customFormat="false" ht="15" hidden="false" customHeight="false" outlineLevel="0" collapsed="false">
      <c r="A87" s="35" t="str">
        <f aca="false">IF($B87="","",COUNTA($B$4:$B87))</f>
        <v/>
      </c>
      <c r="B87" s="36"/>
      <c r="C87" s="37"/>
      <c r="D87" s="37"/>
      <c r="E87" s="38"/>
      <c r="F87" s="36"/>
      <c r="G87" s="39"/>
      <c r="H87" s="39"/>
      <c r="I87" s="36"/>
      <c r="J87" s="36"/>
      <c r="K87" s="36"/>
      <c r="L87" s="36"/>
      <c r="M87" s="40" t="str">
        <f aca="false">IF($F87="","",$F87&amp;IF($G87="",""," - RT "&amp;$G87&amp;IF($H87="","","/"&amp;$H87)))</f>
        <v/>
      </c>
      <c r="N87" s="36"/>
      <c r="O87" s="37"/>
      <c r="P87" s="39"/>
      <c r="Q87" s="41"/>
      <c r="R87" s="35" t="str">
        <f aca="true">IF(OR($B87="",$Q87=""),"",DATEDIF($Q87,TODAY(),"Y"))</f>
        <v/>
      </c>
      <c r="S87" s="40" t="str">
        <f aca="false">IF($R87="","",INDEX(usia_label,MATCH($R87,usia_min,1)))</f>
        <v/>
      </c>
      <c r="T87" s="36"/>
      <c r="U87" s="41"/>
      <c r="V87" s="36"/>
      <c r="W87" s="36"/>
      <c r="X87" s="40" t="str">
        <f aca="false">IF($M87="","",$M87&amp;"#"&amp;COUNTIF($M$4:$M87,$M87))</f>
        <v/>
      </c>
      <c r="Y87" s="40" t="str">
        <f aca="false">IF($B87="","",IF($C87="","NIK kosong",IF(LEN($C87)&lt;&gt;16,"NIK bukan 16 digit",IF(COUNTIF($C$4:$C$2003,$C87&amp;"*")&gt;1,"NIK ganda",IF(AND($D87&lt;&gt;"",LEN($D87)&lt;&gt;16),"No. KK bukan 16 digit",IF(AND($F87="",$I87=""),"Alamat kosong",IF($N87="","Jabatan kosong",IF($O87="","No. HP kosong",IF(AND($R87&lt;&gt;"",$R87&lt;17),"Usia di bawah 17","")))))))))</f>
        <v/>
      </c>
      <c r="Z87" s="40" t="str">
        <f aca="false">IF($B87="","",IF(AND(OR(CARI!$C$5="",ISNUMBER(SEARCH(CARI!$C$5,$B87&amp;" "&amp;$C87&amp;" "&amp;$D87&amp;" "&amp;$O87&amp;" "&amp;$I87&amp;" "&amp;$F87&amp;" "&amp;$J87&amp;" "&amp;$K87&amp;" "&amp;$L87&amp;" "&amp;$V87))),OR(CARI!$C$6="",$F87=CARI!$C$6),OR(CARI!$C$7="",$G87=CARI!$C$7),OR(CARI!$C$8="",$T87=CARI!$C$8)),MAX($Z$3:Z86)+1,""))</f>
        <v/>
      </c>
      <c r="AA87" s="40" t="str">
        <f aca="false">IF($Y87="","",MAX($AA$3:AA86)+1)</f>
        <v/>
      </c>
      <c r="AB87" s="40" t="str">
        <f aca="false">IF($F87="","",$F87&amp;"#"&amp;COUNTIF($F$4:$F87,$F87))</f>
        <v/>
      </c>
      <c r="AC87" s="40" t="str">
        <f aca="false">IF($B87="","",IF(AND(OR(CETAK!$J$10="",$F87=CETAK!$J$10),OR(CETAK!$J$11="",$G87=CETAK!$J$11),OR(CETAK!$J$12="",$P87=CETAK!$J$12),OR(CETAK!$J$13="",$N87=CETAK!$J$13),OR(CETAK!$J$14="",$T87=CETAK!$J$14)),MAX($AC$3:AC86)+1,""))</f>
        <v/>
      </c>
      <c r="AD87" s="40" t="str">
        <f aca="false">IF($B87="","",IF(AND(OR(ABSENSI!$H$10="",$F87=ABSENSI!$H$10),OR(ABSENSI!$H$11="",$G87=ABSENSI!$H$11),OR(ABSENSI!$H$12="",$P87=ABSENSI!$H$12)),MAX($AD$3:AD86)+1,""))</f>
        <v/>
      </c>
      <c r="AE87" s="40" t="str">
        <f aca="false">IF($B87="","",IF(AND(OR(KARTU!$K$6="",$F87=KARTU!$K$6),OR(KARTU!$K$7="",$G87=KARTU!$K$7),OR(KARTU!$K$8="",$P87=KARTU!$K$8)),MAX($AE$3:AE86)+1,""))</f>
        <v/>
      </c>
    </row>
    <row r="88" customFormat="false" ht="15" hidden="false" customHeight="false" outlineLevel="0" collapsed="false">
      <c r="A88" s="35" t="str">
        <f aca="false">IF($B88="","",COUNTA($B$4:$B88))</f>
        <v/>
      </c>
      <c r="B88" s="36"/>
      <c r="C88" s="37"/>
      <c r="D88" s="37"/>
      <c r="E88" s="38"/>
      <c r="F88" s="36"/>
      <c r="G88" s="39"/>
      <c r="H88" s="39"/>
      <c r="I88" s="36"/>
      <c r="J88" s="36"/>
      <c r="K88" s="36"/>
      <c r="L88" s="36"/>
      <c r="M88" s="40" t="str">
        <f aca="false">IF($F88="","",$F88&amp;IF($G88="",""," - RT "&amp;$G88&amp;IF($H88="","","/"&amp;$H88)))</f>
        <v/>
      </c>
      <c r="N88" s="36"/>
      <c r="O88" s="37"/>
      <c r="P88" s="39"/>
      <c r="Q88" s="41"/>
      <c r="R88" s="35" t="str">
        <f aca="true">IF(OR($B88="",$Q88=""),"",DATEDIF($Q88,TODAY(),"Y"))</f>
        <v/>
      </c>
      <c r="S88" s="40" t="str">
        <f aca="false">IF($R88="","",INDEX(usia_label,MATCH($R88,usia_min,1)))</f>
        <v/>
      </c>
      <c r="T88" s="36"/>
      <c r="U88" s="41"/>
      <c r="V88" s="36"/>
      <c r="W88" s="36"/>
      <c r="X88" s="40" t="str">
        <f aca="false">IF($M88="","",$M88&amp;"#"&amp;COUNTIF($M$4:$M88,$M88))</f>
        <v/>
      </c>
      <c r="Y88" s="40" t="str">
        <f aca="false">IF($B88="","",IF($C88="","NIK kosong",IF(LEN($C88)&lt;&gt;16,"NIK bukan 16 digit",IF(COUNTIF($C$4:$C$2003,$C88&amp;"*")&gt;1,"NIK ganda",IF(AND($D88&lt;&gt;"",LEN($D88)&lt;&gt;16),"No. KK bukan 16 digit",IF(AND($F88="",$I88=""),"Alamat kosong",IF($N88="","Jabatan kosong",IF($O88="","No. HP kosong",IF(AND($R88&lt;&gt;"",$R88&lt;17),"Usia di bawah 17","")))))))))</f>
        <v/>
      </c>
      <c r="Z88" s="40" t="str">
        <f aca="false">IF($B88="","",IF(AND(OR(CARI!$C$5="",ISNUMBER(SEARCH(CARI!$C$5,$B88&amp;" "&amp;$C88&amp;" "&amp;$D88&amp;" "&amp;$O88&amp;" "&amp;$I88&amp;" "&amp;$F88&amp;" "&amp;$J88&amp;" "&amp;$K88&amp;" "&amp;$L88&amp;" "&amp;$V88))),OR(CARI!$C$6="",$F88=CARI!$C$6),OR(CARI!$C$7="",$G88=CARI!$C$7),OR(CARI!$C$8="",$T88=CARI!$C$8)),MAX($Z$3:Z87)+1,""))</f>
        <v/>
      </c>
      <c r="AA88" s="40" t="str">
        <f aca="false">IF($Y88="","",MAX($AA$3:AA87)+1)</f>
        <v/>
      </c>
      <c r="AB88" s="40" t="str">
        <f aca="false">IF($F88="","",$F88&amp;"#"&amp;COUNTIF($F$4:$F88,$F88))</f>
        <v/>
      </c>
      <c r="AC88" s="40" t="str">
        <f aca="false">IF($B88="","",IF(AND(OR(CETAK!$J$10="",$F88=CETAK!$J$10),OR(CETAK!$J$11="",$G88=CETAK!$J$11),OR(CETAK!$J$12="",$P88=CETAK!$J$12),OR(CETAK!$J$13="",$N88=CETAK!$J$13),OR(CETAK!$J$14="",$T88=CETAK!$J$14)),MAX($AC$3:AC87)+1,""))</f>
        <v/>
      </c>
      <c r="AD88" s="40" t="str">
        <f aca="false">IF($B88="","",IF(AND(OR(ABSENSI!$H$10="",$F88=ABSENSI!$H$10),OR(ABSENSI!$H$11="",$G88=ABSENSI!$H$11),OR(ABSENSI!$H$12="",$P88=ABSENSI!$H$12)),MAX($AD$3:AD87)+1,""))</f>
        <v/>
      </c>
      <c r="AE88" s="40" t="str">
        <f aca="false">IF($B88="","",IF(AND(OR(KARTU!$K$6="",$F88=KARTU!$K$6),OR(KARTU!$K$7="",$G88=KARTU!$K$7),OR(KARTU!$K$8="",$P88=KARTU!$K$8)),MAX($AE$3:AE87)+1,""))</f>
        <v/>
      </c>
    </row>
    <row r="89" customFormat="false" ht="15" hidden="false" customHeight="false" outlineLevel="0" collapsed="false">
      <c r="A89" s="35" t="str">
        <f aca="false">IF($B89="","",COUNTA($B$4:$B89))</f>
        <v/>
      </c>
      <c r="B89" s="36"/>
      <c r="C89" s="37"/>
      <c r="D89" s="37"/>
      <c r="E89" s="38"/>
      <c r="F89" s="36"/>
      <c r="G89" s="39"/>
      <c r="H89" s="39"/>
      <c r="I89" s="36"/>
      <c r="J89" s="36"/>
      <c r="K89" s="36"/>
      <c r="L89" s="36"/>
      <c r="M89" s="40" t="str">
        <f aca="false">IF($F89="","",$F89&amp;IF($G89="",""," - RT "&amp;$G89&amp;IF($H89="","","/"&amp;$H89)))</f>
        <v/>
      </c>
      <c r="N89" s="36"/>
      <c r="O89" s="37"/>
      <c r="P89" s="39"/>
      <c r="Q89" s="41"/>
      <c r="R89" s="35" t="str">
        <f aca="true">IF(OR($B89="",$Q89=""),"",DATEDIF($Q89,TODAY(),"Y"))</f>
        <v/>
      </c>
      <c r="S89" s="40" t="str">
        <f aca="false">IF($R89="","",INDEX(usia_label,MATCH($R89,usia_min,1)))</f>
        <v/>
      </c>
      <c r="T89" s="36"/>
      <c r="U89" s="41"/>
      <c r="V89" s="36"/>
      <c r="W89" s="36"/>
      <c r="X89" s="40" t="str">
        <f aca="false">IF($M89="","",$M89&amp;"#"&amp;COUNTIF($M$4:$M89,$M89))</f>
        <v/>
      </c>
      <c r="Y89" s="40" t="str">
        <f aca="false">IF($B89="","",IF($C89="","NIK kosong",IF(LEN($C89)&lt;&gt;16,"NIK bukan 16 digit",IF(COUNTIF($C$4:$C$2003,$C89&amp;"*")&gt;1,"NIK ganda",IF(AND($D89&lt;&gt;"",LEN($D89)&lt;&gt;16),"No. KK bukan 16 digit",IF(AND($F89="",$I89=""),"Alamat kosong",IF($N89="","Jabatan kosong",IF($O89="","No. HP kosong",IF(AND($R89&lt;&gt;"",$R89&lt;17),"Usia di bawah 17","")))))))))</f>
        <v/>
      </c>
      <c r="Z89" s="40" t="str">
        <f aca="false">IF($B89="","",IF(AND(OR(CARI!$C$5="",ISNUMBER(SEARCH(CARI!$C$5,$B89&amp;" "&amp;$C89&amp;" "&amp;$D89&amp;" "&amp;$O89&amp;" "&amp;$I89&amp;" "&amp;$F89&amp;" "&amp;$J89&amp;" "&amp;$K89&amp;" "&amp;$L89&amp;" "&amp;$V89))),OR(CARI!$C$6="",$F89=CARI!$C$6),OR(CARI!$C$7="",$G89=CARI!$C$7),OR(CARI!$C$8="",$T89=CARI!$C$8)),MAX($Z$3:Z88)+1,""))</f>
        <v/>
      </c>
      <c r="AA89" s="40" t="str">
        <f aca="false">IF($Y89="","",MAX($AA$3:AA88)+1)</f>
        <v/>
      </c>
      <c r="AB89" s="40" t="str">
        <f aca="false">IF($F89="","",$F89&amp;"#"&amp;COUNTIF($F$4:$F89,$F89))</f>
        <v/>
      </c>
      <c r="AC89" s="40" t="str">
        <f aca="false">IF($B89="","",IF(AND(OR(CETAK!$J$10="",$F89=CETAK!$J$10),OR(CETAK!$J$11="",$G89=CETAK!$J$11),OR(CETAK!$J$12="",$P89=CETAK!$J$12),OR(CETAK!$J$13="",$N89=CETAK!$J$13),OR(CETAK!$J$14="",$T89=CETAK!$J$14)),MAX($AC$3:AC88)+1,""))</f>
        <v/>
      </c>
      <c r="AD89" s="40" t="str">
        <f aca="false">IF($B89="","",IF(AND(OR(ABSENSI!$H$10="",$F89=ABSENSI!$H$10),OR(ABSENSI!$H$11="",$G89=ABSENSI!$H$11),OR(ABSENSI!$H$12="",$P89=ABSENSI!$H$12)),MAX($AD$3:AD88)+1,""))</f>
        <v/>
      </c>
      <c r="AE89" s="40" t="str">
        <f aca="false">IF($B89="","",IF(AND(OR(KARTU!$K$6="",$F89=KARTU!$K$6),OR(KARTU!$K$7="",$G89=KARTU!$K$7),OR(KARTU!$K$8="",$P89=KARTU!$K$8)),MAX($AE$3:AE88)+1,""))</f>
        <v/>
      </c>
    </row>
    <row r="90" customFormat="false" ht="15" hidden="false" customHeight="false" outlineLevel="0" collapsed="false">
      <c r="A90" s="35" t="str">
        <f aca="false">IF($B90="","",COUNTA($B$4:$B90))</f>
        <v/>
      </c>
      <c r="B90" s="36"/>
      <c r="C90" s="37"/>
      <c r="D90" s="37"/>
      <c r="E90" s="38"/>
      <c r="F90" s="36"/>
      <c r="G90" s="39"/>
      <c r="H90" s="39"/>
      <c r="I90" s="36"/>
      <c r="J90" s="36"/>
      <c r="K90" s="36"/>
      <c r="L90" s="36"/>
      <c r="M90" s="40" t="str">
        <f aca="false">IF($F90="","",$F90&amp;IF($G90="",""," - RT "&amp;$G90&amp;IF($H90="","","/"&amp;$H90)))</f>
        <v/>
      </c>
      <c r="N90" s="36"/>
      <c r="O90" s="37"/>
      <c r="P90" s="39"/>
      <c r="Q90" s="41"/>
      <c r="R90" s="35" t="str">
        <f aca="true">IF(OR($B90="",$Q90=""),"",DATEDIF($Q90,TODAY(),"Y"))</f>
        <v/>
      </c>
      <c r="S90" s="40" t="str">
        <f aca="false">IF($R90="","",INDEX(usia_label,MATCH($R90,usia_min,1)))</f>
        <v/>
      </c>
      <c r="T90" s="36"/>
      <c r="U90" s="41"/>
      <c r="V90" s="36"/>
      <c r="W90" s="36"/>
      <c r="X90" s="40" t="str">
        <f aca="false">IF($M90="","",$M90&amp;"#"&amp;COUNTIF($M$4:$M90,$M90))</f>
        <v/>
      </c>
      <c r="Y90" s="40" t="str">
        <f aca="false">IF($B90="","",IF($C90="","NIK kosong",IF(LEN($C90)&lt;&gt;16,"NIK bukan 16 digit",IF(COUNTIF($C$4:$C$2003,$C90&amp;"*")&gt;1,"NIK ganda",IF(AND($D90&lt;&gt;"",LEN($D90)&lt;&gt;16),"No. KK bukan 16 digit",IF(AND($F90="",$I90=""),"Alamat kosong",IF($N90="","Jabatan kosong",IF($O90="","No. HP kosong",IF(AND($R90&lt;&gt;"",$R90&lt;17),"Usia di bawah 17","")))))))))</f>
        <v/>
      </c>
      <c r="Z90" s="40" t="str">
        <f aca="false">IF($B90="","",IF(AND(OR(CARI!$C$5="",ISNUMBER(SEARCH(CARI!$C$5,$B90&amp;" "&amp;$C90&amp;" "&amp;$D90&amp;" "&amp;$O90&amp;" "&amp;$I90&amp;" "&amp;$F90&amp;" "&amp;$J90&amp;" "&amp;$K90&amp;" "&amp;$L90&amp;" "&amp;$V90))),OR(CARI!$C$6="",$F90=CARI!$C$6),OR(CARI!$C$7="",$G90=CARI!$C$7),OR(CARI!$C$8="",$T90=CARI!$C$8)),MAX($Z$3:Z89)+1,""))</f>
        <v/>
      </c>
      <c r="AA90" s="40" t="str">
        <f aca="false">IF($Y90="","",MAX($AA$3:AA89)+1)</f>
        <v/>
      </c>
      <c r="AB90" s="40" t="str">
        <f aca="false">IF($F90="","",$F90&amp;"#"&amp;COUNTIF($F$4:$F90,$F90))</f>
        <v/>
      </c>
      <c r="AC90" s="40" t="str">
        <f aca="false">IF($B90="","",IF(AND(OR(CETAK!$J$10="",$F90=CETAK!$J$10),OR(CETAK!$J$11="",$G90=CETAK!$J$11),OR(CETAK!$J$12="",$P90=CETAK!$J$12),OR(CETAK!$J$13="",$N90=CETAK!$J$13),OR(CETAK!$J$14="",$T90=CETAK!$J$14)),MAX($AC$3:AC89)+1,""))</f>
        <v/>
      </c>
      <c r="AD90" s="40" t="str">
        <f aca="false">IF($B90="","",IF(AND(OR(ABSENSI!$H$10="",$F90=ABSENSI!$H$10),OR(ABSENSI!$H$11="",$G90=ABSENSI!$H$11),OR(ABSENSI!$H$12="",$P90=ABSENSI!$H$12)),MAX($AD$3:AD89)+1,""))</f>
        <v/>
      </c>
      <c r="AE90" s="40" t="str">
        <f aca="false">IF($B90="","",IF(AND(OR(KARTU!$K$6="",$F90=KARTU!$K$6),OR(KARTU!$K$7="",$G90=KARTU!$K$7),OR(KARTU!$K$8="",$P90=KARTU!$K$8)),MAX($AE$3:AE89)+1,""))</f>
        <v/>
      </c>
    </row>
    <row r="91" customFormat="false" ht="15" hidden="false" customHeight="false" outlineLevel="0" collapsed="false">
      <c r="A91" s="35" t="str">
        <f aca="false">IF($B91="","",COUNTA($B$4:$B91))</f>
        <v/>
      </c>
      <c r="B91" s="36"/>
      <c r="C91" s="37"/>
      <c r="D91" s="37"/>
      <c r="E91" s="38"/>
      <c r="F91" s="36"/>
      <c r="G91" s="39"/>
      <c r="H91" s="39"/>
      <c r="I91" s="36"/>
      <c r="J91" s="36"/>
      <c r="K91" s="36"/>
      <c r="L91" s="36"/>
      <c r="M91" s="40" t="str">
        <f aca="false">IF($F91="","",$F91&amp;IF($G91="",""," - RT "&amp;$G91&amp;IF($H91="","","/"&amp;$H91)))</f>
        <v/>
      </c>
      <c r="N91" s="36"/>
      <c r="O91" s="37"/>
      <c r="P91" s="39"/>
      <c r="Q91" s="41"/>
      <c r="R91" s="35" t="str">
        <f aca="true">IF(OR($B91="",$Q91=""),"",DATEDIF($Q91,TODAY(),"Y"))</f>
        <v/>
      </c>
      <c r="S91" s="40" t="str">
        <f aca="false">IF($R91="","",INDEX(usia_label,MATCH($R91,usia_min,1)))</f>
        <v/>
      </c>
      <c r="T91" s="36"/>
      <c r="U91" s="41"/>
      <c r="V91" s="36"/>
      <c r="W91" s="36"/>
      <c r="X91" s="40" t="str">
        <f aca="false">IF($M91="","",$M91&amp;"#"&amp;COUNTIF($M$4:$M91,$M91))</f>
        <v/>
      </c>
      <c r="Y91" s="40" t="str">
        <f aca="false">IF($B91="","",IF($C91="","NIK kosong",IF(LEN($C91)&lt;&gt;16,"NIK bukan 16 digit",IF(COUNTIF($C$4:$C$2003,$C91&amp;"*")&gt;1,"NIK ganda",IF(AND($D91&lt;&gt;"",LEN($D91)&lt;&gt;16),"No. KK bukan 16 digit",IF(AND($F91="",$I91=""),"Alamat kosong",IF($N91="","Jabatan kosong",IF($O91="","No. HP kosong",IF(AND($R91&lt;&gt;"",$R91&lt;17),"Usia di bawah 17","")))))))))</f>
        <v/>
      </c>
      <c r="Z91" s="40" t="str">
        <f aca="false">IF($B91="","",IF(AND(OR(CARI!$C$5="",ISNUMBER(SEARCH(CARI!$C$5,$B91&amp;" "&amp;$C91&amp;" "&amp;$D91&amp;" "&amp;$O91&amp;" "&amp;$I91&amp;" "&amp;$F91&amp;" "&amp;$J91&amp;" "&amp;$K91&amp;" "&amp;$L91&amp;" "&amp;$V91))),OR(CARI!$C$6="",$F91=CARI!$C$6),OR(CARI!$C$7="",$G91=CARI!$C$7),OR(CARI!$C$8="",$T91=CARI!$C$8)),MAX($Z$3:Z90)+1,""))</f>
        <v/>
      </c>
      <c r="AA91" s="40" t="str">
        <f aca="false">IF($Y91="","",MAX($AA$3:AA90)+1)</f>
        <v/>
      </c>
      <c r="AB91" s="40" t="str">
        <f aca="false">IF($F91="","",$F91&amp;"#"&amp;COUNTIF($F$4:$F91,$F91))</f>
        <v/>
      </c>
      <c r="AC91" s="40" t="str">
        <f aca="false">IF($B91="","",IF(AND(OR(CETAK!$J$10="",$F91=CETAK!$J$10),OR(CETAK!$J$11="",$G91=CETAK!$J$11),OR(CETAK!$J$12="",$P91=CETAK!$J$12),OR(CETAK!$J$13="",$N91=CETAK!$J$13),OR(CETAK!$J$14="",$T91=CETAK!$J$14)),MAX($AC$3:AC90)+1,""))</f>
        <v/>
      </c>
      <c r="AD91" s="40" t="str">
        <f aca="false">IF($B91="","",IF(AND(OR(ABSENSI!$H$10="",$F91=ABSENSI!$H$10),OR(ABSENSI!$H$11="",$G91=ABSENSI!$H$11),OR(ABSENSI!$H$12="",$P91=ABSENSI!$H$12)),MAX($AD$3:AD90)+1,""))</f>
        <v/>
      </c>
      <c r="AE91" s="40" t="str">
        <f aca="false">IF($B91="","",IF(AND(OR(KARTU!$K$6="",$F91=KARTU!$K$6),OR(KARTU!$K$7="",$G91=KARTU!$K$7),OR(KARTU!$K$8="",$P91=KARTU!$K$8)),MAX($AE$3:AE90)+1,""))</f>
        <v/>
      </c>
    </row>
    <row r="92" customFormat="false" ht="15" hidden="false" customHeight="false" outlineLevel="0" collapsed="false">
      <c r="A92" s="35" t="str">
        <f aca="false">IF($B92="","",COUNTA($B$4:$B92))</f>
        <v/>
      </c>
      <c r="B92" s="36"/>
      <c r="C92" s="37"/>
      <c r="D92" s="37"/>
      <c r="E92" s="38"/>
      <c r="F92" s="36"/>
      <c r="G92" s="39"/>
      <c r="H92" s="39"/>
      <c r="I92" s="36"/>
      <c r="J92" s="36"/>
      <c r="K92" s="36"/>
      <c r="L92" s="36"/>
      <c r="M92" s="40" t="str">
        <f aca="false">IF($F92="","",$F92&amp;IF($G92="",""," - RT "&amp;$G92&amp;IF($H92="","","/"&amp;$H92)))</f>
        <v/>
      </c>
      <c r="N92" s="36"/>
      <c r="O92" s="37"/>
      <c r="P92" s="39"/>
      <c r="Q92" s="41"/>
      <c r="R92" s="35" t="str">
        <f aca="true">IF(OR($B92="",$Q92=""),"",DATEDIF($Q92,TODAY(),"Y"))</f>
        <v/>
      </c>
      <c r="S92" s="40" t="str">
        <f aca="false">IF($R92="","",INDEX(usia_label,MATCH($R92,usia_min,1)))</f>
        <v/>
      </c>
      <c r="T92" s="36"/>
      <c r="U92" s="41"/>
      <c r="V92" s="36"/>
      <c r="W92" s="36"/>
      <c r="X92" s="40" t="str">
        <f aca="false">IF($M92="","",$M92&amp;"#"&amp;COUNTIF($M$4:$M92,$M92))</f>
        <v/>
      </c>
      <c r="Y92" s="40" t="str">
        <f aca="false">IF($B92="","",IF($C92="","NIK kosong",IF(LEN($C92)&lt;&gt;16,"NIK bukan 16 digit",IF(COUNTIF($C$4:$C$2003,$C92&amp;"*")&gt;1,"NIK ganda",IF(AND($D92&lt;&gt;"",LEN($D92)&lt;&gt;16),"No. KK bukan 16 digit",IF(AND($F92="",$I92=""),"Alamat kosong",IF($N92="","Jabatan kosong",IF($O92="","No. HP kosong",IF(AND($R92&lt;&gt;"",$R92&lt;17),"Usia di bawah 17","")))))))))</f>
        <v/>
      </c>
      <c r="Z92" s="40" t="str">
        <f aca="false">IF($B92="","",IF(AND(OR(CARI!$C$5="",ISNUMBER(SEARCH(CARI!$C$5,$B92&amp;" "&amp;$C92&amp;" "&amp;$D92&amp;" "&amp;$O92&amp;" "&amp;$I92&amp;" "&amp;$F92&amp;" "&amp;$J92&amp;" "&amp;$K92&amp;" "&amp;$L92&amp;" "&amp;$V92))),OR(CARI!$C$6="",$F92=CARI!$C$6),OR(CARI!$C$7="",$G92=CARI!$C$7),OR(CARI!$C$8="",$T92=CARI!$C$8)),MAX($Z$3:Z91)+1,""))</f>
        <v/>
      </c>
      <c r="AA92" s="40" t="str">
        <f aca="false">IF($Y92="","",MAX($AA$3:AA91)+1)</f>
        <v/>
      </c>
      <c r="AB92" s="40" t="str">
        <f aca="false">IF($F92="","",$F92&amp;"#"&amp;COUNTIF($F$4:$F92,$F92))</f>
        <v/>
      </c>
      <c r="AC92" s="40" t="str">
        <f aca="false">IF($B92="","",IF(AND(OR(CETAK!$J$10="",$F92=CETAK!$J$10),OR(CETAK!$J$11="",$G92=CETAK!$J$11),OR(CETAK!$J$12="",$P92=CETAK!$J$12),OR(CETAK!$J$13="",$N92=CETAK!$J$13),OR(CETAK!$J$14="",$T92=CETAK!$J$14)),MAX($AC$3:AC91)+1,""))</f>
        <v/>
      </c>
      <c r="AD92" s="40" t="str">
        <f aca="false">IF($B92="","",IF(AND(OR(ABSENSI!$H$10="",$F92=ABSENSI!$H$10),OR(ABSENSI!$H$11="",$G92=ABSENSI!$H$11),OR(ABSENSI!$H$12="",$P92=ABSENSI!$H$12)),MAX($AD$3:AD91)+1,""))</f>
        <v/>
      </c>
      <c r="AE92" s="40" t="str">
        <f aca="false">IF($B92="","",IF(AND(OR(KARTU!$K$6="",$F92=KARTU!$K$6),OR(KARTU!$K$7="",$G92=KARTU!$K$7),OR(KARTU!$K$8="",$P92=KARTU!$K$8)),MAX($AE$3:AE91)+1,""))</f>
        <v/>
      </c>
    </row>
    <row r="93" customFormat="false" ht="15" hidden="false" customHeight="false" outlineLevel="0" collapsed="false">
      <c r="A93" s="35" t="str">
        <f aca="false">IF($B93="","",COUNTA($B$4:$B93))</f>
        <v/>
      </c>
      <c r="B93" s="36"/>
      <c r="C93" s="37"/>
      <c r="D93" s="37"/>
      <c r="E93" s="38"/>
      <c r="F93" s="36"/>
      <c r="G93" s="39"/>
      <c r="H93" s="39"/>
      <c r="I93" s="36"/>
      <c r="J93" s="36"/>
      <c r="K93" s="36"/>
      <c r="L93" s="36"/>
      <c r="M93" s="40" t="str">
        <f aca="false">IF($F93="","",$F93&amp;IF($G93="",""," - RT "&amp;$G93&amp;IF($H93="","","/"&amp;$H93)))</f>
        <v/>
      </c>
      <c r="N93" s="36"/>
      <c r="O93" s="37"/>
      <c r="P93" s="39"/>
      <c r="Q93" s="41"/>
      <c r="R93" s="35" t="str">
        <f aca="true">IF(OR($B93="",$Q93=""),"",DATEDIF($Q93,TODAY(),"Y"))</f>
        <v/>
      </c>
      <c r="S93" s="40" t="str">
        <f aca="false">IF($R93="","",INDEX(usia_label,MATCH($R93,usia_min,1)))</f>
        <v/>
      </c>
      <c r="T93" s="36"/>
      <c r="U93" s="41"/>
      <c r="V93" s="36"/>
      <c r="W93" s="36"/>
      <c r="X93" s="40" t="str">
        <f aca="false">IF($M93="","",$M93&amp;"#"&amp;COUNTIF($M$4:$M93,$M93))</f>
        <v/>
      </c>
      <c r="Y93" s="40" t="str">
        <f aca="false">IF($B93="","",IF($C93="","NIK kosong",IF(LEN($C93)&lt;&gt;16,"NIK bukan 16 digit",IF(COUNTIF($C$4:$C$2003,$C93&amp;"*")&gt;1,"NIK ganda",IF(AND($D93&lt;&gt;"",LEN($D93)&lt;&gt;16),"No. KK bukan 16 digit",IF(AND($F93="",$I93=""),"Alamat kosong",IF($N93="","Jabatan kosong",IF($O93="","No. HP kosong",IF(AND($R93&lt;&gt;"",$R93&lt;17),"Usia di bawah 17","")))))))))</f>
        <v/>
      </c>
      <c r="Z93" s="40" t="str">
        <f aca="false">IF($B93="","",IF(AND(OR(CARI!$C$5="",ISNUMBER(SEARCH(CARI!$C$5,$B93&amp;" "&amp;$C93&amp;" "&amp;$D93&amp;" "&amp;$O93&amp;" "&amp;$I93&amp;" "&amp;$F93&amp;" "&amp;$J93&amp;" "&amp;$K93&amp;" "&amp;$L93&amp;" "&amp;$V93))),OR(CARI!$C$6="",$F93=CARI!$C$6),OR(CARI!$C$7="",$G93=CARI!$C$7),OR(CARI!$C$8="",$T93=CARI!$C$8)),MAX($Z$3:Z92)+1,""))</f>
        <v/>
      </c>
      <c r="AA93" s="40" t="str">
        <f aca="false">IF($Y93="","",MAX($AA$3:AA92)+1)</f>
        <v/>
      </c>
      <c r="AB93" s="40" t="str">
        <f aca="false">IF($F93="","",$F93&amp;"#"&amp;COUNTIF($F$4:$F93,$F93))</f>
        <v/>
      </c>
      <c r="AC93" s="40" t="str">
        <f aca="false">IF($B93="","",IF(AND(OR(CETAK!$J$10="",$F93=CETAK!$J$10),OR(CETAK!$J$11="",$G93=CETAK!$J$11),OR(CETAK!$J$12="",$P93=CETAK!$J$12),OR(CETAK!$J$13="",$N93=CETAK!$J$13),OR(CETAK!$J$14="",$T93=CETAK!$J$14)),MAX($AC$3:AC92)+1,""))</f>
        <v/>
      </c>
      <c r="AD93" s="40" t="str">
        <f aca="false">IF($B93="","",IF(AND(OR(ABSENSI!$H$10="",$F93=ABSENSI!$H$10),OR(ABSENSI!$H$11="",$G93=ABSENSI!$H$11),OR(ABSENSI!$H$12="",$P93=ABSENSI!$H$12)),MAX($AD$3:AD92)+1,""))</f>
        <v/>
      </c>
      <c r="AE93" s="40" t="str">
        <f aca="false">IF($B93="","",IF(AND(OR(KARTU!$K$6="",$F93=KARTU!$K$6),OR(KARTU!$K$7="",$G93=KARTU!$K$7),OR(KARTU!$K$8="",$P93=KARTU!$K$8)),MAX($AE$3:AE92)+1,""))</f>
        <v/>
      </c>
    </row>
    <row r="94" customFormat="false" ht="15" hidden="false" customHeight="false" outlineLevel="0" collapsed="false">
      <c r="A94" s="35" t="str">
        <f aca="false">IF($B94="","",COUNTA($B$4:$B94))</f>
        <v/>
      </c>
      <c r="B94" s="36"/>
      <c r="C94" s="37"/>
      <c r="D94" s="37"/>
      <c r="E94" s="38"/>
      <c r="F94" s="36"/>
      <c r="G94" s="39"/>
      <c r="H94" s="39"/>
      <c r="I94" s="36"/>
      <c r="J94" s="36"/>
      <c r="K94" s="36"/>
      <c r="L94" s="36"/>
      <c r="M94" s="40" t="str">
        <f aca="false">IF($F94="","",$F94&amp;IF($G94="",""," - RT "&amp;$G94&amp;IF($H94="","","/"&amp;$H94)))</f>
        <v/>
      </c>
      <c r="N94" s="36"/>
      <c r="O94" s="37"/>
      <c r="P94" s="39"/>
      <c r="Q94" s="41"/>
      <c r="R94" s="35" t="str">
        <f aca="true">IF(OR($B94="",$Q94=""),"",DATEDIF($Q94,TODAY(),"Y"))</f>
        <v/>
      </c>
      <c r="S94" s="40" t="str">
        <f aca="false">IF($R94="","",INDEX(usia_label,MATCH($R94,usia_min,1)))</f>
        <v/>
      </c>
      <c r="T94" s="36"/>
      <c r="U94" s="41"/>
      <c r="V94" s="36"/>
      <c r="W94" s="36"/>
      <c r="X94" s="40" t="str">
        <f aca="false">IF($M94="","",$M94&amp;"#"&amp;COUNTIF($M$4:$M94,$M94))</f>
        <v/>
      </c>
      <c r="Y94" s="40" t="str">
        <f aca="false">IF($B94="","",IF($C94="","NIK kosong",IF(LEN($C94)&lt;&gt;16,"NIK bukan 16 digit",IF(COUNTIF($C$4:$C$2003,$C94&amp;"*")&gt;1,"NIK ganda",IF(AND($D94&lt;&gt;"",LEN($D94)&lt;&gt;16),"No. KK bukan 16 digit",IF(AND($F94="",$I94=""),"Alamat kosong",IF($N94="","Jabatan kosong",IF($O94="","No. HP kosong",IF(AND($R94&lt;&gt;"",$R94&lt;17),"Usia di bawah 17","")))))))))</f>
        <v/>
      </c>
      <c r="Z94" s="40" t="str">
        <f aca="false">IF($B94="","",IF(AND(OR(CARI!$C$5="",ISNUMBER(SEARCH(CARI!$C$5,$B94&amp;" "&amp;$C94&amp;" "&amp;$D94&amp;" "&amp;$O94&amp;" "&amp;$I94&amp;" "&amp;$F94&amp;" "&amp;$J94&amp;" "&amp;$K94&amp;" "&amp;$L94&amp;" "&amp;$V94))),OR(CARI!$C$6="",$F94=CARI!$C$6),OR(CARI!$C$7="",$G94=CARI!$C$7),OR(CARI!$C$8="",$T94=CARI!$C$8)),MAX($Z$3:Z93)+1,""))</f>
        <v/>
      </c>
      <c r="AA94" s="40" t="str">
        <f aca="false">IF($Y94="","",MAX($AA$3:AA93)+1)</f>
        <v/>
      </c>
      <c r="AB94" s="40" t="str">
        <f aca="false">IF($F94="","",$F94&amp;"#"&amp;COUNTIF($F$4:$F94,$F94))</f>
        <v/>
      </c>
      <c r="AC94" s="40" t="str">
        <f aca="false">IF($B94="","",IF(AND(OR(CETAK!$J$10="",$F94=CETAK!$J$10),OR(CETAK!$J$11="",$G94=CETAK!$J$11),OR(CETAK!$J$12="",$P94=CETAK!$J$12),OR(CETAK!$J$13="",$N94=CETAK!$J$13),OR(CETAK!$J$14="",$T94=CETAK!$J$14)),MAX($AC$3:AC93)+1,""))</f>
        <v/>
      </c>
      <c r="AD94" s="40" t="str">
        <f aca="false">IF($B94="","",IF(AND(OR(ABSENSI!$H$10="",$F94=ABSENSI!$H$10),OR(ABSENSI!$H$11="",$G94=ABSENSI!$H$11),OR(ABSENSI!$H$12="",$P94=ABSENSI!$H$12)),MAX($AD$3:AD93)+1,""))</f>
        <v/>
      </c>
      <c r="AE94" s="40" t="str">
        <f aca="false">IF($B94="","",IF(AND(OR(KARTU!$K$6="",$F94=KARTU!$K$6),OR(KARTU!$K$7="",$G94=KARTU!$K$7),OR(KARTU!$K$8="",$P94=KARTU!$K$8)),MAX($AE$3:AE93)+1,""))</f>
        <v/>
      </c>
    </row>
    <row r="95" customFormat="false" ht="15" hidden="false" customHeight="false" outlineLevel="0" collapsed="false">
      <c r="A95" s="35" t="str">
        <f aca="false">IF($B95="","",COUNTA($B$4:$B95))</f>
        <v/>
      </c>
      <c r="B95" s="36"/>
      <c r="C95" s="37"/>
      <c r="D95" s="37"/>
      <c r="E95" s="38"/>
      <c r="F95" s="36"/>
      <c r="G95" s="39"/>
      <c r="H95" s="39"/>
      <c r="I95" s="36"/>
      <c r="J95" s="36"/>
      <c r="K95" s="36"/>
      <c r="L95" s="36"/>
      <c r="M95" s="40" t="str">
        <f aca="false">IF($F95="","",$F95&amp;IF($G95="",""," - RT "&amp;$G95&amp;IF($H95="","","/"&amp;$H95)))</f>
        <v/>
      </c>
      <c r="N95" s="36"/>
      <c r="O95" s="37"/>
      <c r="P95" s="39"/>
      <c r="Q95" s="41"/>
      <c r="R95" s="35" t="str">
        <f aca="true">IF(OR($B95="",$Q95=""),"",DATEDIF($Q95,TODAY(),"Y"))</f>
        <v/>
      </c>
      <c r="S95" s="40" t="str">
        <f aca="false">IF($R95="","",INDEX(usia_label,MATCH($R95,usia_min,1)))</f>
        <v/>
      </c>
      <c r="T95" s="36"/>
      <c r="U95" s="41"/>
      <c r="V95" s="36"/>
      <c r="W95" s="36"/>
      <c r="X95" s="40" t="str">
        <f aca="false">IF($M95="","",$M95&amp;"#"&amp;COUNTIF($M$4:$M95,$M95))</f>
        <v/>
      </c>
      <c r="Y95" s="40" t="str">
        <f aca="false">IF($B95="","",IF($C95="","NIK kosong",IF(LEN($C95)&lt;&gt;16,"NIK bukan 16 digit",IF(COUNTIF($C$4:$C$2003,$C95&amp;"*")&gt;1,"NIK ganda",IF(AND($D95&lt;&gt;"",LEN($D95)&lt;&gt;16),"No. KK bukan 16 digit",IF(AND($F95="",$I95=""),"Alamat kosong",IF($N95="","Jabatan kosong",IF($O95="","No. HP kosong",IF(AND($R95&lt;&gt;"",$R95&lt;17),"Usia di bawah 17","")))))))))</f>
        <v/>
      </c>
      <c r="Z95" s="40" t="str">
        <f aca="false">IF($B95="","",IF(AND(OR(CARI!$C$5="",ISNUMBER(SEARCH(CARI!$C$5,$B95&amp;" "&amp;$C95&amp;" "&amp;$D95&amp;" "&amp;$O95&amp;" "&amp;$I95&amp;" "&amp;$F95&amp;" "&amp;$J95&amp;" "&amp;$K95&amp;" "&amp;$L95&amp;" "&amp;$V95))),OR(CARI!$C$6="",$F95=CARI!$C$6),OR(CARI!$C$7="",$G95=CARI!$C$7),OR(CARI!$C$8="",$T95=CARI!$C$8)),MAX($Z$3:Z94)+1,""))</f>
        <v/>
      </c>
      <c r="AA95" s="40" t="str">
        <f aca="false">IF($Y95="","",MAX($AA$3:AA94)+1)</f>
        <v/>
      </c>
      <c r="AB95" s="40" t="str">
        <f aca="false">IF($F95="","",$F95&amp;"#"&amp;COUNTIF($F$4:$F95,$F95))</f>
        <v/>
      </c>
      <c r="AC95" s="40" t="str">
        <f aca="false">IF($B95="","",IF(AND(OR(CETAK!$J$10="",$F95=CETAK!$J$10),OR(CETAK!$J$11="",$G95=CETAK!$J$11),OR(CETAK!$J$12="",$P95=CETAK!$J$12),OR(CETAK!$J$13="",$N95=CETAK!$J$13),OR(CETAK!$J$14="",$T95=CETAK!$J$14)),MAX($AC$3:AC94)+1,""))</f>
        <v/>
      </c>
      <c r="AD95" s="40" t="str">
        <f aca="false">IF($B95="","",IF(AND(OR(ABSENSI!$H$10="",$F95=ABSENSI!$H$10),OR(ABSENSI!$H$11="",$G95=ABSENSI!$H$11),OR(ABSENSI!$H$12="",$P95=ABSENSI!$H$12)),MAX($AD$3:AD94)+1,""))</f>
        <v/>
      </c>
      <c r="AE95" s="40" t="str">
        <f aca="false">IF($B95="","",IF(AND(OR(KARTU!$K$6="",$F95=KARTU!$K$6),OR(KARTU!$K$7="",$G95=KARTU!$K$7),OR(KARTU!$K$8="",$P95=KARTU!$K$8)),MAX($AE$3:AE94)+1,""))</f>
        <v/>
      </c>
    </row>
    <row r="96" customFormat="false" ht="15" hidden="false" customHeight="false" outlineLevel="0" collapsed="false">
      <c r="A96" s="35" t="str">
        <f aca="false">IF($B96="","",COUNTA($B$4:$B96))</f>
        <v/>
      </c>
      <c r="B96" s="36"/>
      <c r="C96" s="37"/>
      <c r="D96" s="37"/>
      <c r="E96" s="38"/>
      <c r="F96" s="36"/>
      <c r="G96" s="39"/>
      <c r="H96" s="39"/>
      <c r="I96" s="36"/>
      <c r="J96" s="36"/>
      <c r="K96" s="36"/>
      <c r="L96" s="36"/>
      <c r="M96" s="40" t="str">
        <f aca="false">IF($F96="","",$F96&amp;IF($G96="",""," - RT "&amp;$G96&amp;IF($H96="","","/"&amp;$H96)))</f>
        <v/>
      </c>
      <c r="N96" s="36"/>
      <c r="O96" s="37"/>
      <c r="P96" s="39"/>
      <c r="Q96" s="41"/>
      <c r="R96" s="35" t="str">
        <f aca="true">IF(OR($B96="",$Q96=""),"",DATEDIF($Q96,TODAY(),"Y"))</f>
        <v/>
      </c>
      <c r="S96" s="40" t="str">
        <f aca="false">IF($R96="","",INDEX(usia_label,MATCH($R96,usia_min,1)))</f>
        <v/>
      </c>
      <c r="T96" s="36"/>
      <c r="U96" s="41"/>
      <c r="V96" s="36"/>
      <c r="W96" s="36"/>
      <c r="X96" s="40" t="str">
        <f aca="false">IF($M96="","",$M96&amp;"#"&amp;COUNTIF($M$4:$M96,$M96))</f>
        <v/>
      </c>
      <c r="Y96" s="40" t="str">
        <f aca="false">IF($B96="","",IF($C96="","NIK kosong",IF(LEN($C96)&lt;&gt;16,"NIK bukan 16 digit",IF(COUNTIF($C$4:$C$2003,$C96&amp;"*")&gt;1,"NIK ganda",IF(AND($D96&lt;&gt;"",LEN($D96)&lt;&gt;16),"No. KK bukan 16 digit",IF(AND($F96="",$I96=""),"Alamat kosong",IF($N96="","Jabatan kosong",IF($O96="","No. HP kosong",IF(AND($R96&lt;&gt;"",$R96&lt;17),"Usia di bawah 17","")))))))))</f>
        <v/>
      </c>
      <c r="Z96" s="40" t="str">
        <f aca="false">IF($B96="","",IF(AND(OR(CARI!$C$5="",ISNUMBER(SEARCH(CARI!$C$5,$B96&amp;" "&amp;$C96&amp;" "&amp;$D96&amp;" "&amp;$O96&amp;" "&amp;$I96&amp;" "&amp;$F96&amp;" "&amp;$J96&amp;" "&amp;$K96&amp;" "&amp;$L96&amp;" "&amp;$V96))),OR(CARI!$C$6="",$F96=CARI!$C$6),OR(CARI!$C$7="",$G96=CARI!$C$7),OR(CARI!$C$8="",$T96=CARI!$C$8)),MAX($Z$3:Z95)+1,""))</f>
        <v/>
      </c>
      <c r="AA96" s="40" t="str">
        <f aca="false">IF($Y96="","",MAX($AA$3:AA95)+1)</f>
        <v/>
      </c>
      <c r="AB96" s="40" t="str">
        <f aca="false">IF($F96="","",$F96&amp;"#"&amp;COUNTIF($F$4:$F96,$F96))</f>
        <v/>
      </c>
      <c r="AC96" s="40" t="str">
        <f aca="false">IF($B96="","",IF(AND(OR(CETAK!$J$10="",$F96=CETAK!$J$10),OR(CETAK!$J$11="",$G96=CETAK!$J$11),OR(CETAK!$J$12="",$P96=CETAK!$J$12),OR(CETAK!$J$13="",$N96=CETAK!$J$13),OR(CETAK!$J$14="",$T96=CETAK!$J$14)),MAX($AC$3:AC95)+1,""))</f>
        <v/>
      </c>
      <c r="AD96" s="40" t="str">
        <f aca="false">IF($B96="","",IF(AND(OR(ABSENSI!$H$10="",$F96=ABSENSI!$H$10),OR(ABSENSI!$H$11="",$G96=ABSENSI!$H$11),OR(ABSENSI!$H$12="",$P96=ABSENSI!$H$12)),MAX($AD$3:AD95)+1,""))</f>
        <v/>
      </c>
      <c r="AE96" s="40" t="str">
        <f aca="false">IF($B96="","",IF(AND(OR(KARTU!$K$6="",$F96=KARTU!$K$6),OR(KARTU!$K$7="",$G96=KARTU!$K$7),OR(KARTU!$K$8="",$P96=KARTU!$K$8)),MAX($AE$3:AE95)+1,""))</f>
        <v/>
      </c>
    </row>
    <row r="97" customFormat="false" ht="15" hidden="false" customHeight="false" outlineLevel="0" collapsed="false">
      <c r="A97" s="35" t="str">
        <f aca="false">IF($B97="","",COUNTA($B$4:$B97))</f>
        <v/>
      </c>
      <c r="B97" s="36"/>
      <c r="C97" s="37"/>
      <c r="D97" s="37"/>
      <c r="E97" s="38"/>
      <c r="F97" s="36"/>
      <c r="G97" s="39"/>
      <c r="H97" s="39"/>
      <c r="I97" s="36"/>
      <c r="J97" s="36"/>
      <c r="K97" s="36"/>
      <c r="L97" s="36"/>
      <c r="M97" s="40" t="str">
        <f aca="false">IF($F97="","",$F97&amp;IF($G97="",""," - RT "&amp;$G97&amp;IF($H97="","","/"&amp;$H97)))</f>
        <v/>
      </c>
      <c r="N97" s="36"/>
      <c r="O97" s="37"/>
      <c r="P97" s="39"/>
      <c r="Q97" s="41"/>
      <c r="R97" s="35" t="str">
        <f aca="true">IF(OR($B97="",$Q97=""),"",DATEDIF($Q97,TODAY(),"Y"))</f>
        <v/>
      </c>
      <c r="S97" s="40" t="str">
        <f aca="false">IF($R97="","",INDEX(usia_label,MATCH($R97,usia_min,1)))</f>
        <v/>
      </c>
      <c r="T97" s="36"/>
      <c r="U97" s="41"/>
      <c r="V97" s="36"/>
      <c r="W97" s="36"/>
      <c r="X97" s="40" t="str">
        <f aca="false">IF($M97="","",$M97&amp;"#"&amp;COUNTIF($M$4:$M97,$M97))</f>
        <v/>
      </c>
      <c r="Y97" s="40" t="str">
        <f aca="false">IF($B97="","",IF($C97="","NIK kosong",IF(LEN($C97)&lt;&gt;16,"NIK bukan 16 digit",IF(COUNTIF($C$4:$C$2003,$C97&amp;"*")&gt;1,"NIK ganda",IF(AND($D97&lt;&gt;"",LEN($D97)&lt;&gt;16),"No. KK bukan 16 digit",IF(AND($F97="",$I97=""),"Alamat kosong",IF($N97="","Jabatan kosong",IF($O97="","No. HP kosong",IF(AND($R97&lt;&gt;"",$R97&lt;17),"Usia di bawah 17","")))))))))</f>
        <v/>
      </c>
      <c r="Z97" s="40" t="str">
        <f aca="false">IF($B97="","",IF(AND(OR(CARI!$C$5="",ISNUMBER(SEARCH(CARI!$C$5,$B97&amp;" "&amp;$C97&amp;" "&amp;$D97&amp;" "&amp;$O97&amp;" "&amp;$I97&amp;" "&amp;$F97&amp;" "&amp;$J97&amp;" "&amp;$K97&amp;" "&amp;$L97&amp;" "&amp;$V97))),OR(CARI!$C$6="",$F97=CARI!$C$6),OR(CARI!$C$7="",$G97=CARI!$C$7),OR(CARI!$C$8="",$T97=CARI!$C$8)),MAX($Z$3:Z96)+1,""))</f>
        <v/>
      </c>
      <c r="AA97" s="40" t="str">
        <f aca="false">IF($Y97="","",MAX($AA$3:AA96)+1)</f>
        <v/>
      </c>
      <c r="AB97" s="40" t="str">
        <f aca="false">IF($F97="","",$F97&amp;"#"&amp;COUNTIF($F$4:$F97,$F97))</f>
        <v/>
      </c>
      <c r="AC97" s="40" t="str">
        <f aca="false">IF($B97="","",IF(AND(OR(CETAK!$J$10="",$F97=CETAK!$J$10),OR(CETAK!$J$11="",$G97=CETAK!$J$11),OR(CETAK!$J$12="",$P97=CETAK!$J$12),OR(CETAK!$J$13="",$N97=CETAK!$J$13),OR(CETAK!$J$14="",$T97=CETAK!$J$14)),MAX($AC$3:AC96)+1,""))</f>
        <v/>
      </c>
      <c r="AD97" s="40" t="str">
        <f aca="false">IF($B97="","",IF(AND(OR(ABSENSI!$H$10="",$F97=ABSENSI!$H$10),OR(ABSENSI!$H$11="",$G97=ABSENSI!$H$11),OR(ABSENSI!$H$12="",$P97=ABSENSI!$H$12)),MAX($AD$3:AD96)+1,""))</f>
        <v/>
      </c>
      <c r="AE97" s="40" t="str">
        <f aca="false">IF($B97="","",IF(AND(OR(KARTU!$K$6="",$F97=KARTU!$K$6),OR(KARTU!$K$7="",$G97=KARTU!$K$7),OR(KARTU!$K$8="",$P97=KARTU!$K$8)),MAX($AE$3:AE96)+1,""))</f>
        <v/>
      </c>
    </row>
    <row r="98" customFormat="false" ht="15" hidden="false" customHeight="false" outlineLevel="0" collapsed="false">
      <c r="A98" s="35" t="str">
        <f aca="false">IF($B98="","",COUNTA($B$4:$B98))</f>
        <v/>
      </c>
      <c r="B98" s="36"/>
      <c r="C98" s="37"/>
      <c r="D98" s="37"/>
      <c r="E98" s="38"/>
      <c r="F98" s="36"/>
      <c r="G98" s="39"/>
      <c r="H98" s="39"/>
      <c r="I98" s="36"/>
      <c r="J98" s="36"/>
      <c r="K98" s="36"/>
      <c r="L98" s="36"/>
      <c r="M98" s="40" t="str">
        <f aca="false">IF($F98="","",$F98&amp;IF($G98="",""," - RT "&amp;$G98&amp;IF($H98="","","/"&amp;$H98)))</f>
        <v/>
      </c>
      <c r="N98" s="36"/>
      <c r="O98" s="37"/>
      <c r="P98" s="39"/>
      <c r="Q98" s="41"/>
      <c r="R98" s="35" t="str">
        <f aca="true">IF(OR($B98="",$Q98=""),"",DATEDIF($Q98,TODAY(),"Y"))</f>
        <v/>
      </c>
      <c r="S98" s="40" t="str">
        <f aca="false">IF($R98="","",INDEX(usia_label,MATCH($R98,usia_min,1)))</f>
        <v/>
      </c>
      <c r="T98" s="36"/>
      <c r="U98" s="41"/>
      <c r="V98" s="36"/>
      <c r="W98" s="36"/>
      <c r="X98" s="40" t="str">
        <f aca="false">IF($M98="","",$M98&amp;"#"&amp;COUNTIF($M$4:$M98,$M98))</f>
        <v/>
      </c>
      <c r="Y98" s="40" t="str">
        <f aca="false">IF($B98="","",IF($C98="","NIK kosong",IF(LEN($C98)&lt;&gt;16,"NIK bukan 16 digit",IF(COUNTIF($C$4:$C$2003,$C98&amp;"*")&gt;1,"NIK ganda",IF(AND($D98&lt;&gt;"",LEN($D98)&lt;&gt;16),"No. KK bukan 16 digit",IF(AND($F98="",$I98=""),"Alamat kosong",IF($N98="","Jabatan kosong",IF($O98="","No. HP kosong",IF(AND($R98&lt;&gt;"",$R98&lt;17),"Usia di bawah 17","")))))))))</f>
        <v/>
      </c>
      <c r="Z98" s="40" t="str">
        <f aca="false">IF($B98="","",IF(AND(OR(CARI!$C$5="",ISNUMBER(SEARCH(CARI!$C$5,$B98&amp;" "&amp;$C98&amp;" "&amp;$D98&amp;" "&amp;$O98&amp;" "&amp;$I98&amp;" "&amp;$F98&amp;" "&amp;$J98&amp;" "&amp;$K98&amp;" "&amp;$L98&amp;" "&amp;$V98))),OR(CARI!$C$6="",$F98=CARI!$C$6),OR(CARI!$C$7="",$G98=CARI!$C$7),OR(CARI!$C$8="",$T98=CARI!$C$8)),MAX($Z$3:Z97)+1,""))</f>
        <v/>
      </c>
      <c r="AA98" s="40" t="str">
        <f aca="false">IF($Y98="","",MAX($AA$3:AA97)+1)</f>
        <v/>
      </c>
      <c r="AB98" s="40" t="str">
        <f aca="false">IF($F98="","",$F98&amp;"#"&amp;COUNTIF($F$4:$F98,$F98))</f>
        <v/>
      </c>
      <c r="AC98" s="40" t="str">
        <f aca="false">IF($B98="","",IF(AND(OR(CETAK!$J$10="",$F98=CETAK!$J$10),OR(CETAK!$J$11="",$G98=CETAK!$J$11),OR(CETAK!$J$12="",$P98=CETAK!$J$12),OR(CETAK!$J$13="",$N98=CETAK!$J$13),OR(CETAK!$J$14="",$T98=CETAK!$J$14)),MAX($AC$3:AC97)+1,""))</f>
        <v/>
      </c>
      <c r="AD98" s="40" t="str">
        <f aca="false">IF($B98="","",IF(AND(OR(ABSENSI!$H$10="",$F98=ABSENSI!$H$10),OR(ABSENSI!$H$11="",$G98=ABSENSI!$H$11),OR(ABSENSI!$H$12="",$P98=ABSENSI!$H$12)),MAX($AD$3:AD97)+1,""))</f>
        <v/>
      </c>
      <c r="AE98" s="40" t="str">
        <f aca="false">IF($B98="","",IF(AND(OR(KARTU!$K$6="",$F98=KARTU!$K$6),OR(KARTU!$K$7="",$G98=KARTU!$K$7),OR(KARTU!$K$8="",$P98=KARTU!$K$8)),MAX($AE$3:AE97)+1,""))</f>
        <v/>
      </c>
    </row>
    <row r="99" customFormat="false" ht="15" hidden="false" customHeight="false" outlineLevel="0" collapsed="false">
      <c r="A99" s="35" t="str">
        <f aca="false">IF($B99="","",COUNTA($B$4:$B99))</f>
        <v/>
      </c>
      <c r="B99" s="36"/>
      <c r="C99" s="37"/>
      <c r="D99" s="37"/>
      <c r="E99" s="38"/>
      <c r="F99" s="36"/>
      <c r="G99" s="39"/>
      <c r="H99" s="39"/>
      <c r="I99" s="36"/>
      <c r="J99" s="36"/>
      <c r="K99" s="36"/>
      <c r="L99" s="36"/>
      <c r="M99" s="40" t="str">
        <f aca="false">IF($F99="","",$F99&amp;IF($G99="",""," - RT "&amp;$G99&amp;IF($H99="","","/"&amp;$H99)))</f>
        <v/>
      </c>
      <c r="N99" s="36"/>
      <c r="O99" s="37"/>
      <c r="P99" s="39"/>
      <c r="Q99" s="41"/>
      <c r="R99" s="35" t="str">
        <f aca="true">IF(OR($B99="",$Q99=""),"",DATEDIF($Q99,TODAY(),"Y"))</f>
        <v/>
      </c>
      <c r="S99" s="40" t="str">
        <f aca="false">IF($R99="","",INDEX(usia_label,MATCH($R99,usia_min,1)))</f>
        <v/>
      </c>
      <c r="T99" s="36"/>
      <c r="U99" s="41"/>
      <c r="V99" s="36"/>
      <c r="W99" s="36"/>
      <c r="X99" s="40" t="str">
        <f aca="false">IF($M99="","",$M99&amp;"#"&amp;COUNTIF($M$4:$M99,$M99))</f>
        <v/>
      </c>
      <c r="Y99" s="40" t="str">
        <f aca="false">IF($B99="","",IF($C99="","NIK kosong",IF(LEN($C99)&lt;&gt;16,"NIK bukan 16 digit",IF(COUNTIF($C$4:$C$2003,$C99&amp;"*")&gt;1,"NIK ganda",IF(AND($D99&lt;&gt;"",LEN($D99)&lt;&gt;16),"No. KK bukan 16 digit",IF(AND($F99="",$I99=""),"Alamat kosong",IF($N99="","Jabatan kosong",IF($O99="","No. HP kosong",IF(AND($R99&lt;&gt;"",$R99&lt;17),"Usia di bawah 17","")))))))))</f>
        <v/>
      </c>
      <c r="Z99" s="40" t="str">
        <f aca="false">IF($B99="","",IF(AND(OR(CARI!$C$5="",ISNUMBER(SEARCH(CARI!$C$5,$B99&amp;" "&amp;$C99&amp;" "&amp;$D99&amp;" "&amp;$O99&amp;" "&amp;$I99&amp;" "&amp;$F99&amp;" "&amp;$J99&amp;" "&amp;$K99&amp;" "&amp;$L99&amp;" "&amp;$V99))),OR(CARI!$C$6="",$F99=CARI!$C$6),OR(CARI!$C$7="",$G99=CARI!$C$7),OR(CARI!$C$8="",$T99=CARI!$C$8)),MAX($Z$3:Z98)+1,""))</f>
        <v/>
      </c>
      <c r="AA99" s="40" t="str">
        <f aca="false">IF($Y99="","",MAX($AA$3:AA98)+1)</f>
        <v/>
      </c>
      <c r="AB99" s="40" t="str">
        <f aca="false">IF($F99="","",$F99&amp;"#"&amp;COUNTIF($F$4:$F99,$F99))</f>
        <v/>
      </c>
      <c r="AC99" s="40" t="str">
        <f aca="false">IF($B99="","",IF(AND(OR(CETAK!$J$10="",$F99=CETAK!$J$10),OR(CETAK!$J$11="",$G99=CETAK!$J$11),OR(CETAK!$J$12="",$P99=CETAK!$J$12),OR(CETAK!$J$13="",$N99=CETAK!$J$13),OR(CETAK!$J$14="",$T99=CETAK!$J$14)),MAX($AC$3:AC98)+1,""))</f>
        <v/>
      </c>
      <c r="AD99" s="40" t="str">
        <f aca="false">IF($B99="","",IF(AND(OR(ABSENSI!$H$10="",$F99=ABSENSI!$H$10),OR(ABSENSI!$H$11="",$G99=ABSENSI!$H$11),OR(ABSENSI!$H$12="",$P99=ABSENSI!$H$12)),MAX($AD$3:AD98)+1,""))</f>
        <v/>
      </c>
      <c r="AE99" s="40" t="str">
        <f aca="false">IF($B99="","",IF(AND(OR(KARTU!$K$6="",$F99=KARTU!$K$6),OR(KARTU!$K$7="",$G99=KARTU!$K$7),OR(KARTU!$K$8="",$P99=KARTU!$K$8)),MAX($AE$3:AE98)+1,""))</f>
        <v/>
      </c>
    </row>
    <row r="100" customFormat="false" ht="15" hidden="false" customHeight="false" outlineLevel="0" collapsed="false">
      <c r="A100" s="35" t="str">
        <f aca="false">IF($B100="","",COUNTA($B$4:$B100))</f>
        <v/>
      </c>
      <c r="B100" s="36"/>
      <c r="C100" s="37"/>
      <c r="D100" s="37"/>
      <c r="E100" s="38"/>
      <c r="F100" s="36"/>
      <c r="G100" s="39"/>
      <c r="H100" s="39"/>
      <c r="I100" s="36"/>
      <c r="J100" s="36"/>
      <c r="K100" s="36"/>
      <c r="L100" s="36"/>
      <c r="M100" s="40" t="str">
        <f aca="false">IF($F100="","",$F100&amp;IF($G100="",""," - RT "&amp;$G100&amp;IF($H100="","","/"&amp;$H100)))</f>
        <v/>
      </c>
      <c r="N100" s="36"/>
      <c r="O100" s="37"/>
      <c r="P100" s="39"/>
      <c r="Q100" s="41"/>
      <c r="R100" s="35" t="str">
        <f aca="true">IF(OR($B100="",$Q100=""),"",DATEDIF($Q100,TODAY(),"Y"))</f>
        <v/>
      </c>
      <c r="S100" s="40" t="str">
        <f aca="false">IF($R100="","",INDEX(usia_label,MATCH($R100,usia_min,1)))</f>
        <v/>
      </c>
      <c r="T100" s="36"/>
      <c r="U100" s="41"/>
      <c r="V100" s="36"/>
      <c r="W100" s="36"/>
      <c r="X100" s="40" t="str">
        <f aca="false">IF($M100="","",$M100&amp;"#"&amp;COUNTIF($M$4:$M100,$M100))</f>
        <v/>
      </c>
      <c r="Y100" s="40" t="str">
        <f aca="false">IF($B100="","",IF($C100="","NIK kosong",IF(LEN($C100)&lt;&gt;16,"NIK bukan 16 digit",IF(COUNTIF($C$4:$C$2003,$C100&amp;"*")&gt;1,"NIK ganda",IF(AND($D100&lt;&gt;"",LEN($D100)&lt;&gt;16),"No. KK bukan 16 digit",IF(AND($F100="",$I100=""),"Alamat kosong",IF($N100="","Jabatan kosong",IF($O100="","No. HP kosong",IF(AND($R100&lt;&gt;"",$R100&lt;17),"Usia di bawah 17","")))))))))</f>
        <v/>
      </c>
      <c r="Z100" s="40" t="str">
        <f aca="false">IF($B100="","",IF(AND(OR(CARI!$C$5="",ISNUMBER(SEARCH(CARI!$C$5,$B100&amp;" "&amp;$C100&amp;" "&amp;$D100&amp;" "&amp;$O100&amp;" "&amp;$I100&amp;" "&amp;$F100&amp;" "&amp;$J100&amp;" "&amp;$K100&amp;" "&amp;$L100&amp;" "&amp;$V100))),OR(CARI!$C$6="",$F100=CARI!$C$6),OR(CARI!$C$7="",$G100=CARI!$C$7),OR(CARI!$C$8="",$T100=CARI!$C$8)),MAX($Z$3:Z99)+1,""))</f>
        <v/>
      </c>
      <c r="AA100" s="40" t="str">
        <f aca="false">IF($Y100="","",MAX($AA$3:AA99)+1)</f>
        <v/>
      </c>
      <c r="AB100" s="40" t="str">
        <f aca="false">IF($F100="","",$F100&amp;"#"&amp;COUNTIF($F$4:$F100,$F100))</f>
        <v/>
      </c>
      <c r="AC100" s="40" t="str">
        <f aca="false">IF($B100="","",IF(AND(OR(CETAK!$J$10="",$F100=CETAK!$J$10),OR(CETAK!$J$11="",$G100=CETAK!$J$11),OR(CETAK!$J$12="",$P100=CETAK!$J$12),OR(CETAK!$J$13="",$N100=CETAK!$J$13),OR(CETAK!$J$14="",$T100=CETAK!$J$14)),MAX($AC$3:AC99)+1,""))</f>
        <v/>
      </c>
      <c r="AD100" s="40" t="str">
        <f aca="false">IF($B100="","",IF(AND(OR(ABSENSI!$H$10="",$F100=ABSENSI!$H$10),OR(ABSENSI!$H$11="",$G100=ABSENSI!$H$11),OR(ABSENSI!$H$12="",$P100=ABSENSI!$H$12)),MAX($AD$3:AD99)+1,""))</f>
        <v/>
      </c>
      <c r="AE100" s="40" t="str">
        <f aca="false">IF($B100="","",IF(AND(OR(KARTU!$K$6="",$F100=KARTU!$K$6),OR(KARTU!$K$7="",$G100=KARTU!$K$7),OR(KARTU!$K$8="",$P100=KARTU!$K$8)),MAX($AE$3:AE99)+1,""))</f>
        <v/>
      </c>
    </row>
    <row r="101" customFormat="false" ht="15" hidden="false" customHeight="false" outlineLevel="0" collapsed="false">
      <c r="A101" s="35" t="str">
        <f aca="false">IF($B101="","",COUNTA($B$4:$B101))</f>
        <v/>
      </c>
      <c r="B101" s="36"/>
      <c r="C101" s="37"/>
      <c r="D101" s="37"/>
      <c r="E101" s="38"/>
      <c r="F101" s="36"/>
      <c r="G101" s="39"/>
      <c r="H101" s="39"/>
      <c r="I101" s="36"/>
      <c r="J101" s="36"/>
      <c r="K101" s="36"/>
      <c r="L101" s="36"/>
      <c r="M101" s="40" t="str">
        <f aca="false">IF($F101="","",$F101&amp;IF($G101="",""," - RT "&amp;$G101&amp;IF($H101="","","/"&amp;$H101)))</f>
        <v/>
      </c>
      <c r="N101" s="36"/>
      <c r="O101" s="37"/>
      <c r="P101" s="39"/>
      <c r="Q101" s="41"/>
      <c r="R101" s="35" t="str">
        <f aca="true">IF(OR($B101="",$Q101=""),"",DATEDIF($Q101,TODAY(),"Y"))</f>
        <v/>
      </c>
      <c r="S101" s="40" t="str">
        <f aca="false">IF($R101="","",INDEX(usia_label,MATCH($R101,usia_min,1)))</f>
        <v/>
      </c>
      <c r="T101" s="36"/>
      <c r="U101" s="41"/>
      <c r="V101" s="36"/>
      <c r="W101" s="36"/>
      <c r="X101" s="40" t="str">
        <f aca="false">IF($M101="","",$M101&amp;"#"&amp;COUNTIF($M$4:$M101,$M101))</f>
        <v/>
      </c>
      <c r="Y101" s="40" t="str">
        <f aca="false">IF($B101="","",IF($C101="","NIK kosong",IF(LEN($C101)&lt;&gt;16,"NIK bukan 16 digit",IF(COUNTIF($C$4:$C$2003,$C101&amp;"*")&gt;1,"NIK ganda",IF(AND($D101&lt;&gt;"",LEN($D101)&lt;&gt;16),"No. KK bukan 16 digit",IF(AND($F101="",$I101=""),"Alamat kosong",IF($N101="","Jabatan kosong",IF($O101="","No. HP kosong",IF(AND($R101&lt;&gt;"",$R101&lt;17),"Usia di bawah 17","")))))))))</f>
        <v/>
      </c>
      <c r="Z101" s="40" t="str">
        <f aca="false">IF($B101="","",IF(AND(OR(CARI!$C$5="",ISNUMBER(SEARCH(CARI!$C$5,$B101&amp;" "&amp;$C101&amp;" "&amp;$D101&amp;" "&amp;$O101&amp;" "&amp;$I101&amp;" "&amp;$F101&amp;" "&amp;$J101&amp;" "&amp;$K101&amp;" "&amp;$L101&amp;" "&amp;$V101))),OR(CARI!$C$6="",$F101=CARI!$C$6),OR(CARI!$C$7="",$G101=CARI!$C$7),OR(CARI!$C$8="",$T101=CARI!$C$8)),MAX($Z$3:Z100)+1,""))</f>
        <v/>
      </c>
      <c r="AA101" s="40" t="str">
        <f aca="false">IF($Y101="","",MAX($AA$3:AA100)+1)</f>
        <v/>
      </c>
      <c r="AB101" s="40" t="str">
        <f aca="false">IF($F101="","",$F101&amp;"#"&amp;COUNTIF($F$4:$F101,$F101))</f>
        <v/>
      </c>
      <c r="AC101" s="40" t="str">
        <f aca="false">IF($B101="","",IF(AND(OR(CETAK!$J$10="",$F101=CETAK!$J$10),OR(CETAK!$J$11="",$G101=CETAK!$J$11),OR(CETAK!$J$12="",$P101=CETAK!$J$12),OR(CETAK!$J$13="",$N101=CETAK!$J$13),OR(CETAK!$J$14="",$T101=CETAK!$J$14)),MAX($AC$3:AC100)+1,""))</f>
        <v/>
      </c>
      <c r="AD101" s="40" t="str">
        <f aca="false">IF($B101="","",IF(AND(OR(ABSENSI!$H$10="",$F101=ABSENSI!$H$10),OR(ABSENSI!$H$11="",$G101=ABSENSI!$H$11),OR(ABSENSI!$H$12="",$P101=ABSENSI!$H$12)),MAX($AD$3:AD100)+1,""))</f>
        <v/>
      </c>
      <c r="AE101" s="40" t="str">
        <f aca="false">IF($B101="","",IF(AND(OR(KARTU!$K$6="",$F101=KARTU!$K$6),OR(KARTU!$K$7="",$G101=KARTU!$K$7),OR(KARTU!$K$8="",$P101=KARTU!$K$8)),MAX($AE$3:AE100)+1,""))</f>
        <v/>
      </c>
    </row>
    <row r="102" customFormat="false" ht="15" hidden="false" customHeight="false" outlineLevel="0" collapsed="false">
      <c r="A102" s="35" t="str">
        <f aca="false">IF($B102="","",COUNTA($B$4:$B102))</f>
        <v/>
      </c>
      <c r="B102" s="36"/>
      <c r="C102" s="37"/>
      <c r="D102" s="37"/>
      <c r="E102" s="38"/>
      <c r="F102" s="36"/>
      <c r="G102" s="39"/>
      <c r="H102" s="39"/>
      <c r="I102" s="36"/>
      <c r="J102" s="36"/>
      <c r="K102" s="36"/>
      <c r="L102" s="36"/>
      <c r="M102" s="40" t="str">
        <f aca="false">IF($F102="","",$F102&amp;IF($G102="",""," - RT "&amp;$G102&amp;IF($H102="","","/"&amp;$H102)))</f>
        <v/>
      </c>
      <c r="N102" s="36"/>
      <c r="O102" s="37"/>
      <c r="P102" s="39"/>
      <c r="Q102" s="41"/>
      <c r="R102" s="35" t="str">
        <f aca="true">IF(OR($B102="",$Q102=""),"",DATEDIF($Q102,TODAY(),"Y"))</f>
        <v/>
      </c>
      <c r="S102" s="40" t="str">
        <f aca="false">IF($R102="","",INDEX(usia_label,MATCH($R102,usia_min,1)))</f>
        <v/>
      </c>
      <c r="T102" s="36"/>
      <c r="U102" s="41"/>
      <c r="V102" s="36"/>
      <c r="W102" s="36"/>
      <c r="X102" s="40" t="str">
        <f aca="false">IF($M102="","",$M102&amp;"#"&amp;COUNTIF($M$4:$M102,$M102))</f>
        <v/>
      </c>
      <c r="Y102" s="40" t="str">
        <f aca="false">IF($B102="","",IF($C102="","NIK kosong",IF(LEN($C102)&lt;&gt;16,"NIK bukan 16 digit",IF(COUNTIF($C$4:$C$2003,$C102&amp;"*")&gt;1,"NIK ganda",IF(AND($D102&lt;&gt;"",LEN($D102)&lt;&gt;16),"No. KK bukan 16 digit",IF(AND($F102="",$I102=""),"Alamat kosong",IF($N102="","Jabatan kosong",IF($O102="","No. HP kosong",IF(AND($R102&lt;&gt;"",$R102&lt;17),"Usia di bawah 17","")))))))))</f>
        <v/>
      </c>
      <c r="Z102" s="40" t="str">
        <f aca="false">IF($B102="","",IF(AND(OR(CARI!$C$5="",ISNUMBER(SEARCH(CARI!$C$5,$B102&amp;" "&amp;$C102&amp;" "&amp;$D102&amp;" "&amp;$O102&amp;" "&amp;$I102&amp;" "&amp;$F102&amp;" "&amp;$J102&amp;" "&amp;$K102&amp;" "&amp;$L102&amp;" "&amp;$V102))),OR(CARI!$C$6="",$F102=CARI!$C$6),OR(CARI!$C$7="",$G102=CARI!$C$7),OR(CARI!$C$8="",$T102=CARI!$C$8)),MAX($Z$3:Z101)+1,""))</f>
        <v/>
      </c>
      <c r="AA102" s="40" t="str">
        <f aca="false">IF($Y102="","",MAX($AA$3:AA101)+1)</f>
        <v/>
      </c>
      <c r="AB102" s="40" t="str">
        <f aca="false">IF($F102="","",$F102&amp;"#"&amp;COUNTIF($F$4:$F102,$F102))</f>
        <v/>
      </c>
      <c r="AC102" s="40" t="str">
        <f aca="false">IF($B102="","",IF(AND(OR(CETAK!$J$10="",$F102=CETAK!$J$10),OR(CETAK!$J$11="",$G102=CETAK!$J$11),OR(CETAK!$J$12="",$P102=CETAK!$J$12),OR(CETAK!$J$13="",$N102=CETAK!$J$13),OR(CETAK!$J$14="",$T102=CETAK!$J$14)),MAX($AC$3:AC101)+1,""))</f>
        <v/>
      </c>
      <c r="AD102" s="40" t="str">
        <f aca="false">IF($B102="","",IF(AND(OR(ABSENSI!$H$10="",$F102=ABSENSI!$H$10),OR(ABSENSI!$H$11="",$G102=ABSENSI!$H$11),OR(ABSENSI!$H$12="",$P102=ABSENSI!$H$12)),MAX($AD$3:AD101)+1,""))</f>
        <v/>
      </c>
      <c r="AE102" s="40" t="str">
        <f aca="false">IF($B102="","",IF(AND(OR(KARTU!$K$6="",$F102=KARTU!$K$6),OR(KARTU!$K$7="",$G102=KARTU!$K$7),OR(KARTU!$K$8="",$P102=KARTU!$K$8)),MAX($AE$3:AE101)+1,""))</f>
        <v/>
      </c>
    </row>
    <row r="103" customFormat="false" ht="15" hidden="false" customHeight="false" outlineLevel="0" collapsed="false">
      <c r="A103" s="35" t="str">
        <f aca="false">IF($B103="","",COUNTA($B$4:$B103))</f>
        <v/>
      </c>
      <c r="B103" s="36"/>
      <c r="C103" s="37"/>
      <c r="D103" s="37"/>
      <c r="E103" s="38"/>
      <c r="F103" s="36"/>
      <c r="G103" s="39"/>
      <c r="H103" s="39"/>
      <c r="I103" s="36"/>
      <c r="J103" s="36"/>
      <c r="K103" s="36"/>
      <c r="L103" s="36"/>
      <c r="M103" s="40" t="str">
        <f aca="false">IF($F103="","",$F103&amp;IF($G103="",""," - RT "&amp;$G103&amp;IF($H103="","","/"&amp;$H103)))</f>
        <v/>
      </c>
      <c r="N103" s="36"/>
      <c r="O103" s="37"/>
      <c r="P103" s="39"/>
      <c r="Q103" s="41"/>
      <c r="R103" s="35" t="str">
        <f aca="true">IF(OR($B103="",$Q103=""),"",DATEDIF($Q103,TODAY(),"Y"))</f>
        <v/>
      </c>
      <c r="S103" s="40" t="str">
        <f aca="false">IF($R103="","",INDEX(usia_label,MATCH($R103,usia_min,1)))</f>
        <v/>
      </c>
      <c r="T103" s="36"/>
      <c r="U103" s="41"/>
      <c r="V103" s="36"/>
      <c r="W103" s="36"/>
      <c r="X103" s="40" t="str">
        <f aca="false">IF($M103="","",$M103&amp;"#"&amp;COUNTIF($M$4:$M103,$M103))</f>
        <v/>
      </c>
      <c r="Y103" s="40" t="str">
        <f aca="false">IF($B103="","",IF($C103="","NIK kosong",IF(LEN($C103)&lt;&gt;16,"NIK bukan 16 digit",IF(COUNTIF($C$4:$C$2003,$C103&amp;"*")&gt;1,"NIK ganda",IF(AND($D103&lt;&gt;"",LEN($D103)&lt;&gt;16),"No. KK bukan 16 digit",IF(AND($F103="",$I103=""),"Alamat kosong",IF($N103="","Jabatan kosong",IF($O103="","No. HP kosong",IF(AND($R103&lt;&gt;"",$R103&lt;17),"Usia di bawah 17","")))))))))</f>
        <v/>
      </c>
      <c r="Z103" s="40" t="str">
        <f aca="false">IF($B103="","",IF(AND(OR(CARI!$C$5="",ISNUMBER(SEARCH(CARI!$C$5,$B103&amp;" "&amp;$C103&amp;" "&amp;$D103&amp;" "&amp;$O103&amp;" "&amp;$I103&amp;" "&amp;$F103&amp;" "&amp;$J103&amp;" "&amp;$K103&amp;" "&amp;$L103&amp;" "&amp;$V103))),OR(CARI!$C$6="",$F103=CARI!$C$6),OR(CARI!$C$7="",$G103=CARI!$C$7),OR(CARI!$C$8="",$T103=CARI!$C$8)),MAX($Z$3:Z102)+1,""))</f>
        <v/>
      </c>
      <c r="AA103" s="40" t="str">
        <f aca="false">IF($Y103="","",MAX($AA$3:AA102)+1)</f>
        <v/>
      </c>
      <c r="AB103" s="40" t="str">
        <f aca="false">IF($F103="","",$F103&amp;"#"&amp;COUNTIF($F$4:$F103,$F103))</f>
        <v/>
      </c>
      <c r="AC103" s="40" t="str">
        <f aca="false">IF($B103="","",IF(AND(OR(CETAK!$J$10="",$F103=CETAK!$J$10),OR(CETAK!$J$11="",$G103=CETAK!$J$11),OR(CETAK!$J$12="",$P103=CETAK!$J$12),OR(CETAK!$J$13="",$N103=CETAK!$J$13),OR(CETAK!$J$14="",$T103=CETAK!$J$14)),MAX($AC$3:AC102)+1,""))</f>
        <v/>
      </c>
      <c r="AD103" s="40" t="str">
        <f aca="false">IF($B103="","",IF(AND(OR(ABSENSI!$H$10="",$F103=ABSENSI!$H$10),OR(ABSENSI!$H$11="",$G103=ABSENSI!$H$11),OR(ABSENSI!$H$12="",$P103=ABSENSI!$H$12)),MAX($AD$3:AD102)+1,""))</f>
        <v/>
      </c>
      <c r="AE103" s="40" t="str">
        <f aca="false">IF($B103="","",IF(AND(OR(KARTU!$K$6="",$F103=KARTU!$K$6),OR(KARTU!$K$7="",$G103=KARTU!$K$7),OR(KARTU!$K$8="",$P103=KARTU!$K$8)),MAX($AE$3:AE102)+1,""))</f>
        <v/>
      </c>
    </row>
    <row r="104" customFormat="false" ht="15" hidden="false" customHeight="false" outlineLevel="0" collapsed="false">
      <c r="A104" s="35" t="str">
        <f aca="false">IF($B104="","",COUNTA($B$4:$B104))</f>
        <v/>
      </c>
      <c r="B104" s="36"/>
      <c r="C104" s="37"/>
      <c r="D104" s="37"/>
      <c r="E104" s="38"/>
      <c r="F104" s="36"/>
      <c r="G104" s="39"/>
      <c r="H104" s="39"/>
      <c r="I104" s="36"/>
      <c r="J104" s="36"/>
      <c r="K104" s="36"/>
      <c r="L104" s="36"/>
      <c r="M104" s="40" t="str">
        <f aca="false">IF($F104="","",$F104&amp;IF($G104="",""," - RT "&amp;$G104&amp;IF($H104="","","/"&amp;$H104)))</f>
        <v/>
      </c>
      <c r="N104" s="36"/>
      <c r="O104" s="37"/>
      <c r="P104" s="39"/>
      <c r="Q104" s="41"/>
      <c r="R104" s="35" t="str">
        <f aca="true">IF(OR($B104="",$Q104=""),"",DATEDIF($Q104,TODAY(),"Y"))</f>
        <v/>
      </c>
      <c r="S104" s="40" t="str">
        <f aca="false">IF($R104="","",INDEX(usia_label,MATCH($R104,usia_min,1)))</f>
        <v/>
      </c>
      <c r="T104" s="36"/>
      <c r="U104" s="41"/>
      <c r="V104" s="36"/>
      <c r="W104" s="36"/>
      <c r="X104" s="40" t="str">
        <f aca="false">IF($M104="","",$M104&amp;"#"&amp;COUNTIF($M$4:$M104,$M104))</f>
        <v/>
      </c>
      <c r="Y104" s="40" t="str">
        <f aca="false">IF($B104="","",IF($C104="","NIK kosong",IF(LEN($C104)&lt;&gt;16,"NIK bukan 16 digit",IF(COUNTIF($C$4:$C$2003,$C104&amp;"*")&gt;1,"NIK ganda",IF(AND($D104&lt;&gt;"",LEN($D104)&lt;&gt;16),"No. KK bukan 16 digit",IF(AND($F104="",$I104=""),"Alamat kosong",IF($N104="","Jabatan kosong",IF($O104="","No. HP kosong",IF(AND($R104&lt;&gt;"",$R104&lt;17),"Usia di bawah 17","")))))))))</f>
        <v/>
      </c>
      <c r="Z104" s="40" t="str">
        <f aca="false">IF($B104="","",IF(AND(OR(CARI!$C$5="",ISNUMBER(SEARCH(CARI!$C$5,$B104&amp;" "&amp;$C104&amp;" "&amp;$D104&amp;" "&amp;$O104&amp;" "&amp;$I104&amp;" "&amp;$F104&amp;" "&amp;$J104&amp;" "&amp;$K104&amp;" "&amp;$L104&amp;" "&amp;$V104))),OR(CARI!$C$6="",$F104=CARI!$C$6),OR(CARI!$C$7="",$G104=CARI!$C$7),OR(CARI!$C$8="",$T104=CARI!$C$8)),MAX($Z$3:Z103)+1,""))</f>
        <v/>
      </c>
      <c r="AA104" s="40" t="str">
        <f aca="false">IF($Y104="","",MAX($AA$3:AA103)+1)</f>
        <v/>
      </c>
      <c r="AB104" s="40" t="str">
        <f aca="false">IF($F104="","",$F104&amp;"#"&amp;COUNTIF($F$4:$F104,$F104))</f>
        <v/>
      </c>
      <c r="AC104" s="40" t="str">
        <f aca="false">IF($B104="","",IF(AND(OR(CETAK!$J$10="",$F104=CETAK!$J$10),OR(CETAK!$J$11="",$G104=CETAK!$J$11),OR(CETAK!$J$12="",$P104=CETAK!$J$12),OR(CETAK!$J$13="",$N104=CETAK!$J$13),OR(CETAK!$J$14="",$T104=CETAK!$J$14)),MAX($AC$3:AC103)+1,""))</f>
        <v/>
      </c>
      <c r="AD104" s="40" t="str">
        <f aca="false">IF($B104="","",IF(AND(OR(ABSENSI!$H$10="",$F104=ABSENSI!$H$10),OR(ABSENSI!$H$11="",$G104=ABSENSI!$H$11),OR(ABSENSI!$H$12="",$P104=ABSENSI!$H$12)),MAX($AD$3:AD103)+1,""))</f>
        <v/>
      </c>
      <c r="AE104" s="40" t="str">
        <f aca="false">IF($B104="","",IF(AND(OR(KARTU!$K$6="",$F104=KARTU!$K$6),OR(KARTU!$K$7="",$G104=KARTU!$K$7),OR(KARTU!$K$8="",$P104=KARTU!$K$8)),MAX($AE$3:AE103)+1,""))</f>
        <v/>
      </c>
    </row>
    <row r="105" customFormat="false" ht="15" hidden="false" customHeight="false" outlineLevel="0" collapsed="false">
      <c r="A105" s="35" t="str">
        <f aca="false">IF($B105="","",COUNTA($B$4:$B105))</f>
        <v/>
      </c>
      <c r="B105" s="36"/>
      <c r="C105" s="37"/>
      <c r="D105" s="37"/>
      <c r="E105" s="38"/>
      <c r="F105" s="36"/>
      <c r="G105" s="39"/>
      <c r="H105" s="39"/>
      <c r="I105" s="36"/>
      <c r="J105" s="36"/>
      <c r="K105" s="36"/>
      <c r="L105" s="36"/>
      <c r="M105" s="40" t="str">
        <f aca="false">IF($F105="","",$F105&amp;IF($G105="",""," - RT "&amp;$G105&amp;IF($H105="","","/"&amp;$H105)))</f>
        <v/>
      </c>
      <c r="N105" s="36"/>
      <c r="O105" s="37"/>
      <c r="P105" s="39"/>
      <c r="Q105" s="41"/>
      <c r="R105" s="35" t="str">
        <f aca="true">IF(OR($B105="",$Q105=""),"",DATEDIF($Q105,TODAY(),"Y"))</f>
        <v/>
      </c>
      <c r="S105" s="40" t="str">
        <f aca="false">IF($R105="","",INDEX(usia_label,MATCH($R105,usia_min,1)))</f>
        <v/>
      </c>
      <c r="T105" s="36"/>
      <c r="U105" s="41"/>
      <c r="V105" s="36"/>
      <c r="W105" s="36"/>
      <c r="X105" s="40" t="str">
        <f aca="false">IF($M105="","",$M105&amp;"#"&amp;COUNTIF($M$4:$M105,$M105))</f>
        <v/>
      </c>
      <c r="Y105" s="40" t="str">
        <f aca="false">IF($B105="","",IF($C105="","NIK kosong",IF(LEN($C105)&lt;&gt;16,"NIK bukan 16 digit",IF(COUNTIF($C$4:$C$2003,$C105&amp;"*")&gt;1,"NIK ganda",IF(AND($D105&lt;&gt;"",LEN($D105)&lt;&gt;16),"No. KK bukan 16 digit",IF(AND($F105="",$I105=""),"Alamat kosong",IF($N105="","Jabatan kosong",IF($O105="","No. HP kosong",IF(AND($R105&lt;&gt;"",$R105&lt;17),"Usia di bawah 17","")))))))))</f>
        <v/>
      </c>
      <c r="Z105" s="40" t="str">
        <f aca="false">IF($B105="","",IF(AND(OR(CARI!$C$5="",ISNUMBER(SEARCH(CARI!$C$5,$B105&amp;" "&amp;$C105&amp;" "&amp;$D105&amp;" "&amp;$O105&amp;" "&amp;$I105&amp;" "&amp;$F105&amp;" "&amp;$J105&amp;" "&amp;$K105&amp;" "&amp;$L105&amp;" "&amp;$V105))),OR(CARI!$C$6="",$F105=CARI!$C$6),OR(CARI!$C$7="",$G105=CARI!$C$7),OR(CARI!$C$8="",$T105=CARI!$C$8)),MAX($Z$3:Z104)+1,""))</f>
        <v/>
      </c>
      <c r="AA105" s="40" t="str">
        <f aca="false">IF($Y105="","",MAX($AA$3:AA104)+1)</f>
        <v/>
      </c>
      <c r="AB105" s="40" t="str">
        <f aca="false">IF($F105="","",$F105&amp;"#"&amp;COUNTIF($F$4:$F105,$F105))</f>
        <v/>
      </c>
      <c r="AC105" s="40" t="str">
        <f aca="false">IF($B105="","",IF(AND(OR(CETAK!$J$10="",$F105=CETAK!$J$10),OR(CETAK!$J$11="",$G105=CETAK!$J$11),OR(CETAK!$J$12="",$P105=CETAK!$J$12),OR(CETAK!$J$13="",$N105=CETAK!$J$13),OR(CETAK!$J$14="",$T105=CETAK!$J$14)),MAX($AC$3:AC104)+1,""))</f>
        <v/>
      </c>
      <c r="AD105" s="40" t="str">
        <f aca="false">IF($B105="","",IF(AND(OR(ABSENSI!$H$10="",$F105=ABSENSI!$H$10),OR(ABSENSI!$H$11="",$G105=ABSENSI!$H$11),OR(ABSENSI!$H$12="",$P105=ABSENSI!$H$12)),MAX($AD$3:AD104)+1,""))</f>
        <v/>
      </c>
      <c r="AE105" s="40" t="str">
        <f aca="false">IF($B105="","",IF(AND(OR(KARTU!$K$6="",$F105=KARTU!$K$6),OR(KARTU!$K$7="",$G105=KARTU!$K$7),OR(KARTU!$K$8="",$P105=KARTU!$K$8)),MAX($AE$3:AE104)+1,""))</f>
        <v/>
      </c>
    </row>
    <row r="106" customFormat="false" ht="15" hidden="false" customHeight="false" outlineLevel="0" collapsed="false">
      <c r="A106" s="35" t="str">
        <f aca="false">IF($B106="","",COUNTA($B$4:$B106))</f>
        <v/>
      </c>
      <c r="B106" s="36"/>
      <c r="C106" s="37"/>
      <c r="D106" s="37"/>
      <c r="E106" s="38"/>
      <c r="F106" s="36"/>
      <c r="G106" s="39"/>
      <c r="H106" s="39"/>
      <c r="I106" s="36"/>
      <c r="J106" s="36"/>
      <c r="K106" s="36"/>
      <c r="L106" s="36"/>
      <c r="M106" s="40" t="str">
        <f aca="false">IF($F106="","",$F106&amp;IF($G106="",""," - RT "&amp;$G106&amp;IF($H106="","","/"&amp;$H106)))</f>
        <v/>
      </c>
      <c r="N106" s="36"/>
      <c r="O106" s="37"/>
      <c r="P106" s="39"/>
      <c r="Q106" s="41"/>
      <c r="R106" s="35" t="str">
        <f aca="true">IF(OR($B106="",$Q106=""),"",DATEDIF($Q106,TODAY(),"Y"))</f>
        <v/>
      </c>
      <c r="S106" s="40" t="str">
        <f aca="false">IF($R106="","",INDEX(usia_label,MATCH($R106,usia_min,1)))</f>
        <v/>
      </c>
      <c r="T106" s="36"/>
      <c r="U106" s="41"/>
      <c r="V106" s="36"/>
      <c r="W106" s="36"/>
      <c r="X106" s="40" t="str">
        <f aca="false">IF($M106="","",$M106&amp;"#"&amp;COUNTIF($M$4:$M106,$M106))</f>
        <v/>
      </c>
      <c r="Y106" s="40" t="str">
        <f aca="false">IF($B106="","",IF($C106="","NIK kosong",IF(LEN($C106)&lt;&gt;16,"NIK bukan 16 digit",IF(COUNTIF($C$4:$C$2003,$C106&amp;"*")&gt;1,"NIK ganda",IF(AND($D106&lt;&gt;"",LEN($D106)&lt;&gt;16),"No. KK bukan 16 digit",IF(AND($F106="",$I106=""),"Alamat kosong",IF($N106="","Jabatan kosong",IF($O106="","No. HP kosong",IF(AND($R106&lt;&gt;"",$R106&lt;17),"Usia di bawah 17","")))))))))</f>
        <v/>
      </c>
      <c r="Z106" s="40" t="str">
        <f aca="false">IF($B106="","",IF(AND(OR(CARI!$C$5="",ISNUMBER(SEARCH(CARI!$C$5,$B106&amp;" "&amp;$C106&amp;" "&amp;$D106&amp;" "&amp;$O106&amp;" "&amp;$I106&amp;" "&amp;$F106&amp;" "&amp;$J106&amp;" "&amp;$K106&amp;" "&amp;$L106&amp;" "&amp;$V106))),OR(CARI!$C$6="",$F106=CARI!$C$6),OR(CARI!$C$7="",$G106=CARI!$C$7),OR(CARI!$C$8="",$T106=CARI!$C$8)),MAX($Z$3:Z105)+1,""))</f>
        <v/>
      </c>
      <c r="AA106" s="40" t="str">
        <f aca="false">IF($Y106="","",MAX($AA$3:AA105)+1)</f>
        <v/>
      </c>
      <c r="AB106" s="40" t="str">
        <f aca="false">IF($F106="","",$F106&amp;"#"&amp;COUNTIF($F$4:$F106,$F106))</f>
        <v/>
      </c>
      <c r="AC106" s="40" t="str">
        <f aca="false">IF($B106="","",IF(AND(OR(CETAK!$J$10="",$F106=CETAK!$J$10),OR(CETAK!$J$11="",$G106=CETAK!$J$11),OR(CETAK!$J$12="",$P106=CETAK!$J$12),OR(CETAK!$J$13="",$N106=CETAK!$J$13),OR(CETAK!$J$14="",$T106=CETAK!$J$14)),MAX($AC$3:AC105)+1,""))</f>
        <v/>
      </c>
      <c r="AD106" s="40" t="str">
        <f aca="false">IF($B106="","",IF(AND(OR(ABSENSI!$H$10="",$F106=ABSENSI!$H$10),OR(ABSENSI!$H$11="",$G106=ABSENSI!$H$11),OR(ABSENSI!$H$12="",$P106=ABSENSI!$H$12)),MAX($AD$3:AD105)+1,""))</f>
        <v/>
      </c>
      <c r="AE106" s="40" t="str">
        <f aca="false">IF($B106="","",IF(AND(OR(KARTU!$K$6="",$F106=KARTU!$K$6),OR(KARTU!$K$7="",$G106=KARTU!$K$7),OR(KARTU!$K$8="",$P106=KARTU!$K$8)),MAX($AE$3:AE105)+1,""))</f>
        <v/>
      </c>
    </row>
    <row r="107" customFormat="false" ht="15" hidden="false" customHeight="false" outlineLevel="0" collapsed="false">
      <c r="A107" s="35" t="str">
        <f aca="false">IF($B107="","",COUNTA($B$4:$B107))</f>
        <v/>
      </c>
      <c r="B107" s="36"/>
      <c r="C107" s="37"/>
      <c r="D107" s="37"/>
      <c r="E107" s="38"/>
      <c r="F107" s="36"/>
      <c r="G107" s="39"/>
      <c r="H107" s="39"/>
      <c r="I107" s="36"/>
      <c r="J107" s="36"/>
      <c r="K107" s="36"/>
      <c r="L107" s="36"/>
      <c r="M107" s="40" t="str">
        <f aca="false">IF($F107="","",$F107&amp;IF($G107="",""," - RT "&amp;$G107&amp;IF($H107="","","/"&amp;$H107)))</f>
        <v/>
      </c>
      <c r="N107" s="36"/>
      <c r="O107" s="37"/>
      <c r="P107" s="39"/>
      <c r="Q107" s="41"/>
      <c r="R107" s="35" t="str">
        <f aca="true">IF(OR($B107="",$Q107=""),"",DATEDIF($Q107,TODAY(),"Y"))</f>
        <v/>
      </c>
      <c r="S107" s="40" t="str">
        <f aca="false">IF($R107="","",INDEX(usia_label,MATCH($R107,usia_min,1)))</f>
        <v/>
      </c>
      <c r="T107" s="36"/>
      <c r="U107" s="41"/>
      <c r="V107" s="36"/>
      <c r="W107" s="36"/>
      <c r="X107" s="40" t="str">
        <f aca="false">IF($M107="","",$M107&amp;"#"&amp;COUNTIF($M$4:$M107,$M107))</f>
        <v/>
      </c>
      <c r="Y107" s="40" t="str">
        <f aca="false">IF($B107="","",IF($C107="","NIK kosong",IF(LEN($C107)&lt;&gt;16,"NIK bukan 16 digit",IF(COUNTIF($C$4:$C$2003,$C107&amp;"*")&gt;1,"NIK ganda",IF(AND($D107&lt;&gt;"",LEN($D107)&lt;&gt;16),"No. KK bukan 16 digit",IF(AND($F107="",$I107=""),"Alamat kosong",IF($N107="","Jabatan kosong",IF($O107="","No. HP kosong",IF(AND($R107&lt;&gt;"",$R107&lt;17),"Usia di bawah 17","")))))))))</f>
        <v/>
      </c>
      <c r="Z107" s="40" t="str">
        <f aca="false">IF($B107="","",IF(AND(OR(CARI!$C$5="",ISNUMBER(SEARCH(CARI!$C$5,$B107&amp;" "&amp;$C107&amp;" "&amp;$D107&amp;" "&amp;$O107&amp;" "&amp;$I107&amp;" "&amp;$F107&amp;" "&amp;$J107&amp;" "&amp;$K107&amp;" "&amp;$L107&amp;" "&amp;$V107))),OR(CARI!$C$6="",$F107=CARI!$C$6),OR(CARI!$C$7="",$G107=CARI!$C$7),OR(CARI!$C$8="",$T107=CARI!$C$8)),MAX($Z$3:Z106)+1,""))</f>
        <v/>
      </c>
      <c r="AA107" s="40" t="str">
        <f aca="false">IF($Y107="","",MAX($AA$3:AA106)+1)</f>
        <v/>
      </c>
      <c r="AB107" s="40" t="str">
        <f aca="false">IF($F107="","",$F107&amp;"#"&amp;COUNTIF($F$4:$F107,$F107))</f>
        <v/>
      </c>
      <c r="AC107" s="40" t="str">
        <f aca="false">IF($B107="","",IF(AND(OR(CETAK!$J$10="",$F107=CETAK!$J$10),OR(CETAK!$J$11="",$G107=CETAK!$J$11),OR(CETAK!$J$12="",$P107=CETAK!$J$12),OR(CETAK!$J$13="",$N107=CETAK!$J$13),OR(CETAK!$J$14="",$T107=CETAK!$J$14)),MAX($AC$3:AC106)+1,""))</f>
        <v/>
      </c>
      <c r="AD107" s="40" t="str">
        <f aca="false">IF($B107="","",IF(AND(OR(ABSENSI!$H$10="",$F107=ABSENSI!$H$10),OR(ABSENSI!$H$11="",$G107=ABSENSI!$H$11),OR(ABSENSI!$H$12="",$P107=ABSENSI!$H$12)),MAX($AD$3:AD106)+1,""))</f>
        <v/>
      </c>
      <c r="AE107" s="40" t="str">
        <f aca="false">IF($B107="","",IF(AND(OR(KARTU!$K$6="",$F107=KARTU!$K$6),OR(KARTU!$K$7="",$G107=KARTU!$K$7),OR(KARTU!$K$8="",$P107=KARTU!$K$8)),MAX($AE$3:AE106)+1,""))</f>
        <v/>
      </c>
    </row>
    <row r="108" customFormat="false" ht="15" hidden="false" customHeight="false" outlineLevel="0" collapsed="false">
      <c r="A108" s="35" t="str">
        <f aca="false">IF($B108="","",COUNTA($B$4:$B108))</f>
        <v/>
      </c>
      <c r="B108" s="36"/>
      <c r="C108" s="37"/>
      <c r="D108" s="37"/>
      <c r="E108" s="38"/>
      <c r="F108" s="36"/>
      <c r="G108" s="39"/>
      <c r="H108" s="39"/>
      <c r="I108" s="36"/>
      <c r="J108" s="36"/>
      <c r="K108" s="36"/>
      <c r="L108" s="36"/>
      <c r="M108" s="40" t="str">
        <f aca="false">IF($F108="","",$F108&amp;IF($G108="",""," - RT "&amp;$G108&amp;IF($H108="","","/"&amp;$H108)))</f>
        <v/>
      </c>
      <c r="N108" s="36"/>
      <c r="O108" s="37"/>
      <c r="P108" s="39"/>
      <c r="Q108" s="41"/>
      <c r="R108" s="35" t="str">
        <f aca="true">IF(OR($B108="",$Q108=""),"",DATEDIF($Q108,TODAY(),"Y"))</f>
        <v/>
      </c>
      <c r="S108" s="40" t="str">
        <f aca="false">IF($R108="","",INDEX(usia_label,MATCH($R108,usia_min,1)))</f>
        <v/>
      </c>
      <c r="T108" s="36"/>
      <c r="U108" s="41"/>
      <c r="V108" s="36"/>
      <c r="W108" s="36"/>
      <c r="X108" s="40" t="str">
        <f aca="false">IF($M108="","",$M108&amp;"#"&amp;COUNTIF($M$4:$M108,$M108))</f>
        <v/>
      </c>
      <c r="Y108" s="40" t="str">
        <f aca="false">IF($B108="","",IF($C108="","NIK kosong",IF(LEN($C108)&lt;&gt;16,"NIK bukan 16 digit",IF(COUNTIF($C$4:$C$2003,$C108&amp;"*")&gt;1,"NIK ganda",IF(AND($D108&lt;&gt;"",LEN($D108)&lt;&gt;16),"No. KK bukan 16 digit",IF(AND($F108="",$I108=""),"Alamat kosong",IF($N108="","Jabatan kosong",IF($O108="","No. HP kosong",IF(AND($R108&lt;&gt;"",$R108&lt;17),"Usia di bawah 17","")))))))))</f>
        <v/>
      </c>
      <c r="Z108" s="40" t="str">
        <f aca="false">IF($B108="","",IF(AND(OR(CARI!$C$5="",ISNUMBER(SEARCH(CARI!$C$5,$B108&amp;" "&amp;$C108&amp;" "&amp;$D108&amp;" "&amp;$O108&amp;" "&amp;$I108&amp;" "&amp;$F108&amp;" "&amp;$J108&amp;" "&amp;$K108&amp;" "&amp;$L108&amp;" "&amp;$V108))),OR(CARI!$C$6="",$F108=CARI!$C$6),OR(CARI!$C$7="",$G108=CARI!$C$7),OR(CARI!$C$8="",$T108=CARI!$C$8)),MAX($Z$3:Z107)+1,""))</f>
        <v/>
      </c>
      <c r="AA108" s="40" t="str">
        <f aca="false">IF($Y108="","",MAX($AA$3:AA107)+1)</f>
        <v/>
      </c>
      <c r="AB108" s="40" t="str">
        <f aca="false">IF($F108="","",$F108&amp;"#"&amp;COUNTIF($F$4:$F108,$F108))</f>
        <v/>
      </c>
      <c r="AC108" s="40" t="str">
        <f aca="false">IF($B108="","",IF(AND(OR(CETAK!$J$10="",$F108=CETAK!$J$10),OR(CETAK!$J$11="",$G108=CETAK!$J$11),OR(CETAK!$J$12="",$P108=CETAK!$J$12),OR(CETAK!$J$13="",$N108=CETAK!$J$13),OR(CETAK!$J$14="",$T108=CETAK!$J$14)),MAX($AC$3:AC107)+1,""))</f>
        <v/>
      </c>
      <c r="AD108" s="40" t="str">
        <f aca="false">IF($B108="","",IF(AND(OR(ABSENSI!$H$10="",$F108=ABSENSI!$H$10),OR(ABSENSI!$H$11="",$G108=ABSENSI!$H$11),OR(ABSENSI!$H$12="",$P108=ABSENSI!$H$12)),MAX($AD$3:AD107)+1,""))</f>
        <v/>
      </c>
      <c r="AE108" s="40" t="str">
        <f aca="false">IF($B108="","",IF(AND(OR(KARTU!$K$6="",$F108=KARTU!$K$6),OR(KARTU!$K$7="",$G108=KARTU!$K$7),OR(KARTU!$K$8="",$P108=KARTU!$K$8)),MAX($AE$3:AE107)+1,""))</f>
        <v/>
      </c>
    </row>
    <row r="109" customFormat="false" ht="15" hidden="false" customHeight="false" outlineLevel="0" collapsed="false">
      <c r="A109" s="35" t="str">
        <f aca="false">IF($B109="","",COUNTA($B$4:$B109))</f>
        <v/>
      </c>
      <c r="B109" s="36"/>
      <c r="C109" s="37"/>
      <c r="D109" s="37"/>
      <c r="E109" s="38"/>
      <c r="F109" s="36"/>
      <c r="G109" s="39"/>
      <c r="H109" s="39"/>
      <c r="I109" s="36"/>
      <c r="J109" s="36"/>
      <c r="K109" s="36"/>
      <c r="L109" s="36"/>
      <c r="M109" s="40" t="str">
        <f aca="false">IF($F109="","",$F109&amp;IF($G109="",""," - RT "&amp;$G109&amp;IF($H109="","","/"&amp;$H109)))</f>
        <v/>
      </c>
      <c r="N109" s="36"/>
      <c r="O109" s="37"/>
      <c r="P109" s="39"/>
      <c r="Q109" s="41"/>
      <c r="R109" s="35" t="str">
        <f aca="true">IF(OR($B109="",$Q109=""),"",DATEDIF($Q109,TODAY(),"Y"))</f>
        <v/>
      </c>
      <c r="S109" s="40" t="str">
        <f aca="false">IF($R109="","",INDEX(usia_label,MATCH($R109,usia_min,1)))</f>
        <v/>
      </c>
      <c r="T109" s="36"/>
      <c r="U109" s="41"/>
      <c r="V109" s="36"/>
      <c r="W109" s="36"/>
      <c r="X109" s="40" t="str">
        <f aca="false">IF($M109="","",$M109&amp;"#"&amp;COUNTIF($M$4:$M109,$M109))</f>
        <v/>
      </c>
      <c r="Y109" s="40" t="str">
        <f aca="false">IF($B109="","",IF($C109="","NIK kosong",IF(LEN($C109)&lt;&gt;16,"NIK bukan 16 digit",IF(COUNTIF($C$4:$C$2003,$C109&amp;"*")&gt;1,"NIK ganda",IF(AND($D109&lt;&gt;"",LEN($D109)&lt;&gt;16),"No. KK bukan 16 digit",IF(AND($F109="",$I109=""),"Alamat kosong",IF($N109="","Jabatan kosong",IF($O109="","No. HP kosong",IF(AND($R109&lt;&gt;"",$R109&lt;17),"Usia di bawah 17","")))))))))</f>
        <v/>
      </c>
      <c r="Z109" s="40" t="str">
        <f aca="false">IF($B109="","",IF(AND(OR(CARI!$C$5="",ISNUMBER(SEARCH(CARI!$C$5,$B109&amp;" "&amp;$C109&amp;" "&amp;$D109&amp;" "&amp;$O109&amp;" "&amp;$I109&amp;" "&amp;$F109&amp;" "&amp;$J109&amp;" "&amp;$K109&amp;" "&amp;$L109&amp;" "&amp;$V109))),OR(CARI!$C$6="",$F109=CARI!$C$6),OR(CARI!$C$7="",$G109=CARI!$C$7),OR(CARI!$C$8="",$T109=CARI!$C$8)),MAX($Z$3:Z108)+1,""))</f>
        <v/>
      </c>
      <c r="AA109" s="40" t="str">
        <f aca="false">IF($Y109="","",MAX($AA$3:AA108)+1)</f>
        <v/>
      </c>
      <c r="AB109" s="40" t="str">
        <f aca="false">IF($F109="","",$F109&amp;"#"&amp;COUNTIF($F$4:$F109,$F109))</f>
        <v/>
      </c>
      <c r="AC109" s="40" t="str">
        <f aca="false">IF($B109="","",IF(AND(OR(CETAK!$J$10="",$F109=CETAK!$J$10),OR(CETAK!$J$11="",$G109=CETAK!$J$11),OR(CETAK!$J$12="",$P109=CETAK!$J$12),OR(CETAK!$J$13="",$N109=CETAK!$J$13),OR(CETAK!$J$14="",$T109=CETAK!$J$14)),MAX($AC$3:AC108)+1,""))</f>
        <v/>
      </c>
      <c r="AD109" s="40" t="str">
        <f aca="false">IF($B109="","",IF(AND(OR(ABSENSI!$H$10="",$F109=ABSENSI!$H$10),OR(ABSENSI!$H$11="",$G109=ABSENSI!$H$11),OR(ABSENSI!$H$12="",$P109=ABSENSI!$H$12)),MAX($AD$3:AD108)+1,""))</f>
        <v/>
      </c>
      <c r="AE109" s="40" t="str">
        <f aca="false">IF($B109="","",IF(AND(OR(KARTU!$K$6="",$F109=KARTU!$K$6),OR(KARTU!$K$7="",$G109=KARTU!$K$7),OR(KARTU!$K$8="",$P109=KARTU!$K$8)),MAX($AE$3:AE108)+1,""))</f>
        <v/>
      </c>
    </row>
    <row r="110" customFormat="false" ht="15" hidden="false" customHeight="false" outlineLevel="0" collapsed="false">
      <c r="A110" s="35" t="str">
        <f aca="false">IF($B110="","",COUNTA($B$4:$B110))</f>
        <v/>
      </c>
      <c r="B110" s="36"/>
      <c r="C110" s="37"/>
      <c r="D110" s="37"/>
      <c r="E110" s="38"/>
      <c r="F110" s="36"/>
      <c r="G110" s="39"/>
      <c r="H110" s="39"/>
      <c r="I110" s="36"/>
      <c r="J110" s="36"/>
      <c r="K110" s="36"/>
      <c r="L110" s="36"/>
      <c r="M110" s="40" t="str">
        <f aca="false">IF($F110="","",$F110&amp;IF($G110="",""," - RT "&amp;$G110&amp;IF($H110="","","/"&amp;$H110)))</f>
        <v/>
      </c>
      <c r="N110" s="36"/>
      <c r="O110" s="37"/>
      <c r="P110" s="39"/>
      <c r="Q110" s="41"/>
      <c r="R110" s="35" t="str">
        <f aca="true">IF(OR($B110="",$Q110=""),"",DATEDIF($Q110,TODAY(),"Y"))</f>
        <v/>
      </c>
      <c r="S110" s="40" t="str">
        <f aca="false">IF($R110="","",INDEX(usia_label,MATCH($R110,usia_min,1)))</f>
        <v/>
      </c>
      <c r="T110" s="36"/>
      <c r="U110" s="41"/>
      <c r="V110" s="36"/>
      <c r="W110" s="36"/>
      <c r="X110" s="40" t="str">
        <f aca="false">IF($M110="","",$M110&amp;"#"&amp;COUNTIF($M$4:$M110,$M110))</f>
        <v/>
      </c>
      <c r="Y110" s="40" t="str">
        <f aca="false">IF($B110="","",IF($C110="","NIK kosong",IF(LEN($C110)&lt;&gt;16,"NIK bukan 16 digit",IF(COUNTIF($C$4:$C$2003,$C110&amp;"*")&gt;1,"NIK ganda",IF(AND($D110&lt;&gt;"",LEN($D110)&lt;&gt;16),"No. KK bukan 16 digit",IF(AND($F110="",$I110=""),"Alamat kosong",IF($N110="","Jabatan kosong",IF($O110="","No. HP kosong",IF(AND($R110&lt;&gt;"",$R110&lt;17),"Usia di bawah 17","")))))))))</f>
        <v/>
      </c>
      <c r="Z110" s="40" t="str">
        <f aca="false">IF($B110="","",IF(AND(OR(CARI!$C$5="",ISNUMBER(SEARCH(CARI!$C$5,$B110&amp;" "&amp;$C110&amp;" "&amp;$D110&amp;" "&amp;$O110&amp;" "&amp;$I110&amp;" "&amp;$F110&amp;" "&amp;$J110&amp;" "&amp;$K110&amp;" "&amp;$L110&amp;" "&amp;$V110))),OR(CARI!$C$6="",$F110=CARI!$C$6),OR(CARI!$C$7="",$G110=CARI!$C$7),OR(CARI!$C$8="",$T110=CARI!$C$8)),MAX($Z$3:Z109)+1,""))</f>
        <v/>
      </c>
      <c r="AA110" s="40" t="str">
        <f aca="false">IF($Y110="","",MAX($AA$3:AA109)+1)</f>
        <v/>
      </c>
      <c r="AB110" s="40" t="str">
        <f aca="false">IF($F110="","",$F110&amp;"#"&amp;COUNTIF($F$4:$F110,$F110))</f>
        <v/>
      </c>
      <c r="AC110" s="40" t="str">
        <f aca="false">IF($B110="","",IF(AND(OR(CETAK!$J$10="",$F110=CETAK!$J$10),OR(CETAK!$J$11="",$G110=CETAK!$J$11),OR(CETAK!$J$12="",$P110=CETAK!$J$12),OR(CETAK!$J$13="",$N110=CETAK!$J$13),OR(CETAK!$J$14="",$T110=CETAK!$J$14)),MAX($AC$3:AC109)+1,""))</f>
        <v/>
      </c>
      <c r="AD110" s="40" t="str">
        <f aca="false">IF($B110="","",IF(AND(OR(ABSENSI!$H$10="",$F110=ABSENSI!$H$10),OR(ABSENSI!$H$11="",$G110=ABSENSI!$H$11),OR(ABSENSI!$H$12="",$P110=ABSENSI!$H$12)),MAX($AD$3:AD109)+1,""))</f>
        <v/>
      </c>
      <c r="AE110" s="40" t="str">
        <f aca="false">IF($B110="","",IF(AND(OR(KARTU!$K$6="",$F110=KARTU!$K$6),OR(KARTU!$K$7="",$G110=KARTU!$K$7),OR(KARTU!$K$8="",$P110=KARTU!$K$8)),MAX($AE$3:AE109)+1,""))</f>
        <v/>
      </c>
    </row>
    <row r="111" customFormat="false" ht="15" hidden="false" customHeight="false" outlineLevel="0" collapsed="false">
      <c r="A111" s="35" t="str">
        <f aca="false">IF($B111="","",COUNTA($B$4:$B111))</f>
        <v/>
      </c>
      <c r="B111" s="36"/>
      <c r="C111" s="37"/>
      <c r="D111" s="37"/>
      <c r="E111" s="38"/>
      <c r="F111" s="36"/>
      <c r="G111" s="39"/>
      <c r="H111" s="39"/>
      <c r="I111" s="36"/>
      <c r="J111" s="36"/>
      <c r="K111" s="36"/>
      <c r="L111" s="36"/>
      <c r="M111" s="40" t="str">
        <f aca="false">IF($F111="","",$F111&amp;IF($G111="",""," - RT "&amp;$G111&amp;IF($H111="","","/"&amp;$H111)))</f>
        <v/>
      </c>
      <c r="N111" s="36"/>
      <c r="O111" s="37"/>
      <c r="P111" s="39"/>
      <c r="Q111" s="41"/>
      <c r="R111" s="35" t="str">
        <f aca="true">IF(OR($B111="",$Q111=""),"",DATEDIF($Q111,TODAY(),"Y"))</f>
        <v/>
      </c>
      <c r="S111" s="40" t="str">
        <f aca="false">IF($R111="","",INDEX(usia_label,MATCH($R111,usia_min,1)))</f>
        <v/>
      </c>
      <c r="T111" s="36"/>
      <c r="U111" s="41"/>
      <c r="V111" s="36"/>
      <c r="W111" s="36"/>
      <c r="X111" s="40" t="str">
        <f aca="false">IF($M111="","",$M111&amp;"#"&amp;COUNTIF($M$4:$M111,$M111))</f>
        <v/>
      </c>
      <c r="Y111" s="40" t="str">
        <f aca="false">IF($B111="","",IF($C111="","NIK kosong",IF(LEN($C111)&lt;&gt;16,"NIK bukan 16 digit",IF(COUNTIF($C$4:$C$2003,$C111&amp;"*")&gt;1,"NIK ganda",IF(AND($D111&lt;&gt;"",LEN($D111)&lt;&gt;16),"No. KK bukan 16 digit",IF(AND($F111="",$I111=""),"Alamat kosong",IF($N111="","Jabatan kosong",IF($O111="","No. HP kosong",IF(AND($R111&lt;&gt;"",$R111&lt;17),"Usia di bawah 17","")))))))))</f>
        <v/>
      </c>
      <c r="Z111" s="40" t="str">
        <f aca="false">IF($B111="","",IF(AND(OR(CARI!$C$5="",ISNUMBER(SEARCH(CARI!$C$5,$B111&amp;" "&amp;$C111&amp;" "&amp;$D111&amp;" "&amp;$O111&amp;" "&amp;$I111&amp;" "&amp;$F111&amp;" "&amp;$J111&amp;" "&amp;$K111&amp;" "&amp;$L111&amp;" "&amp;$V111))),OR(CARI!$C$6="",$F111=CARI!$C$6),OR(CARI!$C$7="",$G111=CARI!$C$7),OR(CARI!$C$8="",$T111=CARI!$C$8)),MAX($Z$3:Z110)+1,""))</f>
        <v/>
      </c>
      <c r="AA111" s="40" t="str">
        <f aca="false">IF($Y111="","",MAX($AA$3:AA110)+1)</f>
        <v/>
      </c>
      <c r="AB111" s="40" t="str">
        <f aca="false">IF($F111="","",$F111&amp;"#"&amp;COUNTIF($F$4:$F111,$F111))</f>
        <v/>
      </c>
      <c r="AC111" s="40" t="str">
        <f aca="false">IF($B111="","",IF(AND(OR(CETAK!$J$10="",$F111=CETAK!$J$10),OR(CETAK!$J$11="",$G111=CETAK!$J$11),OR(CETAK!$J$12="",$P111=CETAK!$J$12),OR(CETAK!$J$13="",$N111=CETAK!$J$13),OR(CETAK!$J$14="",$T111=CETAK!$J$14)),MAX($AC$3:AC110)+1,""))</f>
        <v/>
      </c>
      <c r="AD111" s="40" t="str">
        <f aca="false">IF($B111="","",IF(AND(OR(ABSENSI!$H$10="",$F111=ABSENSI!$H$10),OR(ABSENSI!$H$11="",$G111=ABSENSI!$H$11),OR(ABSENSI!$H$12="",$P111=ABSENSI!$H$12)),MAX($AD$3:AD110)+1,""))</f>
        <v/>
      </c>
      <c r="AE111" s="40" t="str">
        <f aca="false">IF($B111="","",IF(AND(OR(KARTU!$K$6="",$F111=KARTU!$K$6),OR(KARTU!$K$7="",$G111=KARTU!$K$7),OR(KARTU!$K$8="",$P111=KARTU!$K$8)),MAX($AE$3:AE110)+1,""))</f>
        <v/>
      </c>
    </row>
    <row r="112" customFormat="false" ht="15" hidden="false" customHeight="false" outlineLevel="0" collapsed="false">
      <c r="A112" s="35" t="str">
        <f aca="false">IF($B112="","",COUNTA($B$4:$B112))</f>
        <v/>
      </c>
      <c r="B112" s="36"/>
      <c r="C112" s="37"/>
      <c r="D112" s="37"/>
      <c r="E112" s="38"/>
      <c r="F112" s="36"/>
      <c r="G112" s="39"/>
      <c r="H112" s="39"/>
      <c r="I112" s="36"/>
      <c r="J112" s="36"/>
      <c r="K112" s="36"/>
      <c r="L112" s="36"/>
      <c r="M112" s="40" t="str">
        <f aca="false">IF($F112="","",$F112&amp;IF($G112="",""," - RT "&amp;$G112&amp;IF($H112="","","/"&amp;$H112)))</f>
        <v/>
      </c>
      <c r="N112" s="36"/>
      <c r="O112" s="37"/>
      <c r="P112" s="39"/>
      <c r="Q112" s="41"/>
      <c r="R112" s="35" t="str">
        <f aca="true">IF(OR($B112="",$Q112=""),"",DATEDIF($Q112,TODAY(),"Y"))</f>
        <v/>
      </c>
      <c r="S112" s="40" t="str">
        <f aca="false">IF($R112="","",INDEX(usia_label,MATCH($R112,usia_min,1)))</f>
        <v/>
      </c>
      <c r="T112" s="36"/>
      <c r="U112" s="41"/>
      <c r="V112" s="36"/>
      <c r="W112" s="36"/>
      <c r="X112" s="40" t="str">
        <f aca="false">IF($M112="","",$M112&amp;"#"&amp;COUNTIF($M$4:$M112,$M112))</f>
        <v/>
      </c>
      <c r="Y112" s="40" t="str">
        <f aca="false">IF($B112="","",IF($C112="","NIK kosong",IF(LEN($C112)&lt;&gt;16,"NIK bukan 16 digit",IF(COUNTIF($C$4:$C$2003,$C112&amp;"*")&gt;1,"NIK ganda",IF(AND($D112&lt;&gt;"",LEN($D112)&lt;&gt;16),"No. KK bukan 16 digit",IF(AND($F112="",$I112=""),"Alamat kosong",IF($N112="","Jabatan kosong",IF($O112="","No. HP kosong",IF(AND($R112&lt;&gt;"",$R112&lt;17),"Usia di bawah 17","")))))))))</f>
        <v/>
      </c>
      <c r="Z112" s="40" t="str">
        <f aca="false">IF($B112="","",IF(AND(OR(CARI!$C$5="",ISNUMBER(SEARCH(CARI!$C$5,$B112&amp;" "&amp;$C112&amp;" "&amp;$D112&amp;" "&amp;$O112&amp;" "&amp;$I112&amp;" "&amp;$F112&amp;" "&amp;$J112&amp;" "&amp;$K112&amp;" "&amp;$L112&amp;" "&amp;$V112))),OR(CARI!$C$6="",$F112=CARI!$C$6),OR(CARI!$C$7="",$G112=CARI!$C$7),OR(CARI!$C$8="",$T112=CARI!$C$8)),MAX($Z$3:Z111)+1,""))</f>
        <v/>
      </c>
      <c r="AA112" s="40" t="str">
        <f aca="false">IF($Y112="","",MAX($AA$3:AA111)+1)</f>
        <v/>
      </c>
      <c r="AB112" s="40" t="str">
        <f aca="false">IF($F112="","",$F112&amp;"#"&amp;COUNTIF($F$4:$F112,$F112))</f>
        <v/>
      </c>
      <c r="AC112" s="40" t="str">
        <f aca="false">IF($B112="","",IF(AND(OR(CETAK!$J$10="",$F112=CETAK!$J$10),OR(CETAK!$J$11="",$G112=CETAK!$J$11),OR(CETAK!$J$12="",$P112=CETAK!$J$12),OR(CETAK!$J$13="",$N112=CETAK!$J$13),OR(CETAK!$J$14="",$T112=CETAK!$J$14)),MAX($AC$3:AC111)+1,""))</f>
        <v/>
      </c>
      <c r="AD112" s="40" t="str">
        <f aca="false">IF($B112="","",IF(AND(OR(ABSENSI!$H$10="",$F112=ABSENSI!$H$10),OR(ABSENSI!$H$11="",$G112=ABSENSI!$H$11),OR(ABSENSI!$H$12="",$P112=ABSENSI!$H$12)),MAX($AD$3:AD111)+1,""))</f>
        <v/>
      </c>
      <c r="AE112" s="40" t="str">
        <f aca="false">IF($B112="","",IF(AND(OR(KARTU!$K$6="",$F112=KARTU!$K$6),OR(KARTU!$K$7="",$G112=KARTU!$K$7),OR(KARTU!$K$8="",$P112=KARTU!$K$8)),MAX($AE$3:AE111)+1,""))</f>
        <v/>
      </c>
    </row>
    <row r="113" customFormat="false" ht="15" hidden="false" customHeight="false" outlineLevel="0" collapsed="false">
      <c r="A113" s="35" t="str">
        <f aca="false">IF($B113="","",COUNTA($B$4:$B113))</f>
        <v/>
      </c>
      <c r="B113" s="36"/>
      <c r="C113" s="37"/>
      <c r="D113" s="37"/>
      <c r="E113" s="38"/>
      <c r="F113" s="36"/>
      <c r="G113" s="39"/>
      <c r="H113" s="39"/>
      <c r="I113" s="36"/>
      <c r="J113" s="36"/>
      <c r="K113" s="36"/>
      <c r="L113" s="36"/>
      <c r="M113" s="40" t="str">
        <f aca="false">IF($F113="","",$F113&amp;IF($G113="",""," - RT "&amp;$G113&amp;IF($H113="","","/"&amp;$H113)))</f>
        <v/>
      </c>
      <c r="N113" s="36"/>
      <c r="O113" s="37"/>
      <c r="P113" s="39"/>
      <c r="Q113" s="41"/>
      <c r="R113" s="35" t="str">
        <f aca="true">IF(OR($B113="",$Q113=""),"",DATEDIF($Q113,TODAY(),"Y"))</f>
        <v/>
      </c>
      <c r="S113" s="40" t="str">
        <f aca="false">IF($R113="","",INDEX(usia_label,MATCH($R113,usia_min,1)))</f>
        <v/>
      </c>
      <c r="T113" s="36"/>
      <c r="U113" s="41"/>
      <c r="V113" s="36"/>
      <c r="W113" s="36"/>
      <c r="X113" s="40" t="str">
        <f aca="false">IF($M113="","",$M113&amp;"#"&amp;COUNTIF($M$4:$M113,$M113))</f>
        <v/>
      </c>
      <c r="Y113" s="40" t="str">
        <f aca="false">IF($B113="","",IF($C113="","NIK kosong",IF(LEN($C113)&lt;&gt;16,"NIK bukan 16 digit",IF(COUNTIF($C$4:$C$2003,$C113&amp;"*")&gt;1,"NIK ganda",IF(AND($D113&lt;&gt;"",LEN($D113)&lt;&gt;16),"No. KK bukan 16 digit",IF(AND($F113="",$I113=""),"Alamat kosong",IF($N113="","Jabatan kosong",IF($O113="","No. HP kosong",IF(AND($R113&lt;&gt;"",$R113&lt;17),"Usia di bawah 17","")))))))))</f>
        <v/>
      </c>
      <c r="Z113" s="40" t="str">
        <f aca="false">IF($B113="","",IF(AND(OR(CARI!$C$5="",ISNUMBER(SEARCH(CARI!$C$5,$B113&amp;" "&amp;$C113&amp;" "&amp;$D113&amp;" "&amp;$O113&amp;" "&amp;$I113&amp;" "&amp;$F113&amp;" "&amp;$J113&amp;" "&amp;$K113&amp;" "&amp;$L113&amp;" "&amp;$V113))),OR(CARI!$C$6="",$F113=CARI!$C$6),OR(CARI!$C$7="",$G113=CARI!$C$7),OR(CARI!$C$8="",$T113=CARI!$C$8)),MAX($Z$3:Z112)+1,""))</f>
        <v/>
      </c>
      <c r="AA113" s="40" t="str">
        <f aca="false">IF($Y113="","",MAX($AA$3:AA112)+1)</f>
        <v/>
      </c>
      <c r="AB113" s="40" t="str">
        <f aca="false">IF($F113="","",$F113&amp;"#"&amp;COUNTIF($F$4:$F113,$F113))</f>
        <v/>
      </c>
      <c r="AC113" s="40" t="str">
        <f aca="false">IF($B113="","",IF(AND(OR(CETAK!$J$10="",$F113=CETAK!$J$10),OR(CETAK!$J$11="",$G113=CETAK!$J$11),OR(CETAK!$J$12="",$P113=CETAK!$J$12),OR(CETAK!$J$13="",$N113=CETAK!$J$13),OR(CETAK!$J$14="",$T113=CETAK!$J$14)),MAX($AC$3:AC112)+1,""))</f>
        <v/>
      </c>
      <c r="AD113" s="40" t="str">
        <f aca="false">IF($B113="","",IF(AND(OR(ABSENSI!$H$10="",$F113=ABSENSI!$H$10),OR(ABSENSI!$H$11="",$G113=ABSENSI!$H$11),OR(ABSENSI!$H$12="",$P113=ABSENSI!$H$12)),MAX($AD$3:AD112)+1,""))</f>
        <v/>
      </c>
      <c r="AE113" s="40" t="str">
        <f aca="false">IF($B113="","",IF(AND(OR(KARTU!$K$6="",$F113=KARTU!$K$6),OR(KARTU!$K$7="",$G113=KARTU!$K$7),OR(KARTU!$K$8="",$P113=KARTU!$K$8)),MAX($AE$3:AE112)+1,""))</f>
        <v/>
      </c>
    </row>
    <row r="114" customFormat="false" ht="15" hidden="false" customHeight="false" outlineLevel="0" collapsed="false">
      <c r="A114" s="35" t="str">
        <f aca="false">IF($B114="","",COUNTA($B$4:$B114))</f>
        <v/>
      </c>
      <c r="B114" s="36"/>
      <c r="C114" s="37"/>
      <c r="D114" s="37"/>
      <c r="E114" s="38"/>
      <c r="F114" s="36"/>
      <c r="G114" s="39"/>
      <c r="H114" s="39"/>
      <c r="I114" s="36"/>
      <c r="J114" s="36"/>
      <c r="K114" s="36"/>
      <c r="L114" s="36"/>
      <c r="M114" s="40" t="str">
        <f aca="false">IF($F114="","",$F114&amp;IF($G114="",""," - RT "&amp;$G114&amp;IF($H114="","","/"&amp;$H114)))</f>
        <v/>
      </c>
      <c r="N114" s="36"/>
      <c r="O114" s="37"/>
      <c r="P114" s="39"/>
      <c r="Q114" s="41"/>
      <c r="R114" s="35" t="str">
        <f aca="true">IF(OR($B114="",$Q114=""),"",DATEDIF($Q114,TODAY(),"Y"))</f>
        <v/>
      </c>
      <c r="S114" s="40" t="str">
        <f aca="false">IF($R114="","",INDEX(usia_label,MATCH($R114,usia_min,1)))</f>
        <v/>
      </c>
      <c r="T114" s="36"/>
      <c r="U114" s="41"/>
      <c r="V114" s="36"/>
      <c r="W114" s="36"/>
      <c r="X114" s="40" t="str">
        <f aca="false">IF($M114="","",$M114&amp;"#"&amp;COUNTIF($M$4:$M114,$M114))</f>
        <v/>
      </c>
      <c r="Y114" s="40" t="str">
        <f aca="false">IF($B114="","",IF($C114="","NIK kosong",IF(LEN($C114)&lt;&gt;16,"NIK bukan 16 digit",IF(COUNTIF($C$4:$C$2003,$C114&amp;"*")&gt;1,"NIK ganda",IF(AND($D114&lt;&gt;"",LEN($D114)&lt;&gt;16),"No. KK bukan 16 digit",IF(AND($F114="",$I114=""),"Alamat kosong",IF($N114="","Jabatan kosong",IF($O114="","No. HP kosong",IF(AND($R114&lt;&gt;"",$R114&lt;17),"Usia di bawah 17","")))))))))</f>
        <v/>
      </c>
      <c r="Z114" s="40" t="str">
        <f aca="false">IF($B114="","",IF(AND(OR(CARI!$C$5="",ISNUMBER(SEARCH(CARI!$C$5,$B114&amp;" "&amp;$C114&amp;" "&amp;$D114&amp;" "&amp;$O114&amp;" "&amp;$I114&amp;" "&amp;$F114&amp;" "&amp;$J114&amp;" "&amp;$K114&amp;" "&amp;$L114&amp;" "&amp;$V114))),OR(CARI!$C$6="",$F114=CARI!$C$6),OR(CARI!$C$7="",$G114=CARI!$C$7),OR(CARI!$C$8="",$T114=CARI!$C$8)),MAX($Z$3:Z113)+1,""))</f>
        <v/>
      </c>
      <c r="AA114" s="40" t="str">
        <f aca="false">IF($Y114="","",MAX($AA$3:AA113)+1)</f>
        <v/>
      </c>
      <c r="AB114" s="40" t="str">
        <f aca="false">IF($F114="","",$F114&amp;"#"&amp;COUNTIF($F$4:$F114,$F114))</f>
        <v/>
      </c>
      <c r="AC114" s="40" t="str">
        <f aca="false">IF($B114="","",IF(AND(OR(CETAK!$J$10="",$F114=CETAK!$J$10),OR(CETAK!$J$11="",$G114=CETAK!$J$11),OR(CETAK!$J$12="",$P114=CETAK!$J$12),OR(CETAK!$J$13="",$N114=CETAK!$J$13),OR(CETAK!$J$14="",$T114=CETAK!$J$14)),MAX($AC$3:AC113)+1,""))</f>
        <v/>
      </c>
      <c r="AD114" s="40" t="str">
        <f aca="false">IF($B114="","",IF(AND(OR(ABSENSI!$H$10="",$F114=ABSENSI!$H$10),OR(ABSENSI!$H$11="",$G114=ABSENSI!$H$11),OR(ABSENSI!$H$12="",$P114=ABSENSI!$H$12)),MAX($AD$3:AD113)+1,""))</f>
        <v/>
      </c>
      <c r="AE114" s="40" t="str">
        <f aca="false">IF($B114="","",IF(AND(OR(KARTU!$K$6="",$F114=KARTU!$K$6),OR(KARTU!$K$7="",$G114=KARTU!$K$7),OR(KARTU!$K$8="",$P114=KARTU!$K$8)),MAX($AE$3:AE113)+1,""))</f>
        <v/>
      </c>
    </row>
    <row r="115" customFormat="false" ht="15" hidden="false" customHeight="false" outlineLevel="0" collapsed="false">
      <c r="A115" s="35" t="str">
        <f aca="false">IF($B115="","",COUNTA($B$4:$B115))</f>
        <v/>
      </c>
      <c r="B115" s="36"/>
      <c r="C115" s="37"/>
      <c r="D115" s="37"/>
      <c r="E115" s="38"/>
      <c r="F115" s="36"/>
      <c r="G115" s="39"/>
      <c r="H115" s="39"/>
      <c r="I115" s="36"/>
      <c r="J115" s="36"/>
      <c r="K115" s="36"/>
      <c r="L115" s="36"/>
      <c r="M115" s="40" t="str">
        <f aca="false">IF($F115="","",$F115&amp;IF($G115="",""," - RT "&amp;$G115&amp;IF($H115="","","/"&amp;$H115)))</f>
        <v/>
      </c>
      <c r="N115" s="36"/>
      <c r="O115" s="37"/>
      <c r="P115" s="39"/>
      <c r="Q115" s="41"/>
      <c r="R115" s="35" t="str">
        <f aca="true">IF(OR($B115="",$Q115=""),"",DATEDIF($Q115,TODAY(),"Y"))</f>
        <v/>
      </c>
      <c r="S115" s="40" t="str">
        <f aca="false">IF($R115="","",INDEX(usia_label,MATCH($R115,usia_min,1)))</f>
        <v/>
      </c>
      <c r="T115" s="36"/>
      <c r="U115" s="41"/>
      <c r="V115" s="36"/>
      <c r="W115" s="36"/>
      <c r="X115" s="40" t="str">
        <f aca="false">IF($M115="","",$M115&amp;"#"&amp;COUNTIF($M$4:$M115,$M115))</f>
        <v/>
      </c>
      <c r="Y115" s="40" t="str">
        <f aca="false">IF($B115="","",IF($C115="","NIK kosong",IF(LEN($C115)&lt;&gt;16,"NIK bukan 16 digit",IF(COUNTIF($C$4:$C$2003,$C115&amp;"*")&gt;1,"NIK ganda",IF(AND($D115&lt;&gt;"",LEN($D115)&lt;&gt;16),"No. KK bukan 16 digit",IF(AND($F115="",$I115=""),"Alamat kosong",IF($N115="","Jabatan kosong",IF($O115="","No. HP kosong",IF(AND($R115&lt;&gt;"",$R115&lt;17),"Usia di bawah 17","")))))))))</f>
        <v/>
      </c>
      <c r="Z115" s="40" t="str">
        <f aca="false">IF($B115="","",IF(AND(OR(CARI!$C$5="",ISNUMBER(SEARCH(CARI!$C$5,$B115&amp;" "&amp;$C115&amp;" "&amp;$D115&amp;" "&amp;$O115&amp;" "&amp;$I115&amp;" "&amp;$F115&amp;" "&amp;$J115&amp;" "&amp;$K115&amp;" "&amp;$L115&amp;" "&amp;$V115))),OR(CARI!$C$6="",$F115=CARI!$C$6),OR(CARI!$C$7="",$G115=CARI!$C$7),OR(CARI!$C$8="",$T115=CARI!$C$8)),MAX($Z$3:Z114)+1,""))</f>
        <v/>
      </c>
      <c r="AA115" s="40" t="str">
        <f aca="false">IF($Y115="","",MAX($AA$3:AA114)+1)</f>
        <v/>
      </c>
      <c r="AB115" s="40" t="str">
        <f aca="false">IF($F115="","",$F115&amp;"#"&amp;COUNTIF($F$4:$F115,$F115))</f>
        <v/>
      </c>
      <c r="AC115" s="40" t="str">
        <f aca="false">IF($B115="","",IF(AND(OR(CETAK!$J$10="",$F115=CETAK!$J$10),OR(CETAK!$J$11="",$G115=CETAK!$J$11),OR(CETAK!$J$12="",$P115=CETAK!$J$12),OR(CETAK!$J$13="",$N115=CETAK!$J$13),OR(CETAK!$J$14="",$T115=CETAK!$J$14)),MAX($AC$3:AC114)+1,""))</f>
        <v/>
      </c>
      <c r="AD115" s="40" t="str">
        <f aca="false">IF($B115="","",IF(AND(OR(ABSENSI!$H$10="",$F115=ABSENSI!$H$10),OR(ABSENSI!$H$11="",$G115=ABSENSI!$H$11),OR(ABSENSI!$H$12="",$P115=ABSENSI!$H$12)),MAX($AD$3:AD114)+1,""))</f>
        <v/>
      </c>
      <c r="AE115" s="40" t="str">
        <f aca="false">IF($B115="","",IF(AND(OR(KARTU!$K$6="",$F115=KARTU!$K$6),OR(KARTU!$K$7="",$G115=KARTU!$K$7),OR(KARTU!$K$8="",$P115=KARTU!$K$8)),MAX($AE$3:AE114)+1,""))</f>
        <v/>
      </c>
    </row>
    <row r="116" customFormat="false" ht="15" hidden="false" customHeight="false" outlineLevel="0" collapsed="false">
      <c r="A116" s="35" t="str">
        <f aca="false">IF($B116="","",COUNTA($B$4:$B116))</f>
        <v/>
      </c>
      <c r="B116" s="36"/>
      <c r="C116" s="37"/>
      <c r="D116" s="37"/>
      <c r="E116" s="38"/>
      <c r="F116" s="36"/>
      <c r="G116" s="39"/>
      <c r="H116" s="39"/>
      <c r="I116" s="36"/>
      <c r="J116" s="36"/>
      <c r="K116" s="36"/>
      <c r="L116" s="36"/>
      <c r="M116" s="40" t="str">
        <f aca="false">IF($F116="","",$F116&amp;IF($G116="",""," - RT "&amp;$G116&amp;IF($H116="","","/"&amp;$H116)))</f>
        <v/>
      </c>
      <c r="N116" s="36"/>
      <c r="O116" s="37"/>
      <c r="P116" s="39"/>
      <c r="Q116" s="41"/>
      <c r="R116" s="35" t="str">
        <f aca="true">IF(OR($B116="",$Q116=""),"",DATEDIF($Q116,TODAY(),"Y"))</f>
        <v/>
      </c>
      <c r="S116" s="40" t="str">
        <f aca="false">IF($R116="","",INDEX(usia_label,MATCH($R116,usia_min,1)))</f>
        <v/>
      </c>
      <c r="T116" s="36"/>
      <c r="U116" s="41"/>
      <c r="V116" s="36"/>
      <c r="W116" s="36"/>
      <c r="X116" s="40" t="str">
        <f aca="false">IF($M116="","",$M116&amp;"#"&amp;COUNTIF($M$4:$M116,$M116))</f>
        <v/>
      </c>
      <c r="Y116" s="40" t="str">
        <f aca="false">IF($B116="","",IF($C116="","NIK kosong",IF(LEN($C116)&lt;&gt;16,"NIK bukan 16 digit",IF(COUNTIF($C$4:$C$2003,$C116&amp;"*")&gt;1,"NIK ganda",IF(AND($D116&lt;&gt;"",LEN($D116)&lt;&gt;16),"No. KK bukan 16 digit",IF(AND($F116="",$I116=""),"Alamat kosong",IF($N116="","Jabatan kosong",IF($O116="","No. HP kosong",IF(AND($R116&lt;&gt;"",$R116&lt;17),"Usia di bawah 17","")))))))))</f>
        <v/>
      </c>
      <c r="Z116" s="40" t="str">
        <f aca="false">IF($B116="","",IF(AND(OR(CARI!$C$5="",ISNUMBER(SEARCH(CARI!$C$5,$B116&amp;" "&amp;$C116&amp;" "&amp;$D116&amp;" "&amp;$O116&amp;" "&amp;$I116&amp;" "&amp;$F116&amp;" "&amp;$J116&amp;" "&amp;$K116&amp;" "&amp;$L116&amp;" "&amp;$V116))),OR(CARI!$C$6="",$F116=CARI!$C$6),OR(CARI!$C$7="",$G116=CARI!$C$7),OR(CARI!$C$8="",$T116=CARI!$C$8)),MAX($Z$3:Z115)+1,""))</f>
        <v/>
      </c>
      <c r="AA116" s="40" t="str">
        <f aca="false">IF($Y116="","",MAX($AA$3:AA115)+1)</f>
        <v/>
      </c>
      <c r="AB116" s="40" t="str">
        <f aca="false">IF($F116="","",$F116&amp;"#"&amp;COUNTIF($F$4:$F116,$F116))</f>
        <v/>
      </c>
      <c r="AC116" s="40" t="str">
        <f aca="false">IF($B116="","",IF(AND(OR(CETAK!$J$10="",$F116=CETAK!$J$10),OR(CETAK!$J$11="",$G116=CETAK!$J$11),OR(CETAK!$J$12="",$P116=CETAK!$J$12),OR(CETAK!$J$13="",$N116=CETAK!$J$13),OR(CETAK!$J$14="",$T116=CETAK!$J$14)),MAX($AC$3:AC115)+1,""))</f>
        <v/>
      </c>
      <c r="AD116" s="40" t="str">
        <f aca="false">IF($B116="","",IF(AND(OR(ABSENSI!$H$10="",$F116=ABSENSI!$H$10),OR(ABSENSI!$H$11="",$G116=ABSENSI!$H$11),OR(ABSENSI!$H$12="",$P116=ABSENSI!$H$12)),MAX($AD$3:AD115)+1,""))</f>
        <v/>
      </c>
      <c r="AE116" s="40" t="str">
        <f aca="false">IF($B116="","",IF(AND(OR(KARTU!$K$6="",$F116=KARTU!$K$6),OR(KARTU!$K$7="",$G116=KARTU!$K$7),OR(KARTU!$K$8="",$P116=KARTU!$K$8)),MAX($AE$3:AE115)+1,""))</f>
        <v/>
      </c>
    </row>
    <row r="117" customFormat="false" ht="15" hidden="false" customHeight="false" outlineLevel="0" collapsed="false">
      <c r="A117" s="35" t="str">
        <f aca="false">IF($B117="","",COUNTA($B$4:$B117))</f>
        <v/>
      </c>
      <c r="B117" s="36"/>
      <c r="C117" s="37"/>
      <c r="D117" s="37"/>
      <c r="E117" s="38"/>
      <c r="F117" s="36"/>
      <c r="G117" s="39"/>
      <c r="H117" s="39"/>
      <c r="I117" s="36"/>
      <c r="J117" s="36"/>
      <c r="K117" s="36"/>
      <c r="L117" s="36"/>
      <c r="M117" s="40" t="str">
        <f aca="false">IF($F117="","",$F117&amp;IF($G117="",""," - RT "&amp;$G117&amp;IF($H117="","","/"&amp;$H117)))</f>
        <v/>
      </c>
      <c r="N117" s="36"/>
      <c r="O117" s="37"/>
      <c r="P117" s="39"/>
      <c r="Q117" s="41"/>
      <c r="R117" s="35" t="str">
        <f aca="true">IF(OR($B117="",$Q117=""),"",DATEDIF($Q117,TODAY(),"Y"))</f>
        <v/>
      </c>
      <c r="S117" s="40" t="str">
        <f aca="false">IF($R117="","",INDEX(usia_label,MATCH($R117,usia_min,1)))</f>
        <v/>
      </c>
      <c r="T117" s="36"/>
      <c r="U117" s="41"/>
      <c r="V117" s="36"/>
      <c r="W117" s="36"/>
      <c r="X117" s="40" t="str">
        <f aca="false">IF($M117="","",$M117&amp;"#"&amp;COUNTIF($M$4:$M117,$M117))</f>
        <v/>
      </c>
      <c r="Y117" s="40" t="str">
        <f aca="false">IF($B117="","",IF($C117="","NIK kosong",IF(LEN($C117)&lt;&gt;16,"NIK bukan 16 digit",IF(COUNTIF($C$4:$C$2003,$C117&amp;"*")&gt;1,"NIK ganda",IF(AND($D117&lt;&gt;"",LEN($D117)&lt;&gt;16),"No. KK bukan 16 digit",IF(AND($F117="",$I117=""),"Alamat kosong",IF($N117="","Jabatan kosong",IF($O117="","No. HP kosong",IF(AND($R117&lt;&gt;"",$R117&lt;17),"Usia di bawah 17","")))))))))</f>
        <v/>
      </c>
      <c r="Z117" s="40" t="str">
        <f aca="false">IF($B117="","",IF(AND(OR(CARI!$C$5="",ISNUMBER(SEARCH(CARI!$C$5,$B117&amp;" "&amp;$C117&amp;" "&amp;$D117&amp;" "&amp;$O117&amp;" "&amp;$I117&amp;" "&amp;$F117&amp;" "&amp;$J117&amp;" "&amp;$K117&amp;" "&amp;$L117&amp;" "&amp;$V117))),OR(CARI!$C$6="",$F117=CARI!$C$6),OR(CARI!$C$7="",$G117=CARI!$C$7),OR(CARI!$C$8="",$T117=CARI!$C$8)),MAX($Z$3:Z116)+1,""))</f>
        <v/>
      </c>
      <c r="AA117" s="40" t="str">
        <f aca="false">IF($Y117="","",MAX($AA$3:AA116)+1)</f>
        <v/>
      </c>
      <c r="AB117" s="40" t="str">
        <f aca="false">IF($F117="","",$F117&amp;"#"&amp;COUNTIF($F$4:$F117,$F117))</f>
        <v/>
      </c>
      <c r="AC117" s="40" t="str">
        <f aca="false">IF($B117="","",IF(AND(OR(CETAK!$J$10="",$F117=CETAK!$J$10),OR(CETAK!$J$11="",$G117=CETAK!$J$11),OR(CETAK!$J$12="",$P117=CETAK!$J$12),OR(CETAK!$J$13="",$N117=CETAK!$J$13),OR(CETAK!$J$14="",$T117=CETAK!$J$14)),MAX($AC$3:AC116)+1,""))</f>
        <v/>
      </c>
      <c r="AD117" s="40" t="str">
        <f aca="false">IF($B117="","",IF(AND(OR(ABSENSI!$H$10="",$F117=ABSENSI!$H$10),OR(ABSENSI!$H$11="",$G117=ABSENSI!$H$11),OR(ABSENSI!$H$12="",$P117=ABSENSI!$H$12)),MAX($AD$3:AD116)+1,""))</f>
        <v/>
      </c>
      <c r="AE117" s="40" t="str">
        <f aca="false">IF($B117="","",IF(AND(OR(KARTU!$K$6="",$F117=KARTU!$K$6),OR(KARTU!$K$7="",$G117=KARTU!$K$7),OR(KARTU!$K$8="",$P117=KARTU!$K$8)),MAX($AE$3:AE116)+1,""))</f>
        <v/>
      </c>
    </row>
    <row r="118" customFormat="false" ht="15" hidden="false" customHeight="false" outlineLevel="0" collapsed="false">
      <c r="A118" s="35" t="str">
        <f aca="false">IF($B118="","",COUNTA($B$4:$B118))</f>
        <v/>
      </c>
      <c r="B118" s="36"/>
      <c r="C118" s="37"/>
      <c r="D118" s="37"/>
      <c r="E118" s="38"/>
      <c r="F118" s="36"/>
      <c r="G118" s="39"/>
      <c r="H118" s="39"/>
      <c r="I118" s="36"/>
      <c r="J118" s="36"/>
      <c r="K118" s="36"/>
      <c r="L118" s="36"/>
      <c r="M118" s="40" t="str">
        <f aca="false">IF($F118="","",$F118&amp;IF($G118="",""," - RT "&amp;$G118&amp;IF($H118="","","/"&amp;$H118)))</f>
        <v/>
      </c>
      <c r="N118" s="36"/>
      <c r="O118" s="37"/>
      <c r="P118" s="39"/>
      <c r="Q118" s="41"/>
      <c r="R118" s="35" t="str">
        <f aca="true">IF(OR($B118="",$Q118=""),"",DATEDIF($Q118,TODAY(),"Y"))</f>
        <v/>
      </c>
      <c r="S118" s="40" t="str">
        <f aca="false">IF($R118="","",INDEX(usia_label,MATCH($R118,usia_min,1)))</f>
        <v/>
      </c>
      <c r="T118" s="36"/>
      <c r="U118" s="41"/>
      <c r="V118" s="36"/>
      <c r="W118" s="36"/>
      <c r="X118" s="40" t="str">
        <f aca="false">IF($M118="","",$M118&amp;"#"&amp;COUNTIF($M$4:$M118,$M118))</f>
        <v/>
      </c>
      <c r="Y118" s="40" t="str">
        <f aca="false">IF($B118="","",IF($C118="","NIK kosong",IF(LEN($C118)&lt;&gt;16,"NIK bukan 16 digit",IF(COUNTIF($C$4:$C$2003,$C118&amp;"*")&gt;1,"NIK ganda",IF(AND($D118&lt;&gt;"",LEN($D118)&lt;&gt;16),"No. KK bukan 16 digit",IF(AND($F118="",$I118=""),"Alamat kosong",IF($N118="","Jabatan kosong",IF($O118="","No. HP kosong",IF(AND($R118&lt;&gt;"",$R118&lt;17),"Usia di bawah 17","")))))))))</f>
        <v/>
      </c>
      <c r="Z118" s="40" t="str">
        <f aca="false">IF($B118="","",IF(AND(OR(CARI!$C$5="",ISNUMBER(SEARCH(CARI!$C$5,$B118&amp;" "&amp;$C118&amp;" "&amp;$D118&amp;" "&amp;$O118&amp;" "&amp;$I118&amp;" "&amp;$F118&amp;" "&amp;$J118&amp;" "&amp;$K118&amp;" "&amp;$L118&amp;" "&amp;$V118))),OR(CARI!$C$6="",$F118=CARI!$C$6),OR(CARI!$C$7="",$G118=CARI!$C$7),OR(CARI!$C$8="",$T118=CARI!$C$8)),MAX($Z$3:Z117)+1,""))</f>
        <v/>
      </c>
      <c r="AA118" s="40" t="str">
        <f aca="false">IF($Y118="","",MAX($AA$3:AA117)+1)</f>
        <v/>
      </c>
      <c r="AB118" s="40" t="str">
        <f aca="false">IF($F118="","",$F118&amp;"#"&amp;COUNTIF($F$4:$F118,$F118))</f>
        <v/>
      </c>
      <c r="AC118" s="40" t="str">
        <f aca="false">IF($B118="","",IF(AND(OR(CETAK!$J$10="",$F118=CETAK!$J$10),OR(CETAK!$J$11="",$G118=CETAK!$J$11),OR(CETAK!$J$12="",$P118=CETAK!$J$12),OR(CETAK!$J$13="",$N118=CETAK!$J$13),OR(CETAK!$J$14="",$T118=CETAK!$J$14)),MAX($AC$3:AC117)+1,""))</f>
        <v/>
      </c>
      <c r="AD118" s="40" t="str">
        <f aca="false">IF($B118="","",IF(AND(OR(ABSENSI!$H$10="",$F118=ABSENSI!$H$10),OR(ABSENSI!$H$11="",$G118=ABSENSI!$H$11),OR(ABSENSI!$H$12="",$P118=ABSENSI!$H$12)),MAX($AD$3:AD117)+1,""))</f>
        <v/>
      </c>
      <c r="AE118" s="40" t="str">
        <f aca="false">IF($B118="","",IF(AND(OR(KARTU!$K$6="",$F118=KARTU!$K$6),OR(KARTU!$K$7="",$G118=KARTU!$K$7),OR(KARTU!$K$8="",$P118=KARTU!$K$8)),MAX($AE$3:AE117)+1,""))</f>
        <v/>
      </c>
    </row>
    <row r="119" customFormat="false" ht="15" hidden="false" customHeight="false" outlineLevel="0" collapsed="false">
      <c r="A119" s="35" t="str">
        <f aca="false">IF($B119="","",COUNTA($B$4:$B119))</f>
        <v/>
      </c>
      <c r="B119" s="36"/>
      <c r="C119" s="37"/>
      <c r="D119" s="37"/>
      <c r="E119" s="38"/>
      <c r="F119" s="36"/>
      <c r="G119" s="39"/>
      <c r="H119" s="39"/>
      <c r="I119" s="36"/>
      <c r="J119" s="36"/>
      <c r="K119" s="36"/>
      <c r="L119" s="36"/>
      <c r="M119" s="40" t="str">
        <f aca="false">IF($F119="","",$F119&amp;IF($G119="",""," - RT "&amp;$G119&amp;IF($H119="","","/"&amp;$H119)))</f>
        <v/>
      </c>
      <c r="N119" s="36"/>
      <c r="O119" s="37"/>
      <c r="P119" s="39"/>
      <c r="Q119" s="41"/>
      <c r="R119" s="35" t="str">
        <f aca="true">IF(OR($B119="",$Q119=""),"",DATEDIF($Q119,TODAY(),"Y"))</f>
        <v/>
      </c>
      <c r="S119" s="40" t="str">
        <f aca="false">IF($R119="","",INDEX(usia_label,MATCH($R119,usia_min,1)))</f>
        <v/>
      </c>
      <c r="T119" s="36"/>
      <c r="U119" s="41"/>
      <c r="V119" s="36"/>
      <c r="W119" s="36"/>
      <c r="X119" s="40" t="str">
        <f aca="false">IF($M119="","",$M119&amp;"#"&amp;COUNTIF($M$4:$M119,$M119))</f>
        <v/>
      </c>
      <c r="Y119" s="40" t="str">
        <f aca="false">IF($B119="","",IF($C119="","NIK kosong",IF(LEN($C119)&lt;&gt;16,"NIK bukan 16 digit",IF(COUNTIF($C$4:$C$2003,$C119&amp;"*")&gt;1,"NIK ganda",IF(AND($D119&lt;&gt;"",LEN($D119)&lt;&gt;16),"No. KK bukan 16 digit",IF(AND($F119="",$I119=""),"Alamat kosong",IF($N119="","Jabatan kosong",IF($O119="","No. HP kosong",IF(AND($R119&lt;&gt;"",$R119&lt;17),"Usia di bawah 17","")))))))))</f>
        <v/>
      </c>
      <c r="Z119" s="40" t="str">
        <f aca="false">IF($B119="","",IF(AND(OR(CARI!$C$5="",ISNUMBER(SEARCH(CARI!$C$5,$B119&amp;" "&amp;$C119&amp;" "&amp;$D119&amp;" "&amp;$O119&amp;" "&amp;$I119&amp;" "&amp;$F119&amp;" "&amp;$J119&amp;" "&amp;$K119&amp;" "&amp;$L119&amp;" "&amp;$V119))),OR(CARI!$C$6="",$F119=CARI!$C$6),OR(CARI!$C$7="",$G119=CARI!$C$7),OR(CARI!$C$8="",$T119=CARI!$C$8)),MAX($Z$3:Z118)+1,""))</f>
        <v/>
      </c>
      <c r="AA119" s="40" t="str">
        <f aca="false">IF($Y119="","",MAX($AA$3:AA118)+1)</f>
        <v/>
      </c>
      <c r="AB119" s="40" t="str">
        <f aca="false">IF($F119="","",$F119&amp;"#"&amp;COUNTIF($F$4:$F119,$F119))</f>
        <v/>
      </c>
      <c r="AC119" s="40" t="str">
        <f aca="false">IF($B119="","",IF(AND(OR(CETAK!$J$10="",$F119=CETAK!$J$10),OR(CETAK!$J$11="",$G119=CETAK!$J$11),OR(CETAK!$J$12="",$P119=CETAK!$J$12),OR(CETAK!$J$13="",$N119=CETAK!$J$13),OR(CETAK!$J$14="",$T119=CETAK!$J$14)),MAX($AC$3:AC118)+1,""))</f>
        <v/>
      </c>
      <c r="AD119" s="40" t="str">
        <f aca="false">IF($B119="","",IF(AND(OR(ABSENSI!$H$10="",$F119=ABSENSI!$H$10),OR(ABSENSI!$H$11="",$G119=ABSENSI!$H$11),OR(ABSENSI!$H$12="",$P119=ABSENSI!$H$12)),MAX($AD$3:AD118)+1,""))</f>
        <v/>
      </c>
      <c r="AE119" s="40" t="str">
        <f aca="false">IF($B119="","",IF(AND(OR(KARTU!$K$6="",$F119=KARTU!$K$6),OR(KARTU!$K$7="",$G119=KARTU!$K$7),OR(KARTU!$K$8="",$P119=KARTU!$K$8)),MAX($AE$3:AE118)+1,""))</f>
        <v/>
      </c>
    </row>
    <row r="120" customFormat="false" ht="15" hidden="false" customHeight="false" outlineLevel="0" collapsed="false">
      <c r="A120" s="35" t="str">
        <f aca="false">IF($B120="","",COUNTA($B$4:$B120))</f>
        <v/>
      </c>
      <c r="B120" s="36"/>
      <c r="C120" s="37"/>
      <c r="D120" s="37"/>
      <c r="E120" s="38"/>
      <c r="F120" s="36"/>
      <c r="G120" s="39"/>
      <c r="H120" s="39"/>
      <c r="I120" s="36"/>
      <c r="J120" s="36"/>
      <c r="K120" s="36"/>
      <c r="L120" s="36"/>
      <c r="M120" s="40" t="str">
        <f aca="false">IF($F120="","",$F120&amp;IF($G120="",""," - RT "&amp;$G120&amp;IF($H120="","","/"&amp;$H120)))</f>
        <v/>
      </c>
      <c r="N120" s="36"/>
      <c r="O120" s="37"/>
      <c r="P120" s="39"/>
      <c r="Q120" s="41"/>
      <c r="R120" s="35" t="str">
        <f aca="true">IF(OR($B120="",$Q120=""),"",DATEDIF($Q120,TODAY(),"Y"))</f>
        <v/>
      </c>
      <c r="S120" s="40" t="str">
        <f aca="false">IF($R120="","",INDEX(usia_label,MATCH($R120,usia_min,1)))</f>
        <v/>
      </c>
      <c r="T120" s="36"/>
      <c r="U120" s="41"/>
      <c r="V120" s="36"/>
      <c r="W120" s="36"/>
      <c r="X120" s="40" t="str">
        <f aca="false">IF($M120="","",$M120&amp;"#"&amp;COUNTIF($M$4:$M120,$M120))</f>
        <v/>
      </c>
      <c r="Y120" s="40" t="str">
        <f aca="false">IF($B120="","",IF($C120="","NIK kosong",IF(LEN($C120)&lt;&gt;16,"NIK bukan 16 digit",IF(COUNTIF($C$4:$C$2003,$C120&amp;"*")&gt;1,"NIK ganda",IF(AND($D120&lt;&gt;"",LEN($D120)&lt;&gt;16),"No. KK bukan 16 digit",IF(AND($F120="",$I120=""),"Alamat kosong",IF($N120="","Jabatan kosong",IF($O120="","No. HP kosong",IF(AND($R120&lt;&gt;"",$R120&lt;17),"Usia di bawah 17","")))))))))</f>
        <v/>
      </c>
      <c r="Z120" s="40" t="str">
        <f aca="false">IF($B120="","",IF(AND(OR(CARI!$C$5="",ISNUMBER(SEARCH(CARI!$C$5,$B120&amp;" "&amp;$C120&amp;" "&amp;$D120&amp;" "&amp;$O120&amp;" "&amp;$I120&amp;" "&amp;$F120&amp;" "&amp;$J120&amp;" "&amp;$K120&amp;" "&amp;$L120&amp;" "&amp;$V120))),OR(CARI!$C$6="",$F120=CARI!$C$6),OR(CARI!$C$7="",$G120=CARI!$C$7),OR(CARI!$C$8="",$T120=CARI!$C$8)),MAX($Z$3:Z119)+1,""))</f>
        <v/>
      </c>
      <c r="AA120" s="40" t="str">
        <f aca="false">IF($Y120="","",MAX($AA$3:AA119)+1)</f>
        <v/>
      </c>
      <c r="AB120" s="40" t="str">
        <f aca="false">IF($F120="","",$F120&amp;"#"&amp;COUNTIF($F$4:$F120,$F120))</f>
        <v/>
      </c>
      <c r="AC120" s="40" t="str">
        <f aca="false">IF($B120="","",IF(AND(OR(CETAK!$J$10="",$F120=CETAK!$J$10),OR(CETAK!$J$11="",$G120=CETAK!$J$11),OR(CETAK!$J$12="",$P120=CETAK!$J$12),OR(CETAK!$J$13="",$N120=CETAK!$J$13),OR(CETAK!$J$14="",$T120=CETAK!$J$14)),MAX($AC$3:AC119)+1,""))</f>
        <v/>
      </c>
      <c r="AD120" s="40" t="str">
        <f aca="false">IF($B120="","",IF(AND(OR(ABSENSI!$H$10="",$F120=ABSENSI!$H$10),OR(ABSENSI!$H$11="",$G120=ABSENSI!$H$11),OR(ABSENSI!$H$12="",$P120=ABSENSI!$H$12)),MAX($AD$3:AD119)+1,""))</f>
        <v/>
      </c>
      <c r="AE120" s="40" t="str">
        <f aca="false">IF($B120="","",IF(AND(OR(KARTU!$K$6="",$F120=KARTU!$K$6),OR(KARTU!$K$7="",$G120=KARTU!$K$7),OR(KARTU!$K$8="",$P120=KARTU!$K$8)),MAX($AE$3:AE119)+1,""))</f>
        <v/>
      </c>
    </row>
    <row r="121" customFormat="false" ht="15" hidden="false" customHeight="false" outlineLevel="0" collapsed="false">
      <c r="A121" s="35" t="str">
        <f aca="false">IF($B121="","",COUNTA($B$4:$B121))</f>
        <v/>
      </c>
      <c r="B121" s="36"/>
      <c r="C121" s="37"/>
      <c r="D121" s="37"/>
      <c r="E121" s="38"/>
      <c r="F121" s="36"/>
      <c r="G121" s="39"/>
      <c r="H121" s="39"/>
      <c r="I121" s="36"/>
      <c r="J121" s="36"/>
      <c r="K121" s="36"/>
      <c r="L121" s="36"/>
      <c r="M121" s="40" t="str">
        <f aca="false">IF($F121="","",$F121&amp;IF($G121="",""," - RT "&amp;$G121&amp;IF($H121="","","/"&amp;$H121)))</f>
        <v/>
      </c>
      <c r="N121" s="36"/>
      <c r="O121" s="37"/>
      <c r="P121" s="39"/>
      <c r="Q121" s="41"/>
      <c r="R121" s="35" t="str">
        <f aca="true">IF(OR($B121="",$Q121=""),"",DATEDIF($Q121,TODAY(),"Y"))</f>
        <v/>
      </c>
      <c r="S121" s="40" t="str">
        <f aca="false">IF($R121="","",INDEX(usia_label,MATCH($R121,usia_min,1)))</f>
        <v/>
      </c>
      <c r="T121" s="36"/>
      <c r="U121" s="41"/>
      <c r="V121" s="36"/>
      <c r="W121" s="36"/>
      <c r="X121" s="40" t="str">
        <f aca="false">IF($M121="","",$M121&amp;"#"&amp;COUNTIF($M$4:$M121,$M121))</f>
        <v/>
      </c>
      <c r="Y121" s="40" t="str">
        <f aca="false">IF($B121="","",IF($C121="","NIK kosong",IF(LEN($C121)&lt;&gt;16,"NIK bukan 16 digit",IF(COUNTIF($C$4:$C$2003,$C121&amp;"*")&gt;1,"NIK ganda",IF(AND($D121&lt;&gt;"",LEN($D121)&lt;&gt;16),"No. KK bukan 16 digit",IF(AND($F121="",$I121=""),"Alamat kosong",IF($N121="","Jabatan kosong",IF($O121="","No. HP kosong",IF(AND($R121&lt;&gt;"",$R121&lt;17),"Usia di bawah 17","")))))))))</f>
        <v/>
      </c>
      <c r="Z121" s="40" t="str">
        <f aca="false">IF($B121="","",IF(AND(OR(CARI!$C$5="",ISNUMBER(SEARCH(CARI!$C$5,$B121&amp;" "&amp;$C121&amp;" "&amp;$D121&amp;" "&amp;$O121&amp;" "&amp;$I121&amp;" "&amp;$F121&amp;" "&amp;$J121&amp;" "&amp;$K121&amp;" "&amp;$L121&amp;" "&amp;$V121))),OR(CARI!$C$6="",$F121=CARI!$C$6),OR(CARI!$C$7="",$G121=CARI!$C$7),OR(CARI!$C$8="",$T121=CARI!$C$8)),MAX($Z$3:Z120)+1,""))</f>
        <v/>
      </c>
      <c r="AA121" s="40" t="str">
        <f aca="false">IF($Y121="","",MAX($AA$3:AA120)+1)</f>
        <v/>
      </c>
      <c r="AB121" s="40" t="str">
        <f aca="false">IF($F121="","",$F121&amp;"#"&amp;COUNTIF($F$4:$F121,$F121))</f>
        <v/>
      </c>
      <c r="AC121" s="40" t="str">
        <f aca="false">IF($B121="","",IF(AND(OR(CETAK!$J$10="",$F121=CETAK!$J$10),OR(CETAK!$J$11="",$G121=CETAK!$J$11),OR(CETAK!$J$12="",$P121=CETAK!$J$12),OR(CETAK!$J$13="",$N121=CETAK!$J$13),OR(CETAK!$J$14="",$T121=CETAK!$J$14)),MAX($AC$3:AC120)+1,""))</f>
        <v/>
      </c>
      <c r="AD121" s="40" t="str">
        <f aca="false">IF($B121="","",IF(AND(OR(ABSENSI!$H$10="",$F121=ABSENSI!$H$10),OR(ABSENSI!$H$11="",$G121=ABSENSI!$H$11),OR(ABSENSI!$H$12="",$P121=ABSENSI!$H$12)),MAX($AD$3:AD120)+1,""))</f>
        <v/>
      </c>
      <c r="AE121" s="40" t="str">
        <f aca="false">IF($B121="","",IF(AND(OR(KARTU!$K$6="",$F121=KARTU!$K$6),OR(KARTU!$K$7="",$G121=KARTU!$K$7),OR(KARTU!$K$8="",$P121=KARTU!$K$8)),MAX($AE$3:AE120)+1,""))</f>
        <v/>
      </c>
    </row>
    <row r="122" customFormat="false" ht="15" hidden="false" customHeight="false" outlineLevel="0" collapsed="false">
      <c r="A122" s="35" t="str">
        <f aca="false">IF($B122="","",COUNTA($B$4:$B122))</f>
        <v/>
      </c>
      <c r="B122" s="36"/>
      <c r="C122" s="37"/>
      <c r="D122" s="37"/>
      <c r="E122" s="38"/>
      <c r="F122" s="36"/>
      <c r="G122" s="39"/>
      <c r="H122" s="39"/>
      <c r="I122" s="36"/>
      <c r="J122" s="36"/>
      <c r="K122" s="36"/>
      <c r="L122" s="36"/>
      <c r="M122" s="40" t="str">
        <f aca="false">IF($F122="","",$F122&amp;IF($G122="",""," - RT "&amp;$G122&amp;IF($H122="","","/"&amp;$H122)))</f>
        <v/>
      </c>
      <c r="N122" s="36"/>
      <c r="O122" s="37"/>
      <c r="P122" s="39"/>
      <c r="Q122" s="41"/>
      <c r="R122" s="35" t="str">
        <f aca="true">IF(OR($B122="",$Q122=""),"",DATEDIF($Q122,TODAY(),"Y"))</f>
        <v/>
      </c>
      <c r="S122" s="40" t="str">
        <f aca="false">IF($R122="","",INDEX(usia_label,MATCH($R122,usia_min,1)))</f>
        <v/>
      </c>
      <c r="T122" s="36"/>
      <c r="U122" s="41"/>
      <c r="V122" s="36"/>
      <c r="W122" s="36"/>
      <c r="X122" s="40" t="str">
        <f aca="false">IF($M122="","",$M122&amp;"#"&amp;COUNTIF($M$4:$M122,$M122))</f>
        <v/>
      </c>
      <c r="Y122" s="40" t="str">
        <f aca="false">IF($B122="","",IF($C122="","NIK kosong",IF(LEN($C122)&lt;&gt;16,"NIK bukan 16 digit",IF(COUNTIF($C$4:$C$2003,$C122&amp;"*")&gt;1,"NIK ganda",IF(AND($D122&lt;&gt;"",LEN($D122)&lt;&gt;16),"No. KK bukan 16 digit",IF(AND($F122="",$I122=""),"Alamat kosong",IF($N122="","Jabatan kosong",IF($O122="","No. HP kosong",IF(AND($R122&lt;&gt;"",$R122&lt;17),"Usia di bawah 17","")))))))))</f>
        <v/>
      </c>
      <c r="Z122" s="40" t="str">
        <f aca="false">IF($B122="","",IF(AND(OR(CARI!$C$5="",ISNUMBER(SEARCH(CARI!$C$5,$B122&amp;" "&amp;$C122&amp;" "&amp;$D122&amp;" "&amp;$O122&amp;" "&amp;$I122&amp;" "&amp;$F122&amp;" "&amp;$J122&amp;" "&amp;$K122&amp;" "&amp;$L122&amp;" "&amp;$V122))),OR(CARI!$C$6="",$F122=CARI!$C$6),OR(CARI!$C$7="",$G122=CARI!$C$7),OR(CARI!$C$8="",$T122=CARI!$C$8)),MAX($Z$3:Z121)+1,""))</f>
        <v/>
      </c>
      <c r="AA122" s="40" t="str">
        <f aca="false">IF($Y122="","",MAX($AA$3:AA121)+1)</f>
        <v/>
      </c>
      <c r="AB122" s="40" t="str">
        <f aca="false">IF($F122="","",$F122&amp;"#"&amp;COUNTIF($F$4:$F122,$F122))</f>
        <v/>
      </c>
      <c r="AC122" s="40" t="str">
        <f aca="false">IF($B122="","",IF(AND(OR(CETAK!$J$10="",$F122=CETAK!$J$10),OR(CETAK!$J$11="",$G122=CETAK!$J$11),OR(CETAK!$J$12="",$P122=CETAK!$J$12),OR(CETAK!$J$13="",$N122=CETAK!$J$13),OR(CETAK!$J$14="",$T122=CETAK!$J$14)),MAX($AC$3:AC121)+1,""))</f>
        <v/>
      </c>
      <c r="AD122" s="40" t="str">
        <f aca="false">IF($B122="","",IF(AND(OR(ABSENSI!$H$10="",$F122=ABSENSI!$H$10),OR(ABSENSI!$H$11="",$G122=ABSENSI!$H$11),OR(ABSENSI!$H$12="",$P122=ABSENSI!$H$12)),MAX($AD$3:AD121)+1,""))</f>
        <v/>
      </c>
      <c r="AE122" s="40" t="str">
        <f aca="false">IF($B122="","",IF(AND(OR(KARTU!$K$6="",$F122=KARTU!$K$6),OR(KARTU!$K$7="",$G122=KARTU!$K$7),OR(KARTU!$K$8="",$P122=KARTU!$K$8)),MAX($AE$3:AE121)+1,""))</f>
        <v/>
      </c>
    </row>
    <row r="123" customFormat="false" ht="15" hidden="false" customHeight="false" outlineLevel="0" collapsed="false">
      <c r="A123" s="35" t="str">
        <f aca="false">IF($B123="","",COUNTA($B$4:$B123))</f>
        <v/>
      </c>
      <c r="B123" s="36"/>
      <c r="C123" s="37"/>
      <c r="D123" s="37"/>
      <c r="E123" s="38"/>
      <c r="F123" s="36"/>
      <c r="G123" s="39"/>
      <c r="H123" s="39"/>
      <c r="I123" s="36"/>
      <c r="J123" s="36"/>
      <c r="K123" s="36"/>
      <c r="L123" s="36"/>
      <c r="M123" s="40" t="str">
        <f aca="false">IF($F123="","",$F123&amp;IF($G123="",""," - RT "&amp;$G123&amp;IF($H123="","","/"&amp;$H123)))</f>
        <v/>
      </c>
      <c r="N123" s="36"/>
      <c r="O123" s="37"/>
      <c r="P123" s="39"/>
      <c r="Q123" s="41"/>
      <c r="R123" s="35" t="str">
        <f aca="true">IF(OR($B123="",$Q123=""),"",DATEDIF($Q123,TODAY(),"Y"))</f>
        <v/>
      </c>
      <c r="S123" s="40" t="str">
        <f aca="false">IF($R123="","",INDEX(usia_label,MATCH($R123,usia_min,1)))</f>
        <v/>
      </c>
      <c r="T123" s="36"/>
      <c r="U123" s="41"/>
      <c r="V123" s="36"/>
      <c r="W123" s="36"/>
      <c r="X123" s="40" t="str">
        <f aca="false">IF($M123="","",$M123&amp;"#"&amp;COUNTIF($M$4:$M123,$M123))</f>
        <v/>
      </c>
      <c r="Y123" s="40" t="str">
        <f aca="false">IF($B123="","",IF($C123="","NIK kosong",IF(LEN($C123)&lt;&gt;16,"NIK bukan 16 digit",IF(COUNTIF($C$4:$C$2003,$C123&amp;"*")&gt;1,"NIK ganda",IF(AND($D123&lt;&gt;"",LEN($D123)&lt;&gt;16),"No. KK bukan 16 digit",IF(AND($F123="",$I123=""),"Alamat kosong",IF($N123="","Jabatan kosong",IF($O123="","No. HP kosong",IF(AND($R123&lt;&gt;"",$R123&lt;17),"Usia di bawah 17","")))))))))</f>
        <v/>
      </c>
      <c r="Z123" s="40" t="str">
        <f aca="false">IF($B123="","",IF(AND(OR(CARI!$C$5="",ISNUMBER(SEARCH(CARI!$C$5,$B123&amp;" "&amp;$C123&amp;" "&amp;$D123&amp;" "&amp;$O123&amp;" "&amp;$I123&amp;" "&amp;$F123&amp;" "&amp;$J123&amp;" "&amp;$K123&amp;" "&amp;$L123&amp;" "&amp;$V123))),OR(CARI!$C$6="",$F123=CARI!$C$6),OR(CARI!$C$7="",$G123=CARI!$C$7),OR(CARI!$C$8="",$T123=CARI!$C$8)),MAX($Z$3:Z122)+1,""))</f>
        <v/>
      </c>
      <c r="AA123" s="40" t="str">
        <f aca="false">IF($Y123="","",MAX($AA$3:AA122)+1)</f>
        <v/>
      </c>
      <c r="AB123" s="40" t="str">
        <f aca="false">IF($F123="","",$F123&amp;"#"&amp;COUNTIF($F$4:$F123,$F123))</f>
        <v/>
      </c>
      <c r="AC123" s="40" t="str">
        <f aca="false">IF($B123="","",IF(AND(OR(CETAK!$J$10="",$F123=CETAK!$J$10),OR(CETAK!$J$11="",$G123=CETAK!$J$11),OR(CETAK!$J$12="",$P123=CETAK!$J$12),OR(CETAK!$J$13="",$N123=CETAK!$J$13),OR(CETAK!$J$14="",$T123=CETAK!$J$14)),MAX($AC$3:AC122)+1,""))</f>
        <v/>
      </c>
      <c r="AD123" s="40" t="str">
        <f aca="false">IF($B123="","",IF(AND(OR(ABSENSI!$H$10="",$F123=ABSENSI!$H$10),OR(ABSENSI!$H$11="",$G123=ABSENSI!$H$11),OR(ABSENSI!$H$12="",$P123=ABSENSI!$H$12)),MAX($AD$3:AD122)+1,""))</f>
        <v/>
      </c>
      <c r="AE123" s="40" t="str">
        <f aca="false">IF($B123="","",IF(AND(OR(KARTU!$K$6="",$F123=KARTU!$K$6),OR(KARTU!$K$7="",$G123=KARTU!$K$7),OR(KARTU!$K$8="",$P123=KARTU!$K$8)),MAX($AE$3:AE122)+1,""))</f>
        <v/>
      </c>
    </row>
    <row r="124" customFormat="false" ht="15" hidden="false" customHeight="false" outlineLevel="0" collapsed="false">
      <c r="A124" s="35" t="str">
        <f aca="false">IF($B124="","",COUNTA($B$4:$B124))</f>
        <v/>
      </c>
      <c r="B124" s="36"/>
      <c r="C124" s="37"/>
      <c r="D124" s="37"/>
      <c r="E124" s="38"/>
      <c r="F124" s="36"/>
      <c r="G124" s="39"/>
      <c r="H124" s="39"/>
      <c r="I124" s="36"/>
      <c r="J124" s="36"/>
      <c r="K124" s="36"/>
      <c r="L124" s="36"/>
      <c r="M124" s="40" t="str">
        <f aca="false">IF($F124="","",$F124&amp;IF($G124="",""," - RT "&amp;$G124&amp;IF($H124="","","/"&amp;$H124)))</f>
        <v/>
      </c>
      <c r="N124" s="36"/>
      <c r="O124" s="37"/>
      <c r="P124" s="39"/>
      <c r="Q124" s="41"/>
      <c r="R124" s="35" t="str">
        <f aca="true">IF(OR($B124="",$Q124=""),"",DATEDIF($Q124,TODAY(),"Y"))</f>
        <v/>
      </c>
      <c r="S124" s="40" t="str">
        <f aca="false">IF($R124="","",INDEX(usia_label,MATCH($R124,usia_min,1)))</f>
        <v/>
      </c>
      <c r="T124" s="36"/>
      <c r="U124" s="41"/>
      <c r="V124" s="36"/>
      <c r="W124" s="36"/>
      <c r="X124" s="40" t="str">
        <f aca="false">IF($M124="","",$M124&amp;"#"&amp;COUNTIF($M$4:$M124,$M124))</f>
        <v/>
      </c>
      <c r="Y124" s="40" t="str">
        <f aca="false">IF($B124="","",IF($C124="","NIK kosong",IF(LEN($C124)&lt;&gt;16,"NIK bukan 16 digit",IF(COUNTIF($C$4:$C$2003,$C124&amp;"*")&gt;1,"NIK ganda",IF(AND($D124&lt;&gt;"",LEN($D124)&lt;&gt;16),"No. KK bukan 16 digit",IF(AND($F124="",$I124=""),"Alamat kosong",IF($N124="","Jabatan kosong",IF($O124="","No. HP kosong",IF(AND($R124&lt;&gt;"",$R124&lt;17),"Usia di bawah 17","")))))))))</f>
        <v/>
      </c>
      <c r="Z124" s="40" t="str">
        <f aca="false">IF($B124="","",IF(AND(OR(CARI!$C$5="",ISNUMBER(SEARCH(CARI!$C$5,$B124&amp;" "&amp;$C124&amp;" "&amp;$D124&amp;" "&amp;$O124&amp;" "&amp;$I124&amp;" "&amp;$F124&amp;" "&amp;$J124&amp;" "&amp;$K124&amp;" "&amp;$L124&amp;" "&amp;$V124))),OR(CARI!$C$6="",$F124=CARI!$C$6),OR(CARI!$C$7="",$G124=CARI!$C$7),OR(CARI!$C$8="",$T124=CARI!$C$8)),MAX($Z$3:Z123)+1,""))</f>
        <v/>
      </c>
      <c r="AA124" s="40" t="str">
        <f aca="false">IF($Y124="","",MAX($AA$3:AA123)+1)</f>
        <v/>
      </c>
      <c r="AB124" s="40" t="str">
        <f aca="false">IF($F124="","",$F124&amp;"#"&amp;COUNTIF($F$4:$F124,$F124))</f>
        <v/>
      </c>
      <c r="AC124" s="40" t="str">
        <f aca="false">IF($B124="","",IF(AND(OR(CETAK!$J$10="",$F124=CETAK!$J$10),OR(CETAK!$J$11="",$G124=CETAK!$J$11),OR(CETAK!$J$12="",$P124=CETAK!$J$12),OR(CETAK!$J$13="",$N124=CETAK!$J$13),OR(CETAK!$J$14="",$T124=CETAK!$J$14)),MAX($AC$3:AC123)+1,""))</f>
        <v/>
      </c>
      <c r="AD124" s="40" t="str">
        <f aca="false">IF($B124="","",IF(AND(OR(ABSENSI!$H$10="",$F124=ABSENSI!$H$10),OR(ABSENSI!$H$11="",$G124=ABSENSI!$H$11),OR(ABSENSI!$H$12="",$P124=ABSENSI!$H$12)),MAX($AD$3:AD123)+1,""))</f>
        <v/>
      </c>
      <c r="AE124" s="40" t="str">
        <f aca="false">IF($B124="","",IF(AND(OR(KARTU!$K$6="",$F124=KARTU!$K$6),OR(KARTU!$K$7="",$G124=KARTU!$K$7),OR(KARTU!$K$8="",$P124=KARTU!$K$8)),MAX($AE$3:AE123)+1,""))</f>
        <v/>
      </c>
    </row>
    <row r="125" customFormat="false" ht="15" hidden="false" customHeight="false" outlineLevel="0" collapsed="false">
      <c r="A125" s="35" t="str">
        <f aca="false">IF($B125="","",COUNTA($B$4:$B125))</f>
        <v/>
      </c>
      <c r="B125" s="36"/>
      <c r="C125" s="37"/>
      <c r="D125" s="37"/>
      <c r="E125" s="38"/>
      <c r="F125" s="36"/>
      <c r="G125" s="39"/>
      <c r="H125" s="39"/>
      <c r="I125" s="36"/>
      <c r="J125" s="36"/>
      <c r="K125" s="36"/>
      <c r="L125" s="36"/>
      <c r="M125" s="40" t="str">
        <f aca="false">IF($F125="","",$F125&amp;IF($G125="",""," - RT "&amp;$G125&amp;IF($H125="","","/"&amp;$H125)))</f>
        <v/>
      </c>
      <c r="N125" s="36"/>
      <c r="O125" s="37"/>
      <c r="P125" s="39"/>
      <c r="Q125" s="41"/>
      <c r="R125" s="35" t="str">
        <f aca="true">IF(OR($B125="",$Q125=""),"",DATEDIF($Q125,TODAY(),"Y"))</f>
        <v/>
      </c>
      <c r="S125" s="40" t="str">
        <f aca="false">IF($R125="","",INDEX(usia_label,MATCH($R125,usia_min,1)))</f>
        <v/>
      </c>
      <c r="T125" s="36"/>
      <c r="U125" s="41"/>
      <c r="V125" s="36"/>
      <c r="W125" s="36"/>
      <c r="X125" s="40" t="str">
        <f aca="false">IF($M125="","",$M125&amp;"#"&amp;COUNTIF($M$4:$M125,$M125))</f>
        <v/>
      </c>
      <c r="Y125" s="40" t="str">
        <f aca="false">IF($B125="","",IF($C125="","NIK kosong",IF(LEN($C125)&lt;&gt;16,"NIK bukan 16 digit",IF(COUNTIF($C$4:$C$2003,$C125&amp;"*")&gt;1,"NIK ganda",IF(AND($D125&lt;&gt;"",LEN($D125)&lt;&gt;16),"No. KK bukan 16 digit",IF(AND($F125="",$I125=""),"Alamat kosong",IF($N125="","Jabatan kosong",IF($O125="","No. HP kosong",IF(AND($R125&lt;&gt;"",$R125&lt;17),"Usia di bawah 17","")))))))))</f>
        <v/>
      </c>
      <c r="Z125" s="40" t="str">
        <f aca="false">IF($B125="","",IF(AND(OR(CARI!$C$5="",ISNUMBER(SEARCH(CARI!$C$5,$B125&amp;" "&amp;$C125&amp;" "&amp;$D125&amp;" "&amp;$O125&amp;" "&amp;$I125&amp;" "&amp;$F125&amp;" "&amp;$J125&amp;" "&amp;$K125&amp;" "&amp;$L125&amp;" "&amp;$V125))),OR(CARI!$C$6="",$F125=CARI!$C$6),OR(CARI!$C$7="",$G125=CARI!$C$7),OR(CARI!$C$8="",$T125=CARI!$C$8)),MAX($Z$3:Z124)+1,""))</f>
        <v/>
      </c>
      <c r="AA125" s="40" t="str">
        <f aca="false">IF($Y125="","",MAX($AA$3:AA124)+1)</f>
        <v/>
      </c>
      <c r="AB125" s="40" t="str">
        <f aca="false">IF($F125="","",$F125&amp;"#"&amp;COUNTIF($F$4:$F125,$F125))</f>
        <v/>
      </c>
      <c r="AC125" s="40" t="str">
        <f aca="false">IF($B125="","",IF(AND(OR(CETAK!$J$10="",$F125=CETAK!$J$10),OR(CETAK!$J$11="",$G125=CETAK!$J$11),OR(CETAK!$J$12="",$P125=CETAK!$J$12),OR(CETAK!$J$13="",$N125=CETAK!$J$13),OR(CETAK!$J$14="",$T125=CETAK!$J$14)),MAX($AC$3:AC124)+1,""))</f>
        <v/>
      </c>
      <c r="AD125" s="40" t="str">
        <f aca="false">IF($B125="","",IF(AND(OR(ABSENSI!$H$10="",$F125=ABSENSI!$H$10),OR(ABSENSI!$H$11="",$G125=ABSENSI!$H$11),OR(ABSENSI!$H$12="",$P125=ABSENSI!$H$12)),MAX($AD$3:AD124)+1,""))</f>
        <v/>
      </c>
      <c r="AE125" s="40" t="str">
        <f aca="false">IF($B125="","",IF(AND(OR(KARTU!$K$6="",$F125=KARTU!$K$6),OR(KARTU!$K$7="",$G125=KARTU!$K$7),OR(KARTU!$K$8="",$P125=KARTU!$K$8)),MAX($AE$3:AE124)+1,""))</f>
        <v/>
      </c>
    </row>
    <row r="126" customFormat="false" ht="15" hidden="false" customHeight="false" outlineLevel="0" collapsed="false">
      <c r="A126" s="35" t="str">
        <f aca="false">IF($B126="","",COUNTA($B$4:$B126))</f>
        <v/>
      </c>
      <c r="B126" s="36"/>
      <c r="C126" s="37"/>
      <c r="D126" s="37"/>
      <c r="E126" s="38"/>
      <c r="F126" s="36"/>
      <c r="G126" s="39"/>
      <c r="H126" s="39"/>
      <c r="I126" s="36"/>
      <c r="J126" s="36"/>
      <c r="K126" s="36"/>
      <c r="L126" s="36"/>
      <c r="M126" s="40" t="str">
        <f aca="false">IF($F126="","",$F126&amp;IF($G126="",""," - RT "&amp;$G126&amp;IF($H126="","","/"&amp;$H126)))</f>
        <v/>
      </c>
      <c r="N126" s="36"/>
      <c r="O126" s="37"/>
      <c r="P126" s="39"/>
      <c r="Q126" s="41"/>
      <c r="R126" s="35" t="str">
        <f aca="true">IF(OR($B126="",$Q126=""),"",DATEDIF($Q126,TODAY(),"Y"))</f>
        <v/>
      </c>
      <c r="S126" s="40" t="str">
        <f aca="false">IF($R126="","",INDEX(usia_label,MATCH($R126,usia_min,1)))</f>
        <v/>
      </c>
      <c r="T126" s="36"/>
      <c r="U126" s="41"/>
      <c r="V126" s="36"/>
      <c r="W126" s="36"/>
      <c r="X126" s="40" t="str">
        <f aca="false">IF($M126="","",$M126&amp;"#"&amp;COUNTIF($M$4:$M126,$M126))</f>
        <v/>
      </c>
      <c r="Y126" s="40" t="str">
        <f aca="false">IF($B126="","",IF($C126="","NIK kosong",IF(LEN($C126)&lt;&gt;16,"NIK bukan 16 digit",IF(COUNTIF($C$4:$C$2003,$C126&amp;"*")&gt;1,"NIK ganda",IF(AND($D126&lt;&gt;"",LEN($D126)&lt;&gt;16),"No. KK bukan 16 digit",IF(AND($F126="",$I126=""),"Alamat kosong",IF($N126="","Jabatan kosong",IF($O126="","No. HP kosong",IF(AND($R126&lt;&gt;"",$R126&lt;17),"Usia di bawah 17","")))))))))</f>
        <v/>
      </c>
      <c r="Z126" s="40" t="str">
        <f aca="false">IF($B126="","",IF(AND(OR(CARI!$C$5="",ISNUMBER(SEARCH(CARI!$C$5,$B126&amp;" "&amp;$C126&amp;" "&amp;$D126&amp;" "&amp;$O126&amp;" "&amp;$I126&amp;" "&amp;$F126&amp;" "&amp;$J126&amp;" "&amp;$K126&amp;" "&amp;$L126&amp;" "&amp;$V126))),OR(CARI!$C$6="",$F126=CARI!$C$6),OR(CARI!$C$7="",$G126=CARI!$C$7),OR(CARI!$C$8="",$T126=CARI!$C$8)),MAX($Z$3:Z125)+1,""))</f>
        <v/>
      </c>
      <c r="AA126" s="40" t="str">
        <f aca="false">IF($Y126="","",MAX($AA$3:AA125)+1)</f>
        <v/>
      </c>
      <c r="AB126" s="40" t="str">
        <f aca="false">IF($F126="","",$F126&amp;"#"&amp;COUNTIF($F$4:$F126,$F126))</f>
        <v/>
      </c>
      <c r="AC126" s="40" t="str">
        <f aca="false">IF($B126="","",IF(AND(OR(CETAK!$J$10="",$F126=CETAK!$J$10),OR(CETAK!$J$11="",$G126=CETAK!$J$11),OR(CETAK!$J$12="",$P126=CETAK!$J$12),OR(CETAK!$J$13="",$N126=CETAK!$J$13),OR(CETAK!$J$14="",$T126=CETAK!$J$14)),MAX($AC$3:AC125)+1,""))</f>
        <v/>
      </c>
      <c r="AD126" s="40" t="str">
        <f aca="false">IF($B126="","",IF(AND(OR(ABSENSI!$H$10="",$F126=ABSENSI!$H$10),OR(ABSENSI!$H$11="",$G126=ABSENSI!$H$11),OR(ABSENSI!$H$12="",$P126=ABSENSI!$H$12)),MAX($AD$3:AD125)+1,""))</f>
        <v/>
      </c>
      <c r="AE126" s="40" t="str">
        <f aca="false">IF($B126="","",IF(AND(OR(KARTU!$K$6="",$F126=KARTU!$K$6),OR(KARTU!$K$7="",$G126=KARTU!$K$7),OR(KARTU!$K$8="",$P126=KARTU!$K$8)),MAX($AE$3:AE125)+1,""))</f>
        <v/>
      </c>
    </row>
    <row r="127" customFormat="false" ht="15" hidden="false" customHeight="false" outlineLevel="0" collapsed="false">
      <c r="A127" s="35" t="str">
        <f aca="false">IF($B127="","",COUNTA($B$4:$B127))</f>
        <v/>
      </c>
      <c r="B127" s="36"/>
      <c r="C127" s="37"/>
      <c r="D127" s="37"/>
      <c r="E127" s="38"/>
      <c r="F127" s="36"/>
      <c r="G127" s="39"/>
      <c r="H127" s="39"/>
      <c r="I127" s="36"/>
      <c r="J127" s="36"/>
      <c r="K127" s="36"/>
      <c r="L127" s="36"/>
      <c r="M127" s="40" t="str">
        <f aca="false">IF($F127="","",$F127&amp;IF($G127="",""," - RT "&amp;$G127&amp;IF($H127="","","/"&amp;$H127)))</f>
        <v/>
      </c>
      <c r="N127" s="36"/>
      <c r="O127" s="37"/>
      <c r="P127" s="39"/>
      <c r="Q127" s="41"/>
      <c r="R127" s="35" t="str">
        <f aca="true">IF(OR($B127="",$Q127=""),"",DATEDIF($Q127,TODAY(),"Y"))</f>
        <v/>
      </c>
      <c r="S127" s="40" t="str">
        <f aca="false">IF($R127="","",INDEX(usia_label,MATCH($R127,usia_min,1)))</f>
        <v/>
      </c>
      <c r="T127" s="36"/>
      <c r="U127" s="41"/>
      <c r="V127" s="36"/>
      <c r="W127" s="36"/>
      <c r="X127" s="40" t="str">
        <f aca="false">IF($M127="","",$M127&amp;"#"&amp;COUNTIF($M$4:$M127,$M127))</f>
        <v/>
      </c>
      <c r="Y127" s="40" t="str">
        <f aca="false">IF($B127="","",IF($C127="","NIK kosong",IF(LEN($C127)&lt;&gt;16,"NIK bukan 16 digit",IF(COUNTIF($C$4:$C$2003,$C127&amp;"*")&gt;1,"NIK ganda",IF(AND($D127&lt;&gt;"",LEN($D127)&lt;&gt;16),"No. KK bukan 16 digit",IF(AND($F127="",$I127=""),"Alamat kosong",IF($N127="","Jabatan kosong",IF($O127="","No. HP kosong",IF(AND($R127&lt;&gt;"",$R127&lt;17),"Usia di bawah 17","")))))))))</f>
        <v/>
      </c>
      <c r="Z127" s="40" t="str">
        <f aca="false">IF($B127="","",IF(AND(OR(CARI!$C$5="",ISNUMBER(SEARCH(CARI!$C$5,$B127&amp;" "&amp;$C127&amp;" "&amp;$D127&amp;" "&amp;$O127&amp;" "&amp;$I127&amp;" "&amp;$F127&amp;" "&amp;$J127&amp;" "&amp;$K127&amp;" "&amp;$L127&amp;" "&amp;$V127))),OR(CARI!$C$6="",$F127=CARI!$C$6),OR(CARI!$C$7="",$G127=CARI!$C$7),OR(CARI!$C$8="",$T127=CARI!$C$8)),MAX($Z$3:Z126)+1,""))</f>
        <v/>
      </c>
      <c r="AA127" s="40" t="str">
        <f aca="false">IF($Y127="","",MAX($AA$3:AA126)+1)</f>
        <v/>
      </c>
      <c r="AB127" s="40" t="str">
        <f aca="false">IF($F127="","",$F127&amp;"#"&amp;COUNTIF($F$4:$F127,$F127))</f>
        <v/>
      </c>
      <c r="AC127" s="40" t="str">
        <f aca="false">IF($B127="","",IF(AND(OR(CETAK!$J$10="",$F127=CETAK!$J$10),OR(CETAK!$J$11="",$G127=CETAK!$J$11),OR(CETAK!$J$12="",$P127=CETAK!$J$12),OR(CETAK!$J$13="",$N127=CETAK!$J$13),OR(CETAK!$J$14="",$T127=CETAK!$J$14)),MAX($AC$3:AC126)+1,""))</f>
        <v/>
      </c>
      <c r="AD127" s="40" t="str">
        <f aca="false">IF($B127="","",IF(AND(OR(ABSENSI!$H$10="",$F127=ABSENSI!$H$10),OR(ABSENSI!$H$11="",$G127=ABSENSI!$H$11),OR(ABSENSI!$H$12="",$P127=ABSENSI!$H$12)),MAX($AD$3:AD126)+1,""))</f>
        <v/>
      </c>
      <c r="AE127" s="40" t="str">
        <f aca="false">IF($B127="","",IF(AND(OR(KARTU!$K$6="",$F127=KARTU!$K$6),OR(KARTU!$K$7="",$G127=KARTU!$K$7),OR(KARTU!$K$8="",$P127=KARTU!$K$8)),MAX($AE$3:AE126)+1,""))</f>
        <v/>
      </c>
    </row>
    <row r="128" customFormat="false" ht="15" hidden="false" customHeight="false" outlineLevel="0" collapsed="false">
      <c r="A128" s="35" t="str">
        <f aca="false">IF($B128="","",COUNTA($B$4:$B128))</f>
        <v/>
      </c>
      <c r="B128" s="36"/>
      <c r="C128" s="37"/>
      <c r="D128" s="37"/>
      <c r="E128" s="38"/>
      <c r="F128" s="36"/>
      <c r="G128" s="39"/>
      <c r="H128" s="39"/>
      <c r="I128" s="36"/>
      <c r="J128" s="36"/>
      <c r="K128" s="36"/>
      <c r="L128" s="36"/>
      <c r="M128" s="40" t="str">
        <f aca="false">IF($F128="","",$F128&amp;IF($G128="",""," - RT "&amp;$G128&amp;IF($H128="","","/"&amp;$H128)))</f>
        <v/>
      </c>
      <c r="N128" s="36"/>
      <c r="O128" s="37"/>
      <c r="P128" s="39"/>
      <c r="Q128" s="41"/>
      <c r="R128" s="35" t="str">
        <f aca="true">IF(OR($B128="",$Q128=""),"",DATEDIF($Q128,TODAY(),"Y"))</f>
        <v/>
      </c>
      <c r="S128" s="40" t="str">
        <f aca="false">IF($R128="","",INDEX(usia_label,MATCH($R128,usia_min,1)))</f>
        <v/>
      </c>
      <c r="T128" s="36"/>
      <c r="U128" s="41"/>
      <c r="V128" s="36"/>
      <c r="W128" s="36"/>
      <c r="X128" s="40" t="str">
        <f aca="false">IF($M128="","",$M128&amp;"#"&amp;COUNTIF($M$4:$M128,$M128))</f>
        <v/>
      </c>
      <c r="Y128" s="40" t="str">
        <f aca="false">IF($B128="","",IF($C128="","NIK kosong",IF(LEN($C128)&lt;&gt;16,"NIK bukan 16 digit",IF(COUNTIF($C$4:$C$2003,$C128&amp;"*")&gt;1,"NIK ganda",IF(AND($D128&lt;&gt;"",LEN($D128)&lt;&gt;16),"No. KK bukan 16 digit",IF(AND($F128="",$I128=""),"Alamat kosong",IF($N128="","Jabatan kosong",IF($O128="","No. HP kosong",IF(AND($R128&lt;&gt;"",$R128&lt;17),"Usia di bawah 17","")))))))))</f>
        <v/>
      </c>
      <c r="Z128" s="40" t="str">
        <f aca="false">IF($B128="","",IF(AND(OR(CARI!$C$5="",ISNUMBER(SEARCH(CARI!$C$5,$B128&amp;" "&amp;$C128&amp;" "&amp;$D128&amp;" "&amp;$O128&amp;" "&amp;$I128&amp;" "&amp;$F128&amp;" "&amp;$J128&amp;" "&amp;$K128&amp;" "&amp;$L128&amp;" "&amp;$V128))),OR(CARI!$C$6="",$F128=CARI!$C$6),OR(CARI!$C$7="",$G128=CARI!$C$7),OR(CARI!$C$8="",$T128=CARI!$C$8)),MAX($Z$3:Z127)+1,""))</f>
        <v/>
      </c>
      <c r="AA128" s="40" t="str">
        <f aca="false">IF($Y128="","",MAX($AA$3:AA127)+1)</f>
        <v/>
      </c>
      <c r="AB128" s="40" t="str">
        <f aca="false">IF($F128="","",$F128&amp;"#"&amp;COUNTIF($F$4:$F128,$F128))</f>
        <v/>
      </c>
      <c r="AC128" s="40" t="str">
        <f aca="false">IF($B128="","",IF(AND(OR(CETAK!$J$10="",$F128=CETAK!$J$10),OR(CETAK!$J$11="",$G128=CETAK!$J$11),OR(CETAK!$J$12="",$P128=CETAK!$J$12),OR(CETAK!$J$13="",$N128=CETAK!$J$13),OR(CETAK!$J$14="",$T128=CETAK!$J$14)),MAX($AC$3:AC127)+1,""))</f>
        <v/>
      </c>
      <c r="AD128" s="40" t="str">
        <f aca="false">IF($B128="","",IF(AND(OR(ABSENSI!$H$10="",$F128=ABSENSI!$H$10),OR(ABSENSI!$H$11="",$G128=ABSENSI!$H$11),OR(ABSENSI!$H$12="",$P128=ABSENSI!$H$12)),MAX($AD$3:AD127)+1,""))</f>
        <v/>
      </c>
      <c r="AE128" s="40" t="str">
        <f aca="false">IF($B128="","",IF(AND(OR(KARTU!$K$6="",$F128=KARTU!$K$6),OR(KARTU!$K$7="",$G128=KARTU!$K$7),OR(KARTU!$K$8="",$P128=KARTU!$K$8)),MAX($AE$3:AE127)+1,""))</f>
        <v/>
      </c>
    </row>
    <row r="129" customFormat="false" ht="15" hidden="false" customHeight="false" outlineLevel="0" collapsed="false">
      <c r="A129" s="35" t="str">
        <f aca="false">IF($B129="","",COUNTA($B$4:$B129))</f>
        <v/>
      </c>
      <c r="B129" s="36"/>
      <c r="C129" s="37"/>
      <c r="D129" s="37"/>
      <c r="E129" s="38"/>
      <c r="F129" s="36"/>
      <c r="G129" s="39"/>
      <c r="H129" s="39"/>
      <c r="I129" s="36"/>
      <c r="J129" s="36"/>
      <c r="K129" s="36"/>
      <c r="L129" s="36"/>
      <c r="M129" s="40" t="str">
        <f aca="false">IF($F129="","",$F129&amp;IF($G129="",""," - RT "&amp;$G129&amp;IF($H129="","","/"&amp;$H129)))</f>
        <v/>
      </c>
      <c r="N129" s="36"/>
      <c r="O129" s="37"/>
      <c r="P129" s="39"/>
      <c r="Q129" s="41"/>
      <c r="R129" s="35" t="str">
        <f aca="true">IF(OR($B129="",$Q129=""),"",DATEDIF($Q129,TODAY(),"Y"))</f>
        <v/>
      </c>
      <c r="S129" s="40" t="str">
        <f aca="false">IF($R129="","",INDEX(usia_label,MATCH($R129,usia_min,1)))</f>
        <v/>
      </c>
      <c r="T129" s="36"/>
      <c r="U129" s="41"/>
      <c r="V129" s="36"/>
      <c r="W129" s="36"/>
      <c r="X129" s="40" t="str">
        <f aca="false">IF($M129="","",$M129&amp;"#"&amp;COUNTIF($M$4:$M129,$M129))</f>
        <v/>
      </c>
      <c r="Y129" s="40" t="str">
        <f aca="false">IF($B129="","",IF($C129="","NIK kosong",IF(LEN($C129)&lt;&gt;16,"NIK bukan 16 digit",IF(COUNTIF($C$4:$C$2003,$C129&amp;"*")&gt;1,"NIK ganda",IF(AND($D129&lt;&gt;"",LEN($D129)&lt;&gt;16),"No. KK bukan 16 digit",IF(AND($F129="",$I129=""),"Alamat kosong",IF($N129="","Jabatan kosong",IF($O129="","No. HP kosong",IF(AND($R129&lt;&gt;"",$R129&lt;17),"Usia di bawah 17","")))))))))</f>
        <v/>
      </c>
      <c r="Z129" s="40" t="str">
        <f aca="false">IF($B129="","",IF(AND(OR(CARI!$C$5="",ISNUMBER(SEARCH(CARI!$C$5,$B129&amp;" "&amp;$C129&amp;" "&amp;$D129&amp;" "&amp;$O129&amp;" "&amp;$I129&amp;" "&amp;$F129&amp;" "&amp;$J129&amp;" "&amp;$K129&amp;" "&amp;$L129&amp;" "&amp;$V129))),OR(CARI!$C$6="",$F129=CARI!$C$6),OR(CARI!$C$7="",$G129=CARI!$C$7),OR(CARI!$C$8="",$T129=CARI!$C$8)),MAX($Z$3:Z128)+1,""))</f>
        <v/>
      </c>
      <c r="AA129" s="40" t="str">
        <f aca="false">IF($Y129="","",MAX($AA$3:AA128)+1)</f>
        <v/>
      </c>
      <c r="AB129" s="40" t="str">
        <f aca="false">IF($F129="","",$F129&amp;"#"&amp;COUNTIF($F$4:$F129,$F129))</f>
        <v/>
      </c>
      <c r="AC129" s="40" t="str">
        <f aca="false">IF($B129="","",IF(AND(OR(CETAK!$J$10="",$F129=CETAK!$J$10),OR(CETAK!$J$11="",$G129=CETAK!$J$11),OR(CETAK!$J$12="",$P129=CETAK!$J$12),OR(CETAK!$J$13="",$N129=CETAK!$J$13),OR(CETAK!$J$14="",$T129=CETAK!$J$14)),MAX($AC$3:AC128)+1,""))</f>
        <v/>
      </c>
      <c r="AD129" s="40" t="str">
        <f aca="false">IF($B129="","",IF(AND(OR(ABSENSI!$H$10="",$F129=ABSENSI!$H$10),OR(ABSENSI!$H$11="",$G129=ABSENSI!$H$11),OR(ABSENSI!$H$12="",$P129=ABSENSI!$H$12)),MAX($AD$3:AD128)+1,""))</f>
        <v/>
      </c>
      <c r="AE129" s="40" t="str">
        <f aca="false">IF($B129="","",IF(AND(OR(KARTU!$K$6="",$F129=KARTU!$K$6),OR(KARTU!$K$7="",$G129=KARTU!$K$7),OR(KARTU!$K$8="",$P129=KARTU!$K$8)),MAX($AE$3:AE128)+1,""))</f>
        <v/>
      </c>
    </row>
    <row r="130" customFormat="false" ht="15" hidden="false" customHeight="false" outlineLevel="0" collapsed="false">
      <c r="A130" s="35" t="str">
        <f aca="false">IF($B130="","",COUNTA($B$4:$B130))</f>
        <v/>
      </c>
      <c r="B130" s="36"/>
      <c r="C130" s="37"/>
      <c r="D130" s="37"/>
      <c r="E130" s="38"/>
      <c r="F130" s="36"/>
      <c r="G130" s="39"/>
      <c r="H130" s="39"/>
      <c r="I130" s="36"/>
      <c r="J130" s="36"/>
      <c r="K130" s="36"/>
      <c r="L130" s="36"/>
      <c r="M130" s="40" t="str">
        <f aca="false">IF($F130="","",$F130&amp;IF($G130="",""," - RT "&amp;$G130&amp;IF($H130="","","/"&amp;$H130)))</f>
        <v/>
      </c>
      <c r="N130" s="36"/>
      <c r="O130" s="37"/>
      <c r="P130" s="39"/>
      <c r="Q130" s="41"/>
      <c r="R130" s="35" t="str">
        <f aca="true">IF(OR($B130="",$Q130=""),"",DATEDIF($Q130,TODAY(),"Y"))</f>
        <v/>
      </c>
      <c r="S130" s="40" t="str">
        <f aca="false">IF($R130="","",INDEX(usia_label,MATCH($R130,usia_min,1)))</f>
        <v/>
      </c>
      <c r="T130" s="36"/>
      <c r="U130" s="41"/>
      <c r="V130" s="36"/>
      <c r="W130" s="36"/>
      <c r="X130" s="40" t="str">
        <f aca="false">IF($M130="","",$M130&amp;"#"&amp;COUNTIF($M$4:$M130,$M130))</f>
        <v/>
      </c>
      <c r="Y130" s="40" t="str">
        <f aca="false">IF($B130="","",IF($C130="","NIK kosong",IF(LEN($C130)&lt;&gt;16,"NIK bukan 16 digit",IF(COUNTIF($C$4:$C$2003,$C130&amp;"*")&gt;1,"NIK ganda",IF(AND($D130&lt;&gt;"",LEN($D130)&lt;&gt;16),"No. KK bukan 16 digit",IF(AND($F130="",$I130=""),"Alamat kosong",IF($N130="","Jabatan kosong",IF($O130="","No. HP kosong",IF(AND($R130&lt;&gt;"",$R130&lt;17),"Usia di bawah 17","")))))))))</f>
        <v/>
      </c>
      <c r="Z130" s="40" t="str">
        <f aca="false">IF($B130="","",IF(AND(OR(CARI!$C$5="",ISNUMBER(SEARCH(CARI!$C$5,$B130&amp;" "&amp;$C130&amp;" "&amp;$D130&amp;" "&amp;$O130&amp;" "&amp;$I130&amp;" "&amp;$F130&amp;" "&amp;$J130&amp;" "&amp;$K130&amp;" "&amp;$L130&amp;" "&amp;$V130))),OR(CARI!$C$6="",$F130=CARI!$C$6),OR(CARI!$C$7="",$G130=CARI!$C$7),OR(CARI!$C$8="",$T130=CARI!$C$8)),MAX($Z$3:Z129)+1,""))</f>
        <v/>
      </c>
      <c r="AA130" s="40" t="str">
        <f aca="false">IF($Y130="","",MAX($AA$3:AA129)+1)</f>
        <v/>
      </c>
      <c r="AB130" s="40" t="str">
        <f aca="false">IF($F130="","",$F130&amp;"#"&amp;COUNTIF($F$4:$F130,$F130))</f>
        <v/>
      </c>
      <c r="AC130" s="40" t="str">
        <f aca="false">IF($B130="","",IF(AND(OR(CETAK!$J$10="",$F130=CETAK!$J$10),OR(CETAK!$J$11="",$G130=CETAK!$J$11),OR(CETAK!$J$12="",$P130=CETAK!$J$12),OR(CETAK!$J$13="",$N130=CETAK!$J$13),OR(CETAK!$J$14="",$T130=CETAK!$J$14)),MAX($AC$3:AC129)+1,""))</f>
        <v/>
      </c>
      <c r="AD130" s="40" t="str">
        <f aca="false">IF($B130="","",IF(AND(OR(ABSENSI!$H$10="",$F130=ABSENSI!$H$10),OR(ABSENSI!$H$11="",$G130=ABSENSI!$H$11),OR(ABSENSI!$H$12="",$P130=ABSENSI!$H$12)),MAX($AD$3:AD129)+1,""))</f>
        <v/>
      </c>
      <c r="AE130" s="40" t="str">
        <f aca="false">IF($B130="","",IF(AND(OR(KARTU!$K$6="",$F130=KARTU!$K$6),OR(KARTU!$K$7="",$G130=KARTU!$K$7),OR(KARTU!$K$8="",$P130=KARTU!$K$8)),MAX($AE$3:AE129)+1,""))</f>
        <v/>
      </c>
    </row>
    <row r="131" customFormat="false" ht="15" hidden="false" customHeight="false" outlineLevel="0" collapsed="false">
      <c r="A131" s="35" t="str">
        <f aca="false">IF($B131="","",COUNTA($B$4:$B131))</f>
        <v/>
      </c>
      <c r="B131" s="36"/>
      <c r="C131" s="37"/>
      <c r="D131" s="37"/>
      <c r="E131" s="38"/>
      <c r="F131" s="36"/>
      <c r="G131" s="39"/>
      <c r="H131" s="39"/>
      <c r="I131" s="36"/>
      <c r="J131" s="36"/>
      <c r="K131" s="36"/>
      <c r="L131" s="36"/>
      <c r="M131" s="40" t="str">
        <f aca="false">IF($F131="","",$F131&amp;IF($G131="",""," - RT "&amp;$G131&amp;IF($H131="","","/"&amp;$H131)))</f>
        <v/>
      </c>
      <c r="N131" s="36"/>
      <c r="O131" s="37"/>
      <c r="P131" s="39"/>
      <c r="Q131" s="41"/>
      <c r="R131" s="35" t="str">
        <f aca="true">IF(OR($B131="",$Q131=""),"",DATEDIF($Q131,TODAY(),"Y"))</f>
        <v/>
      </c>
      <c r="S131" s="40" t="str">
        <f aca="false">IF($R131="","",INDEX(usia_label,MATCH($R131,usia_min,1)))</f>
        <v/>
      </c>
      <c r="T131" s="36"/>
      <c r="U131" s="41"/>
      <c r="V131" s="36"/>
      <c r="W131" s="36"/>
      <c r="X131" s="40" t="str">
        <f aca="false">IF($M131="","",$M131&amp;"#"&amp;COUNTIF($M$4:$M131,$M131))</f>
        <v/>
      </c>
      <c r="Y131" s="40" t="str">
        <f aca="false">IF($B131="","",IF($C131="","NIK kosong",IF(LEN($C131)&lt;&gt;16,"NIK bukan 16 digit",IF(COUNTIF($C$4:$C$2003,$C131&amp;"*")&gt;1,"NIK ganda",IF(AND($D131&lt;&gt;"",LEN($D131)&lt;&gt;16),"No. KK bukan 16 digit",IF(AND($F131="",$I131=""),"Alamat kosong",IF($N131="","Jabatan kosong",IF($O131="","No. HP kosong",IF(AND($R131&lt;&gt;"",$R131&lt;17),"Usia di bawah 17","")))))))))</f>
        <v/>
      </c>
      <c r="Z131" s="40" t="str">
        <f aca="false">IF($B131="","",IF(AND(OR(CARI!$C$5="",ISNUMBER(SEARCH(CARI!$C$5,$B131&amp;" "&amp;$C131&amp;" "&amp;$D131&amp;" "&amp;$O131&amp;" "&amp;$I131&amp;" "&amp;$F131&amp;" "&amp;$J131&amp;" "&amp;$K131&amp;" "&amp;$L131&amp;" "&amp;$V131))),OR(CARI!$C$6="",$F131=CARI!$C$6),OR(CARI!$C$7="",$G131=CARI!$C$7),OR(CARI!$C$8="",$T131=CARI!$C$8)),MAX($Z$3:Z130)+1,""))</f>
        <v/>
      </c>
      <c r="AA131" s="40" t="str">
        <f aca="false">IF($Y131="","",MAX($AA$3:AA130)+1)</f>
        <v/>
      </c>
      <c r="AB131" s="40" t="str">
        <f aca="false">IF($F131="","",$F131&amp;"#"&amp;COUNTIF($F$4:$F131,$F131))</f>
        <v/>
      </c>
      <c r="AC131" s="40" t="str">
        <f aca="false">IF($B131="","",IF(AND(OR(CETAK!$J$10="",$F131=CETAK!$J$10),OR(CETAK!$J$11="",$G131=CETAK!$J$11),OR(CETAK!$J$12="",$P131=CETAK!$J$12),OR(CETAK!$J$13="",$N131=CETAK!$J$13),OR(CETAK!$J$14="",$T131=CETAK!$J$14)),MAX($AC$3:AC130)+1,""))</f>
        <v/>
      </c>
      <c r="AD131" s="40" t="str">
        <f aca="false">IF($B131="","",IF(AND(OR(ABSENSI!$H$10="",$F131=ABSENSI!$H$10),OR(ABSENSI!$H$11="",$G131=ABSENSI!$H$11),OR(ABSENSI!$H$12="",$P131=ABSENSI!$H$12)),MAX($AD$3:AD130)+1,""))</f>
        <v/>
      </c>
      <c r="AE131" s="40" t="str">
        <f aca="false">IF($B131="","",IF(AND(OR(KARTU!$K$6="",$F131=KARTU!$K$6),OR(KARTU!$K$7="",$G131=KARTU!$K$7),OR(KARTU!$K$8="",$P131=KARTU!$K$8)),MAX($AE$3:AE130)+1,""))</f>
        <v/>
      </c>
    </row>
    <row r="132" customFormat="false" ht="15" hidden="false" customHeight="false" outlineLevel="0" collapsed="false">
      <c r="A132" s="35" t="str">
        <f aca="false">IF($B132="","",COUNTA($B$4:$B132))</f>
        <v/>
      </c>
      <c r="B132" s="36"/>
      <c r="C132" s="37"/>
      <c r="D132" s="37"/>
      <c r="E132" s="38"/>
      <c r="F132" s="36"/>
      <c r="G132" s="39"/>
      <c r="H132" s="39"/>
      <c r="I132" s="36"/>
      <c r="J132" s="36"/>
      <c r="K132" s="36"/>
      <c r="L132" s="36"/>
      <c r="M132" s="40" t="str">
        <f aca="false">IF($F132="","",$F132&amp;IF($G132="",""," - RT "&amp;$G132&amp;IF($H132="","","/"&amp;$H132)))</f>
        <v/>
      </c>
      <c r="N132" s="36"/>
      <c r="O132" s="37"/>
      <c r="P132" s="39"/>
      <c r="Q132" s="41"/>
      <c r="R132" s="35" t="str">
        <f aca="true">IF(OR($B132="",$Q132=""),"",DATEDIF($Q132,TODAY(),"Y"))</f>
        <v/>
      </c>
      <c r="S132" s="40" t="str">
        <f aca="false">IF($R132="","",INDEX(usia_label,MATCH($R132,usia_min,1)))</f>
        <v/>
      </c>
      <c r="T132" s="36"/>
      <c r="U132" s="41"/>
      <c r="V132" s="36"/>
      <c r="W132" s="36"/>
      <c r="X132" s="40" t="str">
        <f aca="false">IF($M132="","",$M132&amp;"#"&amp;COUNTIF($M$4:$M132,$M132))</f>
        <v/>
      </c>
      <c r="Y132" s="40" t="str">
        <f aca="false">IF($B132="","",IF($C132="","NIK kosong",IF(LEN($C132)&lt;&gt;16,"NIK bukan 16 digit",IF(COUNTIF($C$4:$C$2003,$C132&amp;"*")&gt;1,"NIK ganda",IF(AND($D132&lt;&gt;"",LEN($D132)&lt;&gt;16),"No. KK bukan 16 digit",IF(AND($F132="",$I132=""),"Alamat kosong",IF($N132="","Jabatan kosong",IF($O132="","No. HP kosong",IF(AND($R132&lt;&gt;"",$R132&lt;17),"Usia di bawah 17","")))))))))</f>
        <v/>
      </c>
      <c r="Z132" s="40" t="str">
        <f aca="false">IF($B132="","",IF(AND(OR(CARI!$C$5="",ISNUMBER(SEARCH(CARI!$C$5,$B132&amp;" "&amp;$C132&amp;" "&amp;$D132&amp;" "&amp;$O132&amp;" "&amp;$I132&amp;" "&amp;$F132&amp;" "&amp;$J132&amp;" "&amp;$K132&amp;" "&amp;$L132&amp;" "&amp;$V132))),OR(CARI!$C$6="",$F132=CARI!$C$6),OR(CARI!$C$7="",$G132=CARI!$C$7),OR(CARI!$C$8="",$T132=CARI!$C$8)),MAX($Z$3:Z131)+1,""))</f>
        <v/>
      </c>
      <c r="AA132" s="40" t="str">
        <f aca="false">IF($Y132="","",MAX($AA$3:AA131)+1)</f>
        <v/>
      </c>
      <c r="AB132" s="40" t="str">
        <f aca="false">IF($F132="","",$F132&amp;"#"&amp;COUNTIF($F$4:$F132,$F132))</f>
        <v/>
      </c>
      <c r="AC132" s="40" t="str">
        <f aca="false">IF($B132="","",IF(AND(OR(CETAK!$J$10="",$F132=CETAK!$J$10),OR(CETAK!$J$11="",$G132=CETAK!$J$11),OR(CETAK!$J$12="",$P132=CETAK!$J$12),OR(CETAK!$J$13="",$N132=CETAK!$J$13),OR(CETAK!$J$14="",$T132=CETAK!$J$14)),MAX($AC$3:AC131)+1,""))</f>
        <v/>
      </c>
      <c r="AD132" s="40" t="str">
        <f aca="false">IF($B132="","",IF(AND(OR(ABSENSI!$H$10="",$F132=ABSENSI!$H$10),OR(ABSENSI!$H$11="",$G132=ABSENSI!$H$11),OR(ABSENSI!$H$12="",$P132=ABSENSI!$H$12)),MAX($AD$3:AD131)+1,""))</f>
        <v/>
      </c>
      <c r="AE132" s="40" t="str">
        <f aca="false">IF($B132="","",IF(AND(OR(KARTU!$K$6="",$F132=KARTU!$K$6),OR(KARTU!$K$7="",$G132=KARTU!$K$7),OR(KARTU!$K$8="",$P132=KARTU!$K$8)),MAX($AE$3:AE131)+1,""))</f>
        <v/>
      </c>
    </row>
    <row r="133" customFormat="false" ht="15" hidden="false" customHeight="false" outlineLevel="0" collapsed="false">
      <c r="A133" s="35" t="str">
        <f aca="false">IF($B133="","",COUNTA($B$4:$B133))</f>
        <v/>
      </c>
      <c r="B133" s="36"/>
      <c r="C133" s="37"/>
      <c r="D133" s="37"/>
      <c r="E133" s="38"/>
      <c r="F133" s="36"/>
      <c r="G133" s="39"/>
      <c r="H133" s="39"/>
      <c r="I133" s="36"/>
      <c r="J133" s="36"/>
      <c r="K133" s="36"/>
      <c r="L133" s="36"/>
      <c r="M133" s="40" t="str">
        <f aca="false">IF($F133="","",$F133&amp;IF($G133="",""," - RT "&amp;$G133&amp;IF($H133="","","/"&amp;$H133)))</f>
        <v/>
      </c>
      <c r="N133" s="36"/>
      <c r="O133" s="37"/>
      <c r="P133" s="39"/>
      <c r="Q133" s="41"/>
      <c r="R133" s="35" t="str">
        <f aca="true">IF(OR($B133="",$Q133=""),"",DATEDIF($Q133,TODAY(),"Y"))</f>
        <v/>
      </c>
      <c r="S133" s="40" t="str">
        <f aca="false">IF($R133="","",INDEX(usia_label,MATCH($R133,usia_min,1)))</f>
        <v/>
      </c>
      <c r="T133" s="36"/>
      <c r="U133" s="41"/>
      <c r="V133" s="36"/>
      <c r="W133" s="36"/>
      <c r="X133" s="40" t="str">
        <f aca="false">IF($M133="","",$M133&amp;"#"&amp;COUNTIF($M$4:$M133,$M133))</f>
        <v/>
      </c>
      <c r="Y133" s="40" t="str">
        <f aca="false">IF($B133="","",IF($C133="","NIK kosong",IF(LEN($C133)&lt;&gt;16,"NIK bukan 16 digit",IF(COUNTIF($C$4:$C$2003,$C133&amp;"*")&gt;1,"NIK ganda",IF(AND($D133&lt;&gt;"",LEN($D133)&lt;&gt;16),"No. KK bukan 16 digit",IF(AND($F133="",$I133=""),"Alamat kosong",IF($N133="","Jabatan kosong",IF($O133="","No. HP kosong",IF(AND($R133&lt;&gt;"",$R133&lt;17),"Usia di bawah 17","")))))))))</f>
        <v/>
      </c>
      <c r="Z133" s="40" t="str">
        <f aca="false">IF($B133="","",IF(AND(OR(CARI!$C$5="",ISNUMBER(SEARCH(CARI!$C$5,$B133&amp;" "&amp;$C133&amp;" "&amp;$D133&amp;" "&amp;$O133&amp;" "&amp;$I133&amp;" "&amp;$F133&amp;" "&amp;$J133&amp;" "&amp;$K133&amp;" "&amp;$L133&amp;" "&amp;$V133))),OR(CARI!$C$6="",$F133=CARI!$C$6),OR(CARI!$C$7="",$G133=CARI!$C$7),OR(CARI!$C$8="",$T133=CARI!$C$8)),MAX($Z$3:Z132)+1,""))</f>
        <v/>
      </c>
      <c r="AA133" s="40" t="str">
        <f aca="false">IF($Y133="","",MAX($AA$3:AA132)+1)</f>
        <v/>
      </c>
      <c r="AB133" s="40" t="str">
        <f aca="false">IF($F133="","",$F133&amp;"#"&amp;COUNTIF($F$4:$F133,$F133))</f>
        <v/>
      </c>
      <c r="AC133" s="40" t="str">
        <f aca="false">IF($B133="","",IF(AND(OR(CETAK!$J$10="",$F133=CETAK!$J$10),OR(CETAK!$J$11="",$G133=CETAK!$J$11),OR(CETAK!$J$12="",$P133=CETAK!$J$12),OR(CETAK!$J$13="",$N133=CETAK!$J$13),OR(CETAK!$J$14="",$T133=CETAK!$J$14)),MAX($AC$3:AC132)+1,""))</f>
        <v/>
      </c>
      <c r="AD133" s="40" t="str">
        <f aca="false">IF($B133="","",IF(AND(OR(ABSENSI!$H$10="",$F133=ABSENSI!$H$10),OR(ABSENSI!$H$11="",$G133=ABSENSI!$H$11),OR(ABSENSI!$H$12="",$P133=ABSENSI!$H$12)),MAX($AD$3:AD132)+1,""))</f>
        <v/>
      </c>
      <c r="AE133" s="40" t="str">
        <f aca="false">IF($B133="","",IF(AND(OR(KARTU!$K$6="",$F133=KARTU!$K$6),OR(KARTU!$K$7="",$G133=KARTU!$K$7),OR(KARTU!$K$8="",$P133=KARTU!$K$8)),MAX($AE$3:AE132)+1,""))</f>
        <v/>
      </c>
    </row>
    <row r="134" customFormat="false" ht="15" hidden="false" customHeight="false" outlineLevel="0" collapsed="false">
      <c r="A134" s="35" t="str">
        <f aca="false">IF($B134="","",COUNTA($B$4:$B134))</f>
        <v/>
      </c>
      <c r="B134" s="36"/>
      <c r="C134" s="37"/>
      <c r="D134" s="37"/>
      <c r="E134" s="38"/>
      <c r="F134" s="36"/>
      <c r="G134" s="39"/>
      <c r="H134" s="39"/>
      <c r="I134" s="36"/>
      <c r="J134" s="36"/>
      <c r="K134" s="36"/>
      <c r="L134" s="36"/>
      <c r="M134" s="40" t="str">
        <f aca="false">IF($F134="","",$F134&amp;IF($G134="",""," - RT "&amp;$G134&amp;IF($H134="","","/"&amp;$H134)))</f>
        <v/>
      </c>
      <c r="N134" s="36"/>
      <c r="O134" s="37"/>
      <c r="P134" s="39"/>
      <c r="Q134" s="41"/>
      <c r="R134" s="35" t="str">
        <f aca="true">IF(OR($B134="",$Q134=""),"",DATEDIF($Q134,TODAY(),"Y"))</f>
        <v/>
      </c>
      <c r="S134" s="40" t="str">
        <f aca="false">IF($R134="","",INDEX(usia_label,MATCH($R134,usia_min,1)))</f>
        <v/>
      </c>
      <c r="T134" s="36"/>
      <c r="U134" s="41"/>
      <c r="V134" s="36"/>
      <c r="W134" s="36"/>
      <c r="X134" s="40" t="str">
        <f aca="false">IF($M134="","",$M134&amp;"#"&amp;COUNTIF($M$4:$M134,$M134))</f>
        <v/>
      </c>
      <c r="Y134" s="40" t="str">
        <f aca="false">IF($B134="","",IF($C134="","NIK kosong",IF(LEN($C134)&lt;&gt;16,"NIK bukan 16 digit",IF(COUNTIF($C$4:$C$2003,$C134&amp;"*")&gt;1,"NIK ganda",IF(AND($D134&lt;&gt;"",LEN($D134)&lt;&gt;16),"No. KK bukan 16 digit",IF(AND($F134="",$I134=""),"Alamat kosong",IF($N134="","Jabatan kosong",IF($O134="","No. HP kosong",IF(AND($R134&lt;&gt;"",$R134&lt;17),"Usia di bawah 17","")))))))))</f>
        <v/>
      </c>
      <c r="Z134" s="40" t="str">
        <f aca="false">IF($B134="","",IF(AND(OR(CARI!$C$5="",ISNUMBER(SEARCH(CARI!$C$5,$B134&amp;" "&amp;$C134&amp;" "&amp;$D134&amp;" "&amp;$O134&amp;" "&amp;$I134&amp;" "&amp;$F134&amp;" "&amp;$J134&amp;" "&amp;$K134&amp;" "&amp;$L134&amp;" "&amp;$V134))),OR(CARI!$C$6="",$F134=CARI!$C$6),OR(CARI!$C$7="",$G134=CARI!$C$7),OR(CARI!$C$8="",$T134=CARI!$C$8)),MAX($Z$3:Z133)+1,""))</f>
        <v/>
      </c>
      <c r="AA134" s="40" t="str">
        <f aca="false">IF($Y134="","",MAX($AA$3:AA133)+1)</f>
        <v/>
      </c>
      <c r="AB134" s="40" t="str">
        <f aca="false">IF($F134="","",$F134&amp;"#"&amp;COUNTIF($F$4:$F134,$F134))</f>
        <v/>
      </c>
      <c r="AC134" s="40" t="str">
        <f aca="false">IF($B134="","",IF(AND(OR(CETAK!$J$10="",$F134=CETAK!$J$10),OR(CETAK!$J$11="",$G134=CETAK!$J$11),OR(CETAK!$J$12="",$P134=CETAK!$J$12),OR(CETAK!$J$13="",$N134=CETAK!$J$13),OR(CETAK!$J$14="",$T134=CETAK!$J$14)),MAX($AC$3:AC133)+1,""))</f>
        <v/>
      </c>
      <c r="AD134" s="40" t="str">
        <f aca="false">IF($B134="","",IF(AND(OR(ABSENSI!$H$10="",$F134=ABSENSI!$H$10),OR(ABSENSI!$H$11="",$G134=ABSENSI!$H$11),OR(ABSENSI!$H$12="",$P134=ABSENSI!$H$12)),MAX($AD$3:AD133)+1,""))</f>
        <v/>
      </c>
      <c r="AE134" s="40" t="str">
        <f aca="false">IF($B134="","",IF(AND(OR(KARTU!$K$6="",$F134=KARTU!$K$6),OR(KARTU!$K$7="",$G134=KARTU!$K$7),OR(KARTU!$K$8="",$P134=KARTU!$K$8)),MAX($AE$3:AE133)+1,""))</f>
        <v/>
      </c>
    </row>
    <row r="135" customFormat="false" ht="15" hidden="false" customHeight="false" outlineLevel="0" collapsed="false">
      <c r="A135" s="35" t="str">
        <f aca="false">IF($B135="","",COUNTA($B$4:$B135))</f>
        <v/>
      </c>
      <c r="B135" s="36"/>
      <c r="C135" s="37"/>
      <c r="D135" s="37"/>
      <c r="E135" s="38"/>
      <c r="F135" s="36"/>
      <c r="G135" s="39"/>
      <c r="H135" s="39"/>
      <c r="I135" s="36"/>
      <c r="J135" s="36"/>
      <c r="K135" s="36"/>
      <c r="L135" s="36"/>
      <c r="M135" s="40" t="str">
        <f aca="false">IF($F135="","",$F135&amp;IF($G135="",""," - RT "&amp;$G135&amp;IF($H135="","","/"&amp;$H135)))</f>
        <v/>
      </c>
      <c r="N135" s="36"/>
      <c r="O135" s="37"/>
      <c r="P135" s="39"/>
      <c r="Q135" s="41"/>
      <c r="R135" s="35" t="str">
        <f aca="true">IF(OR($B135="",$Q135=""),"",DATEDIF($Q135,TODAY(),"Y"))</f>
        <v/>
      </c>
      <c r="S135" s="40" t="str">
        <f aca="false">IF($R135="","",INDEX(usia_label,MATCH($R135,usia_min,1)))</f>
        <v/>
      </c>
      <c r="T135" s="36"/>
      <c r="U135" s="41"/>
      <c r="V135" s="36"/>
      <c r="W135" s="36"/>
      <c r="X135" s="40" t="str">
        <f aca="false">IF($M135="","",$M135&amp;"#"&amp;COUNTIF($M$4:$M135,$M135))</f>
        <v/>
      </c>
      <c r="Y135" s="40" t="str">
        <f aca="false">IF($B135="","",IF($C135="","NIK kosong",IF(LEN($C135)&lt;&gt;16,"NIK bukan 16 digit",IF(COUNTIF($C$4:$C$2003,$C135&amp;"*")&gt;1,"NIK ganda",IF(AND($D135&lt;&gt;"",LEN($D135)&lt;&gt;16),"No. KK bukan 16 digit",IF(AND($F135="",$I135=""),"Alamat kosong",IF($N135="","Jabatan kosong",IF($O135="","No. HP kosong",IF(AND($R135&lt;&gt;"",$R135&lt;17),"Usia di bawah 17","")))))))))</f>
        <v/>
      </c>
      <c r="Z135" s="40" t="str">
        <f aca="false">IF($B135="","",IF(AND(OR(CARI!$C$5="",ISNUMBER(SEARCH(CARI!$C$5,$B135&amp;" "&amp;$C135&amp;" "&amp;$D135&amp;" "&amp;$O135&amp;" "&amp;$I135&amp;" "&amp;$F135&amp;" "&amp;$J135&amp;" "&amp;$K135&amp;" "&amp;$L135&amp;" "&amp;$V135))),OR(CARI!$C$6="",$F135=CARI!$C$6),OR(CARI!$C$7="",$G135=CARI!$C$7),OR(CARI!$C$8="",$T135=CARI!$C$8)),MAX($Z$3:Z134)+1,""))</f>
        <v/>
      </c>
      <c r="AA135" s="40" t="str">
        <f aca="false">IF($Y135="","",MAX($AA$3:AA134)+1)</f>
        <v/>
      </c>
      <c r="AB135" s="40" t="str">
        <f aca="false">IF($F135="","",$F135&amp;"#"&amp;COUNTIF($F$4:$F135,$F135))</f>
        <v/>
      </c>
      <c r="AC135" s="40" t="str">
        <f aca="false">IF($B135="","",IF(AND(OR(CETAK!$J$10="",$F135=CETAK!$J$10),OR(CETAK!$J$11="",$G135=CETAK!$J$11),OR(CETAK!$J$12="",$P135=CETAK!$J$12),OR(CETAK!$J$13="",$N135=CETAK!$J$13),OR(CETAK!$J$14="",$T135=CETAK!$J$14)),MAX($AC$3:AC134)+1,""))</f>
        <v/>
      </c>
      <c r="AD135" s="40" t="str">
        <f aca="false">IF($B135="","",IF(AND(OR(ABSENSI!$H$10="",$F135=ABSENSI!$H$10),OR(ABSENSI!$H$11="",$G135=ABSENSI!$H$11),OR(ABSENSI!$H$12="",$P135=ABSENSI!$H$12)),MAX($AD$3:AD134)+1,""))</f>
        <v/>
      </c>
      <c r="AE135" s="40" t="str">
        <f aca="false">IF($B135="","",IF(AND(OR(KARTU!$K$6="",$F135=KARTU!$K$6),OR(KARTU!$K$7="",$G135=KARTU!$K$7),OR(KARTU!$K$8="",$P135=KARTU!$K$8)),MAX($AE$3:AE134)+1,""))</f>
        <v/>
      </c>
    </row>
    <row r="136" customFormat="false" ht="15" hidden="false" customHeight="false" outlineLevel="0" collapsed="false">
      <c r="A136" s="35" t="str">
        <f aca="false">IF($B136="","",COUNTA($B$4:$B136))</f>
        <v/>
      </c>
      <c r="B136" s="36"/>
      <c r="C136" s="37"/>
      <c r="D136" s="37"/>
      <c r="E136" s="38"/>
      <c r="F136" s="36"/>
      <c r="G136" s="39"/>
      <c r="H136" s="39"/>
      <c r="I136" s="36"/>
      <c r="J136" s="36"/>
      <c r="K136" s="36"/>
      <c r="L136" s="36"/>
      <c r="M136" s="40" t="str">
        <f aca="false">IF($F136="","",$F136&amp;IF($G136="",""," - RT "&amp;$G136&amp;IF($H136="","","/"&amp;$H136)))</f>
        <v/>
      </c>
      <c r="N136" s="36"/>
      <c r="O136" s="37"/>
      <c r="P136" s="39"/>
      <c r="Q136" s="41"/>
      <c r="R136" s="35" t="str">
        <f aca="true">IF(OR($B136="",$Q136=""),"",DATEDIF($Q136,TODAY(),"Y"))</f>
        <v/>
      </c>
      <c r="S136" s="40" t="str">
        <f aca="false">IF($R136="","",INDEX(usia_label,MATCH($R136,usia_min,1)))</f>
        <v/>
      </c>
      <c r="T136" s="36"/>
      <c r="U136" s="41"/>
      <c r="V136" s="36"/>
      <c r="W136" s="36"/>
      <c r="X136" s="40" t="str">
        <f aca="false">IF($M136="","",$M136&amp;"#"&amp;COUNTIF($M$4:$M136,$M136))</f>
        <v/>
      </c>
      <c r="Y136" s="40" t="str">
        <f aca="false">IF($B136="","",IF($C136="","NIK kosong",IF(LEN($C136)&lt;&gt;16,"NIK bukan 16 digit",IF(COUNTIF($C$4:$C$2003,$C136&amp;"*")&gt;1,"NIK ganda",IF(AND($D136&lt;&gt;"",LEN($D136)&lt;&gt;16),"No. KK bukan 16 digit",IF(AND($F136="",$I136=""),"Alamat kosong",IF($N136="","Jabatan kosong",IF($O136="","No. HP kosong",IF(AND($R136&lt;&gt;"",$R136&lt;17),"Usia di bawah 17","")))))))))</f>
        <v/>
      </c>
      <c r="Z136" s="40" t="str">
        <f aca="false">IF($B136="","",IF(AND(OR(CARI!$C$5="",ISNUMBER(SEARCH(CARI!$C$5,$B136&amp;" "&amp;$C136&amp;" "&amp;$D136&amp;" "&amp;$O136&amp;" "&amp;$I136&amp;" "&amp;$F136&amp;" "&amp;$J136&amp;" "&amp;$K136&amp;" "&amp;$L136&amp;" "&amp;$V136))),OR(CARI!$C$6="",$F136=CARI!$C$6),OR(CARI!$C$7="",$G136=CARI!$C$7),OR(CARI!$C$8="",$T136=CARI!$C$8)),MAX($Z$3:Z135)+1,""))</f>
        <v/>
      </c>
      <c r="AA136" s="40" t="str">
        <f aca="false">IF($Y136="","",MAX($AA$3:AA135)+1)</f>
        <v/>
      </c>
      <c r="AB136" s="40" t="str">
        <f aca="false">IF($F136="","",$F136&amp;"#"&amp;COUNTIF($F$4:$F136,$F136))</f>
        <v/>
      </c>
      <c r="AC136" s="40" t="str">
        <f aca="false">IF($B136="","",IF(AND(OR(CETAK!$J$10="",$F136=CETAK!$J$10),OR(CETAK!$J$11="",$G136=CETAK!$J$11),OR(CETAK!$J$12="",$P136=CETAK!$J$12),OR(CETAK!$J$13="",$N136=CETAK!$J$13),OR(CETAK!$J$14="",$T136=CETAK!$J$14)),MAX($AC$3:AC135)+1,""))</f>
        <v/>
      </c>
      <c r="AD136" s="40" t="str">
        <f aca="false">IF($B136="","",IF(AND(OR(ABSENSI!$H$10="",$F136=ABSENSI!$H$10),OR(ABSENSI!$H$11="",$G136=ABSENSI!$H$11),OR(ABSENSI!$H$12="",$P136=ABSENSI!$H$12)),MAX($AD$3:AD135)+1,""))</f>
        <v/>
      </c>
      <c r="AE136" s="40" t="str">
        <f aca="false">IF($B136="","",IF(AND(OR(KARTU!$K$6="",$F136=KARTU!$K$6),OR(KARTU!$K$7="",$G136=KARTU!$K$7),OR(KARTU!$K$8="",$P136=KARTU!$K$8)),MAX($AE$3:AE135)+1,""))</f>
        <v/>
      </c>
    </row>
    <row r="137" customFormat="false" ht="15" hidden="false" customHeight="false" outlineLevel="0" collapsed="false">
      <c r="A137" s="35" t="str">
        <f aca="false">IF($B137="","",COUNTA($B$4:$B137))</f>
        <v/>
      </c>
      <c r="B137" s="36"/>
      <c r="C137" s="37"/>
      <c r="D137" s="37"/>
      <c r="E137" s="38"/>
      <c r="F137" s="36"/>
      <c r="G137" s="39"/>
      <c r="H137" s="39"/>
      <c r="I137" s="36"/>
      <c r="J137" s="36"/>
      <c r="K137" s="36"/>
      <c r="L137" s="36"/>
      <c r="M137" s="40" t="str">
        <f aca="false">IF($F137="","",$F137&amp;IF($G137="",""," - RT "&amp;$G137&amp;IF($H137="","","/"&amp;$H137)))</f>
        <v/>
      </c>
      <c r="N137" s="36"/>
      <c r="O137" s="37"/>
      <c r="P137" s="39"/>
      <c r="Q137" s="41"/>
      <c r="R137" s="35" t="str">
        <f aca="true">IF(OR($B137="",$Q137=""),"",DATEDIF($Q137,TODAY(),"Y"))</f>
        <v/>
      </c>
      <c r="S137" s="40" t="str">
        <f aca="false">IF($R137="","",INDEX(usia_label,MATCH($R137,usia_min,1)))</f>
        <v/>
      </c>
      <c r="T137" s="36"/>
      <c r="U137" s="41"/>
      <c r="V137" s="36"/>
      <c r="W137" s="36"/>
      <c r="X137" s="40" t="str">
        <f aca="false">IF($M137="","",$M137&amp;"#"&amp;COUNTIF($M$4:$M137,$M137))</f>
        <v/>
      </c>
      <c r="Y137" s="40" t="str">
        <f aca="false">IF($B137="","",IF($C137="","NIK kosong",IF(LEN($C137)&lt;&gt;16,"NIK bukan 16 digit",IF(COUNTIF($C$4:$C$2003,$C137&amp;"*")&gt;1,"NIK ganda",IF(AND($D137&lt;&gt;"",LEN($D137)&lt;&gt;16),"No. KK bukan 16 digit",IF(AND($F137="",$I137=""),"Alamat kosong",IF($N137="","Jabatan kosong",IF($O137="","No. HP kosong",IF(AND($R137&lt;&gt;"",$R137&lt;17),"Usia di bawah 17","")))))))))</f>
        <v/>
      </c>
      <c r="Z137" s="40" t="str">
        <f aca="false">IF($B137="","",IF(AND(OR(CARI!$C$5="",ISNUMBER(SEARCH(CARI!$C$5,$B137&amp;" "&amp;$C137&amp;" "&amp;$D137&amp;" "&amp;$O137&amp;" "&amp;$I137&amp;" "&amp;$F137&amp;" "&amp;$J137&amp;" "&amp;$K137&amp;" "&amp;$L137&amp;" "&amp;$V137))),OR(CARI!$C$6="",$F137=CARI!$C$6),OR(CARI!$C$7="",$G137=CARI!$C$7),OR(CARI!$C$8="",$T137=CARI!$C$8)),MAX($Z$3:Z136)+1,""))</f>
        <v/>
      </c>
      <c r="AA137" s="40" t="str">
        <f aca="false">IF($Y137="","",MAX($AA$3:AA136)+1)</f>
        <v/>
      </c>
      <c r="AB137" s="40" t="str">
        <f aca="false">IF($F137="","",$F137&amp;"#"&amp;COUNTIF($F$4:$F137,$F137))</f>
        <v/>
      </c>
      <c r="AC137" s="40" t="str">
        <f aca="false">IF($B137="","",IF(AND(OR(CETAK!$J$10="",$F137=CETAK!$J$10),OR(CETAK!$J$11="",$G137=CETAK!$J$11),OR(CETAK!$J$12="",$P137=CETAK!$J$12),OR(CETAK!$J$13="",$N137=CETAK!$J$13),OR(CETAK!$J$14="",$T137=CETAK!$J$14)),MAX($AC$3:AC136)+1,""))</f>
        <v/>
      </c>
      <c r="AD137" s="40" t="str">
        <f aca="false">IF($B137="","",IF(AND(OR(ABSENSI!$H$10="",$F137=ABSENSI!$H$10),OR(ABSENSI!$H$11="",$G137=ABSENSI!$H$11),OR(ABSENSI!$H$12="",$P137=ABSENSI!$H$12)),MAX($AD$3:AD136)+1,""))</f>
        <v/>
      </c>
      <c r="AE137" s="40" t="str">
        <f aca="false">IF($B137="","",IF(AND(OR(KARTU!$K$6="",$F137=KARTU!$K$6),OR(KARTU!$K$7="",$G137=KARTU!$K$7),OR(KARTU!$K$8="",$P137=KARTU!$K$8)),MAX($AE$3:AE136)+1,""))</f>
        <v/>
      </c>
    </row>
    <row r="138" customFormat="false" ht="15" hidden="false" customHeight="false" outlineLevel="0" collapsed="false">
      <c r="A138" s="35" t="str">
        <f aca="false">IF($B138="","",COUNTA($B$4:$B138))</f>
        <v/>
      </c>
      <c r="B138" s="36"/>
      <c r="C138" s="37"/>
      <c r="D138" s="37"/>
      <c r="E138" s="38"/>
      <c r="F138" s="36"/>
      <c r="G138" s="39"/>
      <c r="H138" s="39"/>
      <c r="I138" s="36"/>
      <c r="J138" s="36"/>
      <c r="K138" s="36"/>
      <c r="L138" s="36"/>
      <c r="M138" s="40" t="str">
        <f aca="false">IF($F138="","",$F138&amp;IF($G138="",""," - RT "&amp;$G138&amp;IF($H138="","","/"&amp;$H138)))</f>
        <v/>
      </c>
      <c r="N138" s="36"/>
      <c r="O138" s="37"/>
      <c r="P138" s="39"/>
      <c r="Q138" s="41"/>
      <c r="R138" s="35" t="str">
        <f aca="true">IF(OR($B138="",$Q138=""),"",DATEDIF($Q138,TODAY(),"Y"))</f>
        <v/>
      </c>
      <c r="S138" s="40" t="str">
        <f aca="false">IF($R138="","",INDEX(usia_label,MATCH($R138,usia_min,1)))</f>
        <v/>
      </c>
      <c r="T138" s="36"/>
      <c r="U138" s="41"/>
      <c r="V138" s="36"/>
      <c r="W138" s="36"/>
      <c r="X138" s="40" t="str">
        <f aca="false">IF($M138="","",$M138&amp;"#"&amp;COUNTIF($M$4:$M138,$M138))</f>
        <v/>
      </c>
      <c r="Y138" s="40" t="str">
        <f aca="false">IF($B138="","",IF($C138="","NIK kosong",IF(LEN($C138)&lt;&gt;16,"NIK bukan 16 digit",IF(COUNTIF($C$4:$C$2003,$C138&amp;"*")&gt;1,"NIK ganda",IF(AND($D138&lt;&gt;"",LEN($D138)&lt;&gt;16),"No. KK bukan 16 digit",IF(AND($F138="",$I138=""),"Alamat kosong",IF($N138="","Jabatan kosong",IF($O138="","No. HP kosong",IF(AND($R138&lt;&gt;"",$R138&lt;17),"Usia di bawah 17","")))))))))</f>
        <v/>
      </c>
      <c r="Z138" s="40" t="str">
        <f aca="false">IF($B138="","",IF(AND(OR(CARI!$C$5="",ISNUMBER(SEARCH(CARI!$C$5,$B138&amp;" "&amp;$C138&amp;" "&amp;$D138&amp;" "&amp;$O138&amp;" "&amp;$I138&amp;" "&amp;$F138&amp;" "&amp;$J138&amp;" "&amp;$K138&amp;" "&amp;$L138&amp;" "&amp;$V138))),OR(CARI!$C$6="",$F138=CARI!$C$6),OR(CARI!$C$7="",$G138=CARI!$C$7),OR(CARI!$C$8="",$T138=CARI!$C$8)),MAX($Z$3:Z137)+1,""))</f>
        <v/>
      </c>
      <c r="AA138" s="40" t="str">
        <f aca="false">IF($Y138="","",MAX($AA$3:AA137)+1)</f>
        <v/>
      </c>
      <c r="AB138" s="40" t="str">
        <f aca="false">IF($F138="","",$F138&amp;"#"&amp;COUNTIF($F$4:$F138,$F138))</f>
        <v/>
      </c>
      <c r="AC138" s="40" t="str">
        <f aca="false">IF($B138="","",IF(AND(OR(CETAK!$J$10="",$F138=CETAK!$J$10),OR(CETAK!$J$11="",$G138=CETAK!$J$11),OR(CETAK!$J$12="",$P138=CETAK!$J$12),OR(CETAK!$J$13="",$N138=CETAK!$J$13),OR(CETAK!$J$14="",$T138=CETAK!$J$14)),MAX($AC$3:AC137)+1,""))</f>
        <v/>
      </c>
      <c r="AD138" s="40" t="str">
        <f aca="false">IF($B138="","",IF(AND(OR(ABSENSI!$H$10="",$F138=ABSENSI!$H$10),OR(ABSENSI!$H$11="",$G138=ABSENSI!$H$11),OR(ABSENSI!$H$12="",$P138=ABSENSI!$H$12)),MAX($AD$3:AD137)+1,""))</f>
        <v/>
      </c>
      <c r="AE138" s="40" t="str">
        <f aca="false">IF($B138="","",IF(AND(OR(KARTU!$K$6="",$F138=KARTU!$K$6),OR(KARTU!$K$7="",$G138=KARTU!$K$7),OR(KARTU!$K$8="",$P138=KARTU!$K$8)),MAX($AE$3:AE137)+1,""))</f>
        <v/>
      </c>
    </row>
    <row r="139" customFormat="false" ht="15" hidden="false" customHeight="false" outlineLevel="0" collapsed="false">
      <c r="A139" s="35" t="str">
        <f aca="false">IF($B139="","",COUNTA($B$4:$B139))</f>
        <v/>
      </c>
      <c r="B139" s="36"/>
      <c r="C139" s="37"/>
      <c r="D139" s="37"/>
      <c r="E139" s="38"/>
      <c r="F139" s="36"/>
      <c r="G139" s="39"/>
      <c r="H139" s="39"/>
      <c r="I139" s="36"/>
      <c r="J139" s="36"/>
      <c r="K139" s="36"/>
      <c r="L139" s="36"/>
      <c r="M139" s="40" t="str">
        <f aca="false">IF($F139="","",$F139&amp;IF($G139="",""," - RT "&amp;$G139&amp;IF($H139="","","/"&amp;$H139)))</f>
        <v/>
      </c>
      <c r="N139" s="36"/>
      <c r="O139" s="37"/>
      <c r="P139" s="39"/>
      <c r="Q139" s="41"/>
      <c r="R139" s="35" t="str">
        <f aca="true">IF(OR($B139="",$Q139=""),"",DATEDIF($Q139,TODAY(),"Y"))</f>
        <v/>
      </c>
      <c r="S139" s="40" t="str">
        <f aca="false">IF($R139="","",INDEX(usia_label,MATCH($R139,usia_min,1)))</f>
        <v/>
      </c>
      <c r="T139" s="36"/>
      <c r="U139" s="41"/>
      <c r="V139" s="36"/>
      <c r="W139" s="36"/>
      <c r="X139" s="40" t="str">
        <f aca="false">IF($M139="","",$M139&amp;"#"&amp;COUNTIF($M$4:$M139,$M139))</f>
        <v/>
      </c>
      <c r="Y139" s="40" t="str">
        <f aca="false">IF($B139="","",IF($C139="","NIK kosong",IF(LEN($C139)&lt;&gt;16,"NIK bukan 16 digit",IF(COUNTIF($C$4:$C$2003,$C139&amp;"*")&gt;1,"NIK ganda",IF(AND($D139&lt;&gt;"",LEN($D139)&lt;&gt;16),"No. KK bukan 16 digit",IF(AND($F139="",$I139=""),"Alamat kosong",IF($N139="","Jabatan kosong",IF($O139="","No. HP kosong",IF(AND($R139&lt;&gt;"",$R139&lt;17),"Usia di bawah 17","")))))))))</f>
        <v/>
      </c>
      <c r="Z139" s="40" t="str">
        <f aca="false">IF($B139="","",IF(AND(OR(CARI!$C$5="",ISNUMBER(SEARCH(CARI!$C$5,$B139&amp;" "&amp;$C139&amp;" "&amp;$D139&amp;" "&amp;$O139&amp;" "&amp;$I139&amp;" "&amp;$F139&amp;" "&amp;$J139&amp;" "&amp;$K139&amp;" "&amp;$L139&amp;" "&amp;$V139))),OR(CARI!$C$6="",$F139=CARI!$C$6),OR(CARI!$C$7="",$G139=CARI!$C$7),OR(CARI!$C$8="",$T139=CARI!$C$8)),MAX($Z$3:Z138)+1,""))</f>
        <v/>
      </c>
      <c r="AA139" s="40" t="str">
        <f aca="false">IF($Y139="","",MAX($AA$3:AA138)+1)</f>
        <v/>
      </c>
      <c r="AB139" s="40" t="str">
        <f aca="false">IF($F139="","",$F139&amp;"#"&amp;COUNTIF($F$4:$F139,$F139))</f>
        <v/>
      </c>
      <c r="AC139" s="40" t="str">
        <f aca="false">IF($B139="","",IF(AND(OR(CETAK!$J$10="",$F139=CETAK!$J$10),OR(CETAK!$J$11="",$G139=CETAK!$J$11),OR(CETAK!$J$12="",$P139=CETAK!$J$12),OR(CETAK!$J$13="",$N139=CETAK!$J$13),OR(CETAK!$J$14="",$T139=CETAK!$J$14)),MAX($AC$3:AC138)+1,""))</f>
        <v/>
      </c>
      <c r="AD139" s="40" t="str">
        <f aca="false">IF($B139="","",IF(AND(OR(ABSENSI!$H$10="",$F139=ABSENSI!$H$10),OR(ABSENSI!$H$11="",$G139=ABSENSI!$H$11),OR(ABSENSI!$H$12="",$P139=ABSENSI!$H$12)),MAX($AD$3:AD138)+1,""))</f>
        <v/>
      </c>
      <c r="AE139" s="40" t="str">
        <f aca="false">IF($B139="","",IF(AND(OR(KARTU!$K$6="",$F139=KARTU!$K$6),OR(KARTU!$K$7="",$G139=KARTU!$K$7),OR(KARTU!$K$8="",$P139=KARTU!$K$8)),MAX($AE$3:AE138)+1,""))</f>
        <v/>
      </c>
    </row>
    <row r="140" customFormat="false" ht="15" hidden="false" customHeight="false" outlineLevel="0" collapsed="false">
      <c r="A140" s="35" t="str">
        <f aca="false">IF($B140="","",COUNTA($B$4:$B140))</f>
        <v/>
      </c>
      <c r="B140" s="36"/>
      <c r="C140" s="37"/>
      <c r="D140" s="37"/>
      <c r="E140" s="38"/>
      <c r="F140" s="36"/>
      <c r="G140" s="39"/>
      <c r="H140" s="39"/>
      <c r="I140" s="36"/>
      <c r="J140" s="36"/>
      <c r="K140" s="36"/>
      <c r="L140" s="36"/>
      <c r="M140" s="40" t="str">
        <f aca="false">IF($F140="","",$F140&amp;IF($G140="",""," - RT "&amp;$G140&amp;IF($H140="","","/"&amp;$H140)))</f>
        <v/>
      </c>
      <c r="N140" s="36"/>
      <c r="O140" s="37"/>
      <c r="P140" s="39"/>
      <c r="Q140" s="41"/>
      <c r="R140" s="35" t="str">
        <f aca="true">IF(OR($B140="",$Q140=""),"",DATEDIF($Q140,TODAY(),"Y"))</f>
        <v/>
      </c>
      <c r="S140" s="40" t="str">
        <f aca="false">IF($R140="","",INDEX(usia_label,MATCH($R140,usia_min,1)))</f>
        <v/>
      </c>
      <c r="T140" s="36"/>
      <c r="U140" s="41"/>
      <c r="V140" s="36"/>
      <c r="W140" s="36"/>
      <c r="X140" s="40" t="str">
        <f aca="false">IF($M140="","",$M140&amp;"#"&amp;COUNTIF($M$4:$M140,$M140))</f>
        <v/>
      </c>
      <c r="Y140" s="40" t="str">
        <f aca="false">IF($B140="","",IF($C140="","NIK kosong",IF(LEN($C140)&lt;&gt;16,"NIK bukan 16 digit",IF(COUNTIF($C$4:$C$2003,$C140&amp;"*")&gt;1,"NIK ganda",IF(AND($D140&lt;&gt;"",LEN($D140)&lt;&gt;16),"No. KK bukan 16 digit",IF(AND($F140="",$I140=""),"Alamat kosong",IF($N140="","Jabatan kosong",IF($O140="","No. HP kosong",IF(AND($R140&lt;&gt;"",$R140&lt;17),"Usia di bawah 17","")))))))))</f>
        <v/>
      </c>
      <c r="Z140" s="40" t="str">
        <f aca="false">IF($B140="","",IF(AND(OR(CARI!$C$5="",ISNUMBER(SEARCH(CARI!$C$5,$B140&amp;" "&amp;$C140&amp;" "&amp;$D140&amp;" "&amp;$O140&amp;" "&amp;$I140&amp;" "&amp;$F140&amp;" "&amp;$J140&amp;" "&amp;$K140&amp;" "&amp;$L140&amp;" "&amp;$V140))),OR(CARI!$C$6="",$F140=CARI!$C$6),OR(CARI!$C$7="",$G140=CARI!$C$7),OR(CARI!$C$8="",$T140=CARI!$C$8)),MAX($Z$3:Z139)+1,""))</f>
        <v/>
      </c>
      <c r="AA140" s="40" t="str">
        <f aca="false">IF($Y140="","",MAX($AA$3:AA139)+1)</f>
        <v/>
      </c>
      <c r="AB140" s="40" t="str">
        <f aca="false">IF($F140="","",$F140&amp;"#"&amp;COUNTIF($F$4:$F140,$F140))</f>
        <v/>
      </c>
      <c r="AC140" s="40" t="str">
        <f aca="false">IF($B140="","",IF(AND(OR(CETAK!$J$10="",$F140=CETAK!$J$10),OR(CETAK!$J$11="",$G140=CETAK!$J$11),OR(CETAK!$J$12="",$P140=CETAK!$J$12),OR(CETAK!$J$13="",$N140=CETAK!$J$13),OR(CETAK!$J$14="",$T140=CETAK!$J$14)),MAX($AC$3:AC139)+1,""))</f>
        <v/>
      </c>
      <c r="AD140" s="40" t="str">
        <f aca="false">IF($B140="","",IF(AND(OR(ABSENSI!$H$10="",$F140=ABSENSI!$H$10),OR(ABSENSI!$H$11="",$G140=ABSENSI!$H$11),OR(ABSENSI!$H$12="",$P140=ABSENSI!$H$12)),MAX($AD$3:AD139)+1,""))</f>
        <v/>
      </c>
      <c r="AE140" s="40" t="str">
        <f aca="false">IF($B140="","",IF(AND(OR(KARTU!$K$6="",$F140=KARTU!$K$6),OR(KARTU!$K$7="",$G140=KARTU!$K$7),OR(KARTU!$K$8="",$P140=KARTU!$K$8)),MAX($AE$3:AE139)+1,""))</f>
        <v/>
      </c>
    </row>
    <row r="141" customFormat="false" ht="15" hidden="false" customHeight="false" outlineLevel="0" collapsed="false">
      <c r="A141" s="35" t="str">
        <f aca="false">IF($B141="","",COUNTA($B$4:$B141))</f>
        <v/>
      </c>
      <c r="B141" s="36"/>
      <c r="C141" s="37"/>
      <c r="D141" s="37"/>
      <c r="E141" s="38"/>
      <c r="F141" s="36"/>
      <c r="G141" s="39"/>
      <c r="H141" s="39"/>
      <c r="I141" s="36"/>
      <c r="J141" s="36"/>
      <c r="K141" s="36"/>
      <c r="L141" s="36"/>
      <c r="M141" s="40" t="str">
        <f aca="false">IF($F141="","",$F141&amp;IF($G141="",""," - RT "&amp;$G141&amp;IF($H141="","","/"&amp;$H141)))</f>
        <v/>
      </c>
      <c r="N141" s="36"/>
      <c r="O141" s="37"/>
      <c r="P141" s="39"/>
      <c r="Q141" s="41"/>
      <c r="R141" s="35" t="str">
        <f aca="true">IF(OR($B141="",$Q141=""),"",DATEDIF($Q141,TODAY(),"Y"))</f>
        <v/>
      </c>
      <c r="S141" s="40" t="str">
        <f aca="false">IF($R141="","",INDEX(usia_label,MATCH($R141,usia_min,1)))</f>
        <v/>
      </c>
      <c r="T141" s="36"/>
      <c r="U141" s="41"/>
      <c r="V141" s="36"/>
      <c r="W141" s="36"/>
      <c r="X141" s="40" t="str">
        <f aca="false">IF($M141="","",$M141&amp;"#"&amp;COUNTIF($M$4:$M141,$M141))</f>
        <v/>
      </c>
      <c r="Y141" s="40" t="str">
        <f aca="false">IF($B141="","",IF($C141="","NIK kosong",IF(LEN($C141)&lt;&gt;16,"NIK bukan 16 digit",IF(COUNTIF($C$4:$C$2003,$C141&amp;"*")&gt;1,"NIK ganda",IF(AND($D141&lt;&gt;"",LEN($D141)&lt;&gt;16),"No. KK bukan 16 digit",IF(AND($F141="",$I141=""),"Alamat kosong",IF($N141="","Jabatan kosong",IF($O141="","No. HP kosong",IF(AND($R141&lt;&gt;"",$R141&lt;17),"Usia di bawah 17","")))))))))</f>
        <v/>
      </c>
      <c r="Z141" s="40" t="str">
        <f aca="false">IF($B141="","",IF(AND(OR(CARI!$C$5="",ISNUMBER(SEARCH(CARI!$C$5,$B141&amp;" "&amp;$C141&amp;" "&amp;$D141&amp;" "&amp;$O141&amp;" "&amp;$I141&amp;" "&amp;$F141&amp;" "&amp;$J141&amp;" "&amp;$K141&amp;" "&amp;$L141&amp;" "&amp;$V141))),OR(CARI!$C$6="",$F141=CARI!$C$6),OR(CARI!$C$7="",$G141=CARI!$C$7),OR(CARI!$C$8="",$T141=CARI!$C$8)),MAX($Z$3:Z140)+1,""))</f>
        <v/>
      </c>
      <c r="AA141" s="40" t="str">
        <f aca="false">IF($Y141="","",MAX($AA$3:AA140)+1)</f>
        <v/>
      </c>
      <c r="AB141" s="40" t="str">
        <f aca="false">IF($F141="","",$F141&amp;"#"&amp;COUNTIF($F$4:$F141,$F141))</f>
        <v/>
      </c>
      <c r="AC141" s="40" t="str">
        <f aca="false">IF($B141="","",IF(AND(OR(CETAK!$J$10="",$F141=CETAK!$J$10),OR(CETAK!$J$11="",$G141=CETAK!$J$11),OR(CETAK!$J$12="",$P141=CETAK!$J$12),OR(CETAK!$J$13="",$N141=CETAK!$J$13),OR(CETAK!$J$14="",$T141=CETAK!$J$14)),MAX($AC$3:AC140)+1,""))</f>
        <v/>
      </c>
      <c r="AD141" s="40" t="str">
        <f aca="false">IF($B141="","",IF(AND(OR(ABSENSI!$H$10="",$F141=ABSENSI!$H$10),OR(ABSENSI!$H$11="",$G141=ABSENSI!$H$11),OR(ABSENSI!$H$12="",$P141=ABSENSI!$H$12)),MAX($AD$3:AD140)+1,""))</f>
        <v/>
      </c>
      <c r="AE141" s="40" t="str">
        <f aca="false">IF($B141="","",IF(AND(OR(KARTU!$K$6="",$F141=KARTU!$K$6),OR(KARTU!$K$7="",$G141=KARTU!$K$7),OR(KARTU!$K$8="",$P141=KARTU!$K$8)),MAX($AE$3:AE140)+1,""))</f>
        <v/>
      </c>
    </row>
    <row r="142" customFormat="false" ht="15" hidden="false" customHeight="false" outlineLevel="0" collapsed="false">
      <c r="A142" s="35" t="str">
        <f aca="false">IF($B142="","",COUNTA($B$4:$B142))</f>
        <v/>
      </c>
      <c r="B142" s="36"/>
      <c r="C142" s="37"/>
      <c r="D142" s="37"/>
      <c r="E142" s="38"/>
      <c r="F142" s="36"/>
      <c r="G142" s="39"/>
      <c r="H142" s="39"/>
      <c r="I142" s="36"/>
      <c r="J142" s="36"/>
      <c r="K142" s="36"/>
      <c r="L142" s="36"/>
      <c r="M142" s="40" t="str">
        <f aca="false">IF($F142="","",$F142&amp;IF($G142="",""," - RT "&amp;$G142&amp;IF($H142="","","/"&amp;$H142)))</f>
        <v/>
      </c>
      <c r="N142" s="36"/>
      <c r="O142" s="37"/>
      <c r="P142" s="39"/>
      <c r="Q142" s="41"/>
      <c r="R142" s="35" t="str">
        <f aca="true">IF(OR($B142="",$Q142=""),"",DATEDIF($Q142,TODAY(),"Y"))</f>
        <v/>
      </c>
      <c r="S142" s="40" t="str">
        <f aca="false">IF($R142="","",INDEX(usia_label,MATCH($R142,usia_min,1)))</f>
        <v/>
      </c>
      <c r="T142" s="36"/>
      <c r="U142" s="41"/>
      <c r="V142" s="36"/>
      <c r="W142" s="36"/>
      <c r="X142" s="40" t="str">
        <f aca="false">IF($M142="","",$M142&amp;"#"&amp;COUNTIF($M$4:$M142,$M142))</f>
        <v/>
      </c>
      <c r="Y142" s="40" t="str">
        <f aca="false">IF($B142="","",IF($C142="","NIK kosong",IF(LEN($C142)&lt;&gt;16,"NIK bukan 16 digit",IF(COUNTIF($C$4:$C$2003,$C142&amp;"*")&gt;1,"NIK ganda",IF(AND($D142&lt;&gt;"",LEN($D142)&lt;&gt;16),"No. KK bukan 16 digit",IF(AND($F142="",$I142=""),"Alamat kosong",IF($N142="","Jabatan kosong",IF($O142="","No. HP kosong",IF(AND($R142&lt;&gt;"",$R142&lt;17),"Usia di bawah 17","")))))))))</f>
        <v/>
      </c>
      <c r="Z142" s="40" t="str">
        <f aca="false">IF($B142="","",IF(AND(OR(CARI!$C$5="",ISNUMBER(SEARCH(CARI!$C$5,$B142&amp;" "&amp;$C142&amp;" "&amp;$D142&amp;" "&amp;$O142&amp;" "&amp;$I142&amp;" "&amp;$F142&amp;" "&amp;$J142&amp;" "&amp;$K142&amp;" "&amp;$L142&amp;" "&amp;$V142))),OR(CARI!$C$6="",$F142=CARI!$C$6),OR(CARI!$C$7="",$G142=CARI!$C$7),OR(CARI!$C$8="",$T142=CARI!$C$8)),MAX($Z$3:Z141)+1,""))</f>
        <v/>
      </c>
      <c r="AA142" s="40" t="str">
        <f aca="false">IF($Y142="","",MAX($AA$3:AA141)+1)</f>
        <v/>
      </c>
      <c r="AB142" s="40" t="str">
        <f aca="false">IF($F142="","",$F142&amp;"#"&amp;COUNTIF($F$4:$F142,$F142))</f>
        <v/>
      </c>
      <c r="AC142" s="40" t="str">
        <f aca="false">IF($B142="","",IF(AND(OR(CETAK!$J$10="",$F142=CETAK!$J$10),OR(CETAK!$J$11="",$G142=CETAK!$J$11),OR(CETAK!$J$12="",$P142=CETAK!$J$12),OR(CETAK!$J$13="",$N142=CETAK!$J$13),OR(CETAK!$J$14="",$T142=CETAK!$J$14)),MAX($AC$3:AC141)+1,""))</f>
        <v/>
      </c>
      <c r="AD142" s="40" t="str">
        <f aca="false">IF($B142="","",IF(AND(OR(ABSENSI!$H$10="",$F142=ABSENSI!$H$10),OR(ABSENSI!$H$11="",$G142=ABSENSI!$H$11),OR(ABSENSI!$H$12="",$P142=ABSENSI!$H$12)),MAX($AD$3:AD141)+1,""))</f>
        <v/>
      </c>
      <c r="AE142" s="40" t="str">
        <f aca="false">IF($B142="","",IF(AND(OR(KARTU!$K$6="",$F142=KARTU!$K$6),OR(KARTU!$K$7="",$G142=KARTU!$K$7),OR(KARTU!$K$8="",$P142=KARTU!$K$8)),MAX($AE$3:AE141)+1,""))</f>
        <v/>
      </c>
    </row>
    <row r="143" customFormat="false" ht="15" hidden="false" customHeight="false" outlineLevel="0" collapsed="false">
      <c r="A143" s="35" t="str">
        <f aca="false">IF($B143="","",COUNTA($B$4:$B143))</f>
        <v/>
      </c>
      <c r="B143" s="36"/>
      <c r="C143" s="37"/>
      <c r="D143" s="37"/>
      <c r="E143" s="38"/>
      <c r="F143" s="36"/>
      <c r="G143" s="39"/>
      <c r="H143" s="39"/>
      <c r="I143" s="36"/>
      <c r="J143" s="36"/>
      <c r="K143" s="36"/>
      <c r="L143" s="36"/>
      <c r="M143" s="40" t="str">
        <f aca="false">IF($F143="","",$F143&amp;IF($G143="",""," - RT "&amp;$G143&amp;IF($H143="","","/"&amp;$H143)))</f>
        <v/>
      </c>
      <c r="N143" s="36"/>
      <c r="O143" s="37"/>
      <c r="P143" s="39"/>
      <c r="Q143" s="41"/>
      <c r="R143" s="35" t="str">
        <f aca="true">IF(OR($B143="",$Q143=""),"",DATEDIF($Q143,TODAY(),"Y"))</f>
        <v/>
      </c>
      <c r="S143" s="40" t="str">
        <f aca="false">IF($R143="","",INDEX(usia_label,MATCH($R143,usia_min,1)))</f>
        <v/>
      </c>
      <c r="T143" s="36"/>
      <c r="U143" s="41"/>
      <c r="V143" s="36"/>
      <c r="W143" s="36"/>
      <c r="X143" s="40" t="str">
        <f aca="false">IF($M143="","",$M143&amp;"#"&amp;COUNTIF($M$4:$M143,$M143))</f>
        <v/>
      </c>
      <c r="Y143" s="40" t="str">
        <f aca="false">IF($B143="","",IF($C143="","NIK kosong",IF(LEN($C143)&lt;&gt;16,"NIK bukan 16 digit",IF(COUNTIF($C$4:$C$2003,$C143&amp;"*")&gt;1,"NIK ganda",IF(AND($D143&lt;&gt;"",LEN($D143)&lt;&gt;16),"No. KK bukan 16 digit",IF(AND($F143="",$I143=""),"Alamat kosong",IF($N143="","Jabatan kosong",IF($O143="","No. HP kosong",IF(AND($R143&lt;&gt;"",$R143&lt;17),"Usia di bawah 17","")))))))))</f>
        <v/>
      </c>
      <c r="Z143" s="40" t="str">
        <f aca="false">IF($B143="","",IF(AND(OR(CARI!$C$5="",ISNUMBER(SEARCH(CARI!$C$5,$B143&amp;" "&amp;$C143&amp;" "&amp;$D143&amp;" "&amp;$O143&amp;" "&amp;$I143&amp;" "&amp;$F143&amp;" "&amp;$J143&amp;" "&amp;$K143&amp;" "&amp;$L143&amp;" "&amp;$V143))),OR(CARI!$C$6="",$F143=CARI!$C$6),OR(CARI!$C$7="",$G143=CARI!$C$7),OR(CARI!$C$8="",$T143=CARI!$C$8)),MAX($Z$3:Z142)+1,""))</f>
        <v/>
      </c>
      <c r="AA143" s="40" t="str">
        <f aca="false">IF($Y143="","",MAX($AA$3:AA142)+1)</f>
        <v/>
      </c>
      <c r="AB143" s="40" t="str">
        <f aca="false">IF($F143="","",$F143&amp;"#"&amp;COUNTIF($F$4:$F143,$F143))</f>
        <v/>
      </c>
      <c r="AC143" s="40" t="str">
        <f aca="false">IF($B143="","",IF(AND(OR(CETAK!$J$10="",$F143=CETAK!$J$10),OR(CETAK!$J$11="",$G143=CETAK!$J$11),OR(CETAK!$J$12="",$P143=CETAK!$J$12),OR(CETAK!$J$13="",$N143=CETAK!$J$13),OR(CETAK!$J$14="",$T143=CETAK!$J$14)),MAX($AC$3:AC142)+1,""))</f>
        <v/>
      </c>
      <c r="AD143" s="40" t="str">
        <f aca="false">IF($B143="","",IF(AND(OR(ABSENSI!$H$10="",$F143=ABSENSI!$H$10),OR(ABSENSI!$H$11="",$G143=ABSENSI!$H$11),OR(ABSENSI!$H$12="",$P143=ABSENSI!$H$12)),MAX($AD$3:AD142)+1,""))</f>
        <v/>
      </c>
      <c r="AE143" s="40" t="str">
        <f aca="false">IF($B143="","",IF(AND(OR(KARTU!$K$6="",$F143=KARTU!$K$6),OR(KARTU!$K$7="",$G143=KARTU!$K$7),OR(KARTU!$K$8="",$P143=KARTU!$K$8)),MAX($AE$3:AE142)+1,""))</f>
        <v/>
      </c>
    </row>
    <row r="144" customFormat="false" ht="15" hidden="false" customHeight="false" outlineLevel="0" collapsed="false">
      <c r="A144" s="35" t="str">
        <f aca="false">IF($B144="","",COUNTA($B$4:$B144))</f>
        <v/>
      </c>
      <c r="B144" s="36"/>
      <c r="C144" s="37"/>
      <c r="D144" s="37"/>
      <c r="E144" s="38"/>
      <c r="F144" s="36"/>
      <c r="G144" s="39"/>
      <c r="H144" s="39"/>
      <c r="I144" s="36"/>
      <c r="J144" s="36"/>
      <c r="K144" s="36"/>
      <c r="L144" s="36"/>
      <c r="M144" s="40" t="str">
        <f aca="false">IF($F144="","",$F144&amp;IF($G144="",""," - RT "&amp;$G144&amp;IF($H144="","","/"&amp;$H144)))</f>
        <v/>
      </c>
      <c r="N144" s="36"/>
      <c r="O144" s="37"/>
      <c r="P144" s="39"/>
      <c r="Q144" s="41"/>
      <c r="R144" s="35" t="str">
        <f aca="true">IF(OR($B144="",$Q144=""),"",DATEDIF($Q144,TODAY(),"Y"))</f>
        <v/>
      </c>
      <c r="S144" s="40" t="str">
        <f aca="false">IF($R144="","",INDEX(usia_label,MATCH($R144,usia_min,1)))</f>
        <v/>
      </c>
      <c r="T144" s="36"/>
      <c r="U144" s="41"/>
      <c r="V144" s="36"/>
      <c r="W144" s="36"/>
      <c r="X144" s="40" t="str">
        <f aca="false">IF($M144="","",$M144&amp;"#"&amp;COUNTIF($M$4:$M144,$M144))</f>
        <v/>
      </c>
      <c r="Y144" s="40" t="str">
        <f aca="false">IF($B144="","",IF($C144="","NIK kosong",IF(LEN($C144)&lt;&gt;16,"NIK bukan 16 digit",IF(COUNTIF($C$4:$C$2003,$C144&amp;"*")&gt;1,"NIK ganda",IF(AND($D144&lt;&gt;"",LEN($D144)&lt;&gt;16),"No. KK bukan 16 digit",IF(AND($F144="",$I144=""),"Alamat kosong",IF($N144="","Jabatan kosong",IF($O144="","No. HP kosong",IF(AND($R144&lt;&gt;"",$R144&lt;17),"Usia di bawah 17","")))))))))</f>
        <v/>
      </c>
      <c r="Z144" s="40" t="str">
        <f aca="false">IF($B144="","",IF(AND(OR(CARI!$C$5="",ISNUMBER(SEARCH(CARI!$C$5,$B144&amp;" "&amp;$C144&amp;" "&amp;$D144&amp;" "&amp;$O144&amp;" "&amp;$I144&amp;" "&amp;$F144&amp;" "&amp;$J144&amp;" "&amp;$K144&amp;" "&amp;$L144&amp;" "&amp;$V144))),OR(CARI!$C$6="",$F144=CARI!$C$6),OR(CARI!$C$7="",$G144=CARI!$C$7),OR(CARI!$C$8="",$T144=CARI!$C$8)),MAX($Z$3:Z143)+1,""))</f>
        <v/>
      </c>
      <c r="AA144" s="40" t="str">
        <f aca="false">IF($Y144="","",MAX($AA$3:AA143)+1)</f>
        <v/>
      </c>
      <c r="AB144" s="40" t="str">
        <f aca="false">IF($F144="","",$F144&amp;"#"&amp;COUNTIF($F$4:$F144,$F144))</f>
        <v/>
      </c>
      <c r="AC144" s="40" t="str">
        <f aca="false">IF($B144="","",IF(AND(OR(CETAK!$J$10="",$F144=CETAK!$J$10),OR(CETAK!$J$11="",$G144=CETAK!$J$11),OR(CETAK!$J$12="",$P144=CETAK!$J$12),OR(CETAK!$J$13="",$N144=CETAK!$J$13),OR(CETAK!$J$14="",$T144=CETAK!$J$14)),MAX($AC$3:AC143)+1,""))</f>
        <v/>
      </c>
      <c r="AD144" s="40" t="str">
        <f aca="false">IF($B144="","",IF(AND(OR(ABSENSI!$H$10="",$F144=ABSENSI!$H$10),OR(ABSENSI!$H$11="",$G144=ABSENSI!$H$11),OR(ABSENSI!$H$12="",$P144=ABSENSI!$H$12)),MAX($AD$3:AD143)+1,""))</f>
        <v/>
      </c>
      <c r="AE144" s="40" t="str">
        <f aca="false">IF($B144="","",IF(AND(OR(KARTU!$K$6="",$F144=KARTU!$K$6),OR(KARTU!$K$7="",$G144=KARTU!$K$7),OR(KARTU!$K$8="",$P144=KARTU!$K$8)),MAX($AE$3:AE143)+1,""))</f>
        <v/>
      </c>
    </row>
    <row r="145" customFormat="false" ht="15" hidden="false" customHeight="false" outlineLevel="0" collapsed="false">
      <c r="A145" s="35" t="str">
        <f aca="false">IF($B145="","",COUNTA($B$4:$B145))</f>
        <v/>
      </c>
      <c r="B145" s="36"/>
      <c r="C145" s="37"/>
      <c r="D145" s="37"/>
      <c r="E145" s="38"/>
      <c r="F145" s="36"/>
      <c r="G145" s="39"/>
      <c r="H145" s="39"/>
      <c r="I145" s="36"/>
      <c r="J145" s="36"/>
      <c r="K145" s="36"/>
      <c r="L145" s="36"/>
      <c r="M145" s="40" t="str">
        <f aca="false">IF($F145="","",$F145&amp;IF($G145="",""," - RT "&amp;$G145&amp;IF($H145="","","/"&amp;$H145)))</f>
        <v/>
      </c>
      <c r="N145" s="36"/>
      <c r="O145" s="37"/>
      <c r="P145" s="39"/>
      <c r="Q145" s="41"/>
      <c r="R145" s="35" t="str">
        <f aca="true">IF(OR($B145="",$Q145=""),"",DATEDIF($Q145,TODAY(),"Y"))</f>
        <v/>
      </c>
      <c r="S145" s="40" t="str">
        <f aca="false">IF($R145="","",INDEX(usia_label,MATCH($R145,usia_min,1)))</f>
        <v/>
      </c>
      <c r="T145" s="36"/>
      <c r="U145" s="41"/>
      <c r="V145" s="36"/>
      <c r="W145" s="36"/>
      <c r="X145" s="40" t="str">
        <f aca="false">IF($M145="","",$M145&amp;"#"&amp;COUNTIF($M$4:$M145,$M145))</f>
        <v/>
      </c>
      <c r="Y145" s="40" t="str">
        <f aca="false">IF($B145="","",IF($C145="","NIK kosong",IF(LEN($C145)&lt;&gt;16,"NIK bukan 16 digit",IF(COUNTIF($C$4:$C$2003,$C145&amp;"*")&gt;1,"NIK ganda",IF(AND($D145&lt;&gt;"",LEN($D145)&lt;&gt;16),"No. KK bukan 16 digit",IF(AND($F145="",$I145=""),"Alamat kosong",IF($N145="","Jabatan kosong",IF($O145="","No. HP kosong",IF(AND($R145&lt;&gt;"",$R145&lt;17),"Usia di bawah 17","")))))))))</f>
        <v/>
      </c>
      <c r="Z145" s="40" t="str">
        <f aca="false">IF($B145="","",IF(AND(OR(CARI!$C$5="",ISNUMBER(SEARCH(CARI!$C$5,$B145&amp;" "&amp;$C145&amp;" "&amp;$D145&amp;" "&amp;$O145&amp;" "&amp;$I145&amp;" "&amp;$F145&amp;" "&amp;$J145&amp;" "&amp;$K145&amp;" "&amp;$L145&amp;" "&amp;$V145))),OR(CARI!$C$6="",$F145=CARI!$C$6),OR(CARI!$C$7="",$G145=CARI!$C$7),OR(CARI!$C$8="",$T145=CARI!$C$8)),MAX($Z$3:Z144)+1,""))</f>
        <v/>
      </c>
      <c r="AA145" s="40" t="str">
        <f aca="false">IF($Y145="","",MAX($AA$3:AA144)+1)</f>
        <v/>
      </c>
      <c r="AB145" s="40" t="str">
        <f aca="false">IF($F145="","",$F145&amp;"#"&amp;COUNTIF($F$4:$F145,$F145))</f>
        <v/>
      </c>
      <c r="AC145" s="40" t="str">
        <f aca="false">IF($B145="","",IF(AND(OR(CETAK!$J$10="",$F145=CETAK!$J$10),OR(CETAK!$J$11="",$G145=CETAK!$J$11),OR(CETAK!$J$12="",$P145=CETAK!$J$12),OR(CETAK!$J$13="",$N145=CETAK!$J$13),OR(CETAK!$J$14="",$T145=CETAK!$J$14)),MAX($AC$3:AC144)+1,""))</f>
        <v/>
      </c>
      <c r="AD145" s="40" t="str">
        <f aca="false">IF($B145="","",IF(AND(OR(ABSENSI!$H$10="",$F145=ABSENSI!$H$10),OR(ABSENSI!$H$11="",$G145=ABSENSI!$H$11),OR(ABSENSI!$H$12="",$P145=ABSENSI!$H$12)),MAX($AD$3:AD144)+1,""))</f>
        <v/>
      </c>
      <c r="AE145" s="40" t="str">
        <f aca="false">IF($B145="","",IF(AND(OR(KARTU!$K$6="",$F145=KARTU!$K$6),OR(KARTU!$K$7="",$G145=KARTU!$K$7),OR(KARTU!$K$8="",$P145=KARTU!$K$8)),MAX($AE$3:AE144)+1,""))</f>
        <v/>
      </c>
    </row>
    <row r="146" customFormat="false" ht="15" hidden="false" customHeight="false" outlineLevel="0" collapsed="false">
      <c r="A146" s="35" t="str">
        <f aca="false">IF($B146="","",COUNTA($B$4:$B146))</f>
        <v/>
      </c>
      <c r="B146" s="36"/>
      <c r="C146" s="37"/>
      <c r="D146" s="37"/>
      <c r="E146" s="38"/>
      <c r="F146" s="36"/>
      <c r="G146" s="39"/>
      <c r="H146" s="39"/>
      <c r="I146" s="36"/>
      <c r="J146" s="36"/>
      <c r="K146" s="36"/>
      <c r="L146" s="36"/>
      <c r="M146" s="40" t="str">
        <f aca="false">IF($F146="","",$F146&amp;IF($G146="",""," - RT "&amp;$G146&amp;IF($H146="","","/"&amp;$H146)))</f>
        <v/>
      </c>
      <c r="N146" s="36"/>
      <c r="O146" s="37"/>
      <c r="P146" s="39"/>
      <c r="Q146" s="41"/>
      <c r="R146" s="35" t="str">
        <f aca="true">IF(OR($B146="",$Q146=""),"",DATEDIF($Q146,TODAY(),"Y"))</f>
        <v/>
      </c>
      <c r="S146" s="40" t="str">
        <f aca="false">IF($R146="","",INDEX(usia_label,MATCH($R146,usia_min,1)))</f>
        <v/>
      </c>
      <c r="T146" s="36"/>
      <c r="U146" s="41"/>
      <c r="V146" s="36"/>
      <c r="W146" s="36"/>
      <c r="X146" s="40" t="str">
        <f aca="false">IF($M146="","",$M146&amp;"#"&amp;COUNTIF($M$4:$M146,$M146))</f>
        <v/>
      </c>
      <c r="Y146" s="40" t="str">
        <f aca="false">IF($B146="","",IF($C146="","NIK kosong",IF(LEN($C146)&lt;&gt;16,"NIK bukan 16 digit",IF(COUNTIF($C$4:$C$2003,$C146&amp;"*")&gt;1,"NIK ganda",IF(AND($D146&lt;&gt;"",LEN($D146)&lt;&gt;16),"No. KK bukan 16 digit",IF(AND($F146="",$I146=""),"Alamat kosong",IF($N146="","Jabatan kosong",IF($O146="","No. HP kosong",IF(AND($R146&lt;&gt;"",$R146&lt;17),"Usia di bawah 17","")))))))))</f>
        <v/>
      </c>
      <c r="Z146" s="40" t="str">
        <f aca="false">IF($B146="","",IF(AND(OR(CARI!$C$5="",ISNUMBER(SEARCH(CARI!$C$5,$B146&amp;" "&amp;$C146&amp;" "&amp;$D146&amp;" "&amp;$O146&amp;" "&amp;$I146&amp;" "&amp;$F146&amp;" "&amp;$J146&amp;" "&amp;$K146&amp;" "&amp;$L146&amp;" "&amp;$V146))),OR(CARI!$C$6="",$F146=CARI!$C$6),OR(CARI!$C$7="",$G146=CARI!$C$7),OR(CARI!$C$8="",$T146=CARI!$C$8)),MAX($Z$3:Z145)+1,""))</f>
        <v/>
      </c>
      <c r="AA146" s="40" t="str">
        <f aca="false">IF($Y146="","",MAX($AA$3:AA145)+1)</f>
        <v/>
      </c>
      <c r="AB146" s="40" t="str">
        <f aca="false">IF($F146="","",$F146&amp;"#"&amp;COUNTIF($F$4:$F146,$F146))</f>
        <v/>
      </c>
      <c r="AC146" s="40" t="str">
        <f aca="false">IF($B146="","",IF(AND(OR(CETAK!$J$10="",$F146=CETAK!$J$10),OR(CETAK!$J$11="",$G146=CETAK!$J$11),OR(CETAK!$J$12="",$P146=CETAK!$J$12),OR(CETAK!$J$13="",$N146=CETAK!$J$13),OR(CETAK!$J$14="",$T146=CETAK!$J$14)),MAX($AC$3:AC145)+1,""))</f>
        <v/>
      </c>
      <c r="AD146" s="40" t="str">
        <f aca="false">IF($B146="","",IF(AND(OR(ABSENSI!$H$10="",$F146=ABSENSI!$H$10),OR(ABSENSI!$H$11="",$G146=ABSENSI!$H$11),OR(ABSENSI!$H$12="",$P146=ABSENSI!$H$12)),MAX($AD$3:AD145)+1,""))</f>
        <v/>
      </c>
      <c r="AE146" s="40" t="str">
        <f aca="false">IF($B146="","",IF(AND(OR(KARTU!$K$6="",$F146=KARTU!$K$6),OR(KARTU!$K$7="",$G146=KARTU!$K$7),OR(KARTU!$K$8="",$P146=KARTU!$K$8)),MAX($AE$3:AE145)+1,""))</f>
        <v/>
      </c>
    </row>
    <row r="147" customFormat="false" ht="15" hidden="false" customHeight="false" outlineLevel="0" collapsed="false">
      <c r="A147" s="35" t="str">
        <f aca="false">IF($B147="","",COUNTA($B$4:$B147))</f>
        <v/>
      </c>
      <c r="B147" s="36"/>
      <c r="C147" s="37"/>
      <c r="D147" s="37"/>
      <c r="E147" s="38"/>
      <c r="F147" s="36"/>
      <c r="G147" s="39"/>
      <c r="H147" s="39"/>
      <c r="I147" s="36"/>
      <c r="J147" s="36"/>
      <c r="K147" s="36"/>
      <c r="L147" s="36"/>
      <c r="M147" s="40" t="str">
        <f aca="false">IF($F147="","",$F147&amp;IF($G147="",""," - RT "&amp;$G147&amp;IF($H147="","","/"&amp;$H147)))</f>
        <v/>
      </c>
      <c r="N147" s="36"/>
      <c r="O147" s="37"/>
      <c r="P147" s="39"/>
      <c r="Q147" s="41"/>
      <c r="R147" s="35" t="str">
        <f aca="true">IF(OR($B147="",$Q147=""),"",DATEDIF($Q147,TODAY(),"Y"))</f>
        <v/>
      </c>
      <c r="S147" s="40" t="str">
        <f aca="false">IF($R147="","",INDEX(usia_label,MATCH($R147,usia_min,1)))</f>
        <v/>
      </c>
      <c r="T147" s="36"/>
      <c r="U147" s="41"/>
      <c r="V147" s="36"/>
      <c r="W147" s="36"/>
      <c r="X147" s="40" t="str">
        <f aca="false">IF($M147="","",$M147&amp;"#"&amp;COUNTIF($M$4:$M147,$M147))</f>
        <v/>
      </c>
      <c r="Y147" s="40" t="str">
        <f aca="false">IF($B147="","",IF($C147="","NIK kosong",IF(LEN($C147)&lt;&gt;16,"NIK bukan 16 digit",IF(COUNTIF($C$4:$C$2003,$C147&amp;"*")&gt;1,"NIK ganda",IF(AND($D147&lt;&gt;"",LEN($D147)&lt;&gt;16),"No. KK bukan 16 digit",IF(AND($F147="",$I147=""),"Alamat kosong",IF($N147="","Jabatan kosong",IF($O147="","No. HP kosong",IF(AND($R147&lt;&gt;"",$R147&lt;17),"Usia di bawah 17","")))))))))</f>
        <v/>
      </c>
      <c r="Z147" s="40" t="str">
        <f aca="false">IF($B147="","",IF(AND(OR(CARI!$C$5="",ISNUMBER(SEARCH(CARI!$C$5,$B147&amp;" "&amp;$C147&amp;" "&amp;$D147&amp;" "&amp;$O147&amp;" "&amp;$I147&amp;" "&amp;$F147&amp;" "&amp;$J147&amp;" "&amp;$K147&amp;" "&amp;$L147&amp;" "&amp;$V147))),OR(CARI!$C$6="",$F147=CARI!$C$6),OR(CARI!$C$7="",$G147=CARI!$C$7),OR(CARI!$C$8="",$T147=CARI!$C$8)),MAX($Z$3:Z146)+1,""))</f>
        <v/>
      </c>
      <c r="AA147" s="40" t="str">
        <f aca="false">IF($Y147="","",MAX($AA$3:AA146)+1)</f>
        <v/>
      </c>
      <c r="AB147" s="40" t="str">
        <f aca="false">IF($F147="","",$F147&amp;"#"&amp;COUNTIF($F$4:$F147,$F147))</f>
        <v/>
      </c>
      <c r="AC147" s="40" t="str">
        <f aca="false">IF($B147="","",IF(AND(OR(CETAK!$J$10="",$F147=CETAK!$J$10),OR(CETAK!$J$11="",$G147=CETAK!$J$11),OR(CETAK!$J$12="",$P147=CETAK!$J$12),OR(CETAK!$J$13="",$N147=CETAK!$J$13),OR(CETAK!$J$14="",$T147=CETAK!$J$14)),MAX($AC$3:AC146)+1,""))</f>
        <v/>
      </c>
      <c r="AD147" s="40" t="str">
        <f aca="false">IF($B147="","",IF(AND(OR(ABSENSI!$H$10="",$F147=ABSENSI!$H$10),OR(ABSENSI!$H$11="",$G147=ABSENSI!$H$11),OR(ABSENSI!$H$12="",$P147=ABSENSI!$H$12)),MAX($AD$3:AD146)+1,""))</f>
        <v/>
      </c>
      <c r="AE147" s="40" t="str">
        <f aca="false">IF($B147="","",IF(AND(OR(KARTU!$K$6="",$F147=KARTU!$K$6),OR(KARTU!$K$7="",$G147=KARTU!$K$7),OR(KARTU!$K$8="",$P147=KARTU!$K$8)),MAX($AE$3:AE146)+1,""))</f>
        <v/>
      </c>
    </row>
    <row r="148" customFormat="false" ht="15" hidden="false" customHeight="false" outlineLevel="0" collapsed="false">
      <c r="A148" s="35" t="str">
        <f aca="false">IF($B148="","",COUNTA($B$4:$B148))</f>
        <v/>
      </c>
      <c r="B148" s="36"/>
      <c r="C148" s="37"/>
      <c r="D148" s="37"/>
      <c r="E148" s="38"/>
      <c r="F148" s="36"/>
      <c r="G148" s="39"/>
      <c r="H148" s="39"/>
      <c r="I148" s="36"/>
      <c r="J148" s="36"/>
      <c r="K148" s="36"/>
      <c r="L148" s="36"/>
      <c r="M148" s="40" t="str">
        <f aca="false">IF($F148="","",$F148&amp;IF($G148="",""," - RT "&amp;$G148&amp;IF($H148="","","/"&amp;$H148)))</f>
        <v/>
      </c>
      <c r="N148" s="36"/>
      <c r="O148" s="37"/>
      <c r="P148" s="39"/>
      <c r="Q148" s="41"/>
      <c r="R148" s="35" t="str">
        <f aca="true">IF(OR($B148="",$Q148=""),"",DATEDIF($Q148,TODAY(),"Y"))</f>
        <v/>
      </c>
      <c r="S148" s="40" t="str">
        <f aca="false">IF($R148="","",INDEX(usia_label,MATCH($R148,usia_min,1)))</f>
        <v/>
      </c>
      <c r="T148" s="36"/>
      <c r="U148" s="41"/>
      <c r="V148" s="36"/>
      <c r="W148" s="36"/>
      <c r="X148" s="40" t="str">
        <f aca="false">IF($M148="","",$M148&amp;"#"&amp;COUNTIF($M$4:$M148,$M148))</f>
        <v/>
      </c>
      <c r="Y148" s="40" t="str">
        <f aca="false">IF($B148="","",IF($C148="","NIK kosong",IF(LEN($C148)&lt;&gt;16,"NIK bukan 16 digit",IF(COUNTIF($C$4:$C$2003,$C148&amp;"*")&gt;1,"NIK ganda",IF(AND($D148&lt;&gt;"",LEN($D148)&lt;&gt;16),"No. KK bukan 16 digit",IF(AND($F148="",$I148=""),"Alamat kosong",IF($N148="","Jabatan kosong",IF($O148="","No. HP kosong",IF(AND($R148&lt;&gt;"",$R148&lt;17),"Usia di bawah 17","")))))))))</f>
        <v/>
      </c>
      <c r="Z148" s="40" t="str">
        <f aca="false">IF($B148="","",IF(AND(OR(CARI!$C$5="",ISNUMBER(SEARCH(CARI!$C$5,$B148&amp;" "&amp;$C148&amp;" "&amp;$D148&amp;" "&amp;$O148&amp;" "&amp;$I148&amp;" "&amp;$F148&amp;" "&amp;$J148&amp;" "&amp;$K148&amp;" "&amp;$L148&amp;" "&amp;$V148))),OR(CARI!$C$6="",$F148=CARI!$C$6),OR(CARI!$C$7="",$G148=CARI!$C$7),OR(CARI!$C$8="",$T148=CARI!$C$8)),MAX($Z$3:Z147)+1,""))</f>
        <v/>
      </c>
      <c r="AA148" s="40" t="str">
        <f aca="false">IF($Y148="","",MAX($AA$3:AA147)+1)</f>
        <v/>
      </c>
      <c r="AB148" s="40" t="str">
        <f aca="false">IF($F148="","",$F148&amp;"#"&amp;COUNTIF($F$4:$F148,$F148))</f>
        <v/>
      </c>
      <c r="AC148" s="40" t="str">
        <f aca="false">IF($B148="","",IF(AND(OR(CETAK!$J$10="",$F148=CETAK!$J$10),OR(CETAK!$J$11="",$G148=CETAK!$J$11),OR(CETAK!$J$12="",$P148=CETAK!$J$12),OR(CETAK!$J$13="",$N148=CETAK!$J$13),OR(CETAK!$J$14="",$T148=CETAK!$J$14)),MAX($AC$3:AC147)+1,""))</f>
        <v/>
      </c>
      <c r="AD148" s="40" t="str">
        <f aca="false">IF($B148="","",IF(AND(OR(ABSENSI!$H$10="",$F148=ABSENSI!$H$10),OR(ABSENSI!$H$11="",$G148=ABSENSI!$H$11),OR(ABSENSI!$H$12="",$P148=ABSENSI!$H$12)),MAX($AD$3:AD147)+1,""))</f>
        <v/>
      </c>
      <c r="AE148" s="40" t="str">
        <f aca="false">IF($B148="","",IF(AND(OR(KARTU!$K$6="",$F148=KARTU!$K$6),OR(KARTU!$K$7="",$G148=KARTU!$K$7),OR(KARTU!$K$8="",$P148=KARTU!$K$8)),MAX($AE$3:AE147)+1,""))</f>
        <v/>
      </c>
    </row>
    <row r="149" customFormat="false" ht="15" hidden="false" customHeight="false" outlineLevel="0" collapsed="false">
      <c r="A149" s="35" t="str">
        <f aca="false">IF($B149="","",COUNTA($B$4:$B149))</f>
        <v/>
      </c>
      <c r="B149" s="36"/>
      <c r="C149" s="37"/>
      <c r="D149" s="37"/>
      <c r="E149" s="38"/>
      <c r="F149" s="36"/>
      <c r="G149" s="39"/>
      <c r="H149" s="39"/>
      <c r="I149" s="36"/>
      <c r="J149" s="36"/>
      <c r="K149" s="36"/>
      <c r="L149" s="36"/>
      <c r="M149" s="40" t="str">
        <f aca="false">IF($F149="","",$F149&amp;IF($G149="",""," - RT "&amp;$G149&amp;IF($H149="","","/"&amp;$H149)))</f>
        <v/>
      </c>
      <c r="N149" s="36"/>
      <c r="O149" s="37"/>
      <c r="P149" s="39"/>
      <c r="Q149" s="41"/>
      <c r="R149" s="35" t="str">
        <f aca="true">IF(OR($B149="",$Q149=""),"",DATEDIF($Q149,TODAY(),"Y"))</f>
        <v/>
      </c>
      <c r="S149" s="40" t="str">
        <f aca="false">IF($R149="","",INDEX(usia_label,MATCH($R149,usia_min,1)))</f>
        <v/>
      </c>
      <c r="T149" s="36"/>
      <c r="U149" s="41"/>
      <c r="V149" s="36"/>
      <c r="W149" s="36"/>
      <c r="X149" s="40" t="str">
        <f aca="false">IF($M149="","",$M149&amp;"#"&amp;COUNTIF($M$4:$M149,$M149))</f>
        <v/>
      </c>
      <c r="Y149" s="40" t="str">
        <f aca="false">IF($B149="","",IF($C149="","NIK kosong",IF(LEN($C149)&lt;&gt;16,"NIK bukan 16 digit",IF(COUNTIF($C$4:$C$2003,$C149&amp;"*")&gt;1,"NIK ganda",IF(AND($D149&lt;&gt;"",LEN($D149)&lt;&gt;16),"No. KK bukan 16 digit",IF(AND($F149="",$I149=""),"Alamat kosong",IF($N149="","Jabatan kosong",IF($O149="","No. HP kosong",IF(AND($R149&lt;&gt;"",$R149&lt;17),"Usia di bawah 17","")))))))))</f>
        <v/>
      </c>
      <c r="Z149" s="40" t="str">
        <f aca="false">IF($B149="","",IF(AND(OR(CARI!$C$5="",ISNUMBER(SEARCH(CARI!$C$5,$B149&amp;" "&amp;$C149&amp;" "&amp;$D149&amp;" "&amp;$O149&amp;" "&amp;$I149&amp;" "&amp;$F149&amp;" "&amp;$J149&amp;" "&amp;$K149&amp;" "&amp;$L149&amp;" "&amp;$V149))),OR(CARI!$C$6="",$F149=CARI!$C$6),OR(CARI!$C$7="",$G149=CARI!$C$7),OR(CARI!$C$8="",$T149=CARI!$C$8)),MAX($Z$3:Z148)+1,""))</f>
        <v/>
      </c>
      <c r="AA149" s="40" t="str">
        <f aca="false">IF($Y149="","",MAX($AA$3:AA148)+1)</f>
        <v/>
      </c>
      <c r="AB149" s="40" t="str">
        <f aca="false">IF($F149="","",$F149&amp;"#"&amp;COUNTIF($F$4:$F149,$F149))</f>
        <v/>
      </c>
      <c r="AC149" s="40" t="str">
        <f aca="false">IF($B149="","",IF(AND(OR(CETAK!$J$10="",$F149=CETAK!$J$10),OR(CETAK!$J$11="",$G149=CETAK!$J$11),OR(CETAK!$J$12="",$P149=CETAK!$J$12),OR(CETAK!$J$13="",$N149=CETAK!$J$13),OR(CETAK!$J$14="",$T149=CETAK!$J$14)),MAX($AC$3:AC148)+1,""))</f>
        <v/>
      </c>
      <c r="AD149" s="40" t="str">
        <f aca="false">IF($B149="","",IF(AND(OR(ABSENSI!$H$10="",$F149=ABSENSI!$H$10),OR(ABSENSI!$H$11="",$G149=ABSENSI!$H$11),OR(ABSENSI!$H$12="",$P149=ABSENSI!$H$12)),MAX($AD$3:AD148)+1,""))</f>
        <v/>
      </c>
      <c r="AE149" s="40" t="str">
        <f aca="false">IF($B149="","",IF(AND(OR(KARTU!$K$6="",$F149=KARTU!$K$6),OR(KARTU!$K$7="",$G149=KARTU!$K$7),OR(KARTU!$K$8="",$P149=KARTU!$K$8)),MAX($AE$3:AE148)+1,""))</f>
        <v/>
      </c>
    </row>
    <row r="150" customFormat="false" ht="15" hidden="false" customHeight="false" outlineLevel="0" collapsed="false">
      <c r="A150" s="35" t="str">
        <f aca="false">IF($B150="","",COUNTA($B$4:$B150))</f>
        <v/>
      </c>
      <c r="B150" s="36"/>
      <c r="C150" s="37"/>
      <c r="D150" s="37"/>
      <c r="E150" s="38"/>
      <c r="F150" s="36"/>
      <c r="G150" s="39"/>
      <c r="H150" s="39"/>
      <c r="I150" s="36"/>
      <c r="J150" s="36"/>
      <c r="K150" s="36"/>
      <c r="L150" s="36"/>
      <c r="M150" s="40" t="str">
        <f aca="false">IF($F150="","",$F150&amp;IF($G150="",""," - RT "&amp;$G150&amp;IF($H150="","","/"&amp;$H150)))</f>
        <v/>
      </c>
      <c r="N150" s="36"/>
      <c r="O150" s="37"/>
      <c r="P150" s="39"/>
      <c r="Q150" s="41"/>
      <c r="R150" s="35" t="str">
        <f aca="true">IF(OR($B150="",$Q150=""),"",DATEDIF($Q150,TODAY(),"Y"))</f>
        <v/>
      </c>
      <c r="S150" s="40" t="str">
        <f aca="false">IF($R150="","",INDEX(usia_label,MATCH($R150,usia_min,1)))</f>
        <v/>
      </c>
      <c r="T150" s="36"/>
      <c r="U150" s="41"/>
      <c r="V150" s="36"/>
      <c r="W150" s="36"/>
      <c r="X150" s="40" t="str">
        <f aca="false">IF($M150="","",$M150&amp;"#"&amp;COUNTIF($M$4:$M150,$M150))</f>
        <v/>
      </c>
      <c r="Y150" s="40" t="str">
        <f aca="false">IF($B150="","",IF($C150="","NIK kosong",IF(LEN($C150)&lt;&gt;16,"NIK bukan 16 digit",IF(COUNTIF($C$4:$C$2003,$C150&amp;"*")&gt;1,"NIK ganda",IF(AND($D150&lt;&gt;"",LEN($D150)&lt;&gt;16),"No. KK bukan 16 digit",IF(AND($F150="",$I150=""),"Alamat kosong",IF($N150="","Jabatan kosong",IF($O150="","No. HP kosong",IF(AND($R150&lt;&gt;"",$R150&lt;17),"Usia di bawah 17","")))))))))</f>
        <v/>
      </c>
      <c r="Z150" s="40" t="str">
        <f aca="false">IF($B150="","",IF(AND(OR(CARI!$C$5="",ISNUMBER(SEARCH(CARI!$C$5,$B150&amp;" "&amp;$C150&amp;" "&amp;$D150&amp;" "&amp;$O150&amp;" "&amp;$I150&amp;" "&amp;$F150&amp;" "&amp;$J150&amp;" "&amp;$K150&amp;" "&amp;$L150&amp;" "&amp;$V150))),OR(CARI!$C$6="",$F150=CARI!$C$6),OR(CARI!$C$7="",$G150=CARI!$C$7),OR(CARI!$C$8="",$T150=CARI!$C$8)),MAX($Z$3:Z149)+1,""))</f>
        <v/>
      </c>
      <c r="AA150" s="40" t="str">
        <f aca="false">IF($Y150="","",MAX($AA$3:AA149)+1)</f>
        <v/>
      </c>
      <c r="AB150" s="40" t="str">
        <f aca="false">IF($F150="","",$F150&amp;"#"&amp;COUNTIF($F$4:$F150,$F150))</f>
        <v/>
      </c>
      <c r="AC150" s="40" t="str">
        <f aca="false">IF($B150="","",IF(AND(OR(CETAK!$J$10="",$F150=CETAK!$J$10),OR(CETAK!$J$11="",$G150=CETAK!$J$11),OR(CETAK!$J$12="",$P150=CETAK!$J$12),OR(CETAK!$J$13="",$N150=CETAK!$J$13),OR(CETAK!$J$14="",$T150=CETAK!$J$14)),MAX($AC$3:AC149)+1,""))</f>
        <v/>
      </c>
      <c r="AD150" s="40" t="str">
        <f aca="false">IF($B150="","",IF(AND(OR(ABSENSI!$H$10="",$F150=ABSENSI!$H$10),OR(ABSENSI!$H$11="",$G150=ABSENSI!$H$11),OR(ABSENSI!$H$12="",$P150=ABSENSI!$H$12)),MAX($AD$3:AD149)+1,""))</f>
        <v/>
      </c>
      <c r="AE150" s="40" t="str">
        <f aca="false">IF($B150="","",IF(AND(OR(KARTU!$K$6="",$F150=KARTU!$K$6),OR(KARTU!$K$7="",$G150=KARTU!$K$7),OR(KARTU!$K$8="",$P150=KARTU!$K$8)),MAX($AE$3:AE149)+1,""))</f>
        <v/>
      </c>
    </row>
    <row r="151" customFormat="false" ht="15" hidden="false" customHeight="false" outlineLevel="0" collapsed="false">
      <c r="A151" s="35" t="str">
        <f aca="false">IF($B151="","",COUNTA($B$4:$B151))</f>
        <v/>
      </c>
      <c r="B151" s="36"/>
      <c r="C151" s="37"/>
      <c r="D151" s="37"/>
      <c r="E151" s="38"/>
      <c r="F151" s="36"/>
      <c r="G151" s="39"/>
      <c r="H151" s="39"/>
      <c r="I151" s="36"/>
      <c r="J151" s="36"/>
      <c r="K151" s="36"/>
      <c r="L151" s="36"/>
      <c r="M151" s="40" t="str">
        <f aca="false">IF($F151="","",$F151&amp;IF($G151="",""," - RT "&amp;$G151&amp;IF($H151="","","/"&amp;$H151)))</f>
        <v/>
      </c>
      <c r="N151" s="36"/>
      <c r="O151" s="37"/>
      <c r="P151" s="39"/>
      <c r="Q151" s="41"/>
      <c r="R151" s="35" t="str">
        <f aca="true">IF(OR($B151="",$Q151=""),"",DATEDIF($Q151,TODAY(),"Y"))</f>
        <v/>
      </c>
      <c r="S151" s="40" t="str">
        <f aca="false">IF($R151="","",INDEX(usia_label,MATCH($R151,usia_min,1)))</f>
        <v/>
      </c>
      <c r="T151" s="36"/>
      <c r="U151" s="41"/>
      <c r="V151" s="36"/>
      <c r="W151" s="36"/>
      <c r="X151" s="40" t="str">
        <f aca="false">IF($M151="","",$M151&amp;"#"&amp;COUNTIF($M$4:$M151,$M151))</f>
        <v/>
      </c>
      <c r="Y151" s="40" t="str">
        <f aca="false">IF($B151="","",IF($C151="","NIK kosong",IF(LEN($C151)&lt;&gt;16,"NIK bukan 16 digit",IF(COUNTIF($C$4:$C$2003,$C151&amp;"*")&gt;1,"NIK ganda",IF(AND($D151&lt;&gt;"",LEN($D151)&lt;&gt;16),"No. KK bukan 16 digit",IF(AND($F151="",$I151=""),"Alamat kosong",IF($N151="","Jabatan kosong",IF($O151="","No. HP kosong",IF(AND($R151&lt;&gt;"",$R151&lt;17),"Usia di bawah 17","")))))))))</f>
        <v/>
      </c>
      <c r="Z151" s="40" t="str">
        <f aca="false">IF($B151="","",IF(AND(OR(CARI!$C$5="",ISNUMBER(SEARCH(CARI!$C$5,$B151&amp;" "&amp;$C151&amp;" "&amp;$D151&amp;" "&amp;$O151&amp;" "&amp;$I151&amp;" "&amp;$F151&amp;" "&amp;$J151&amp;" "&amp;$K151&amp;" "&amp;$L151&amp;" "&amp;$V151))),OR(CARI!$C$6="",$F151=CARI!$C$6),OR(CARI!$C$7="",$G151=CARI!$C$7),OR(CARI!$C$8="",$T151=CARI!$C$8)),MAX($Z$3:Z150)+1,""))</f>
        <v/>
      </c>
      <c r="AA151" s="40" t="str">
        <f aca="false">IF($Y151="","",MAX($AA$3:AA150)+1)</f>
        <v/>
      </c>
      <c r="AB151" s="40" t="str">
        <f aca="false">IF($F151="","",$F151&amp;"#"&amp;COUNTIF($F$4:$F151,$F151))</f>
        <v/>
      </c>
      <c r="AC151" s="40" t="str">
        <f aca="false">IF($B151="","",IF(AND(OR(CETAK!$J$10="",$F151=CETAK!$J$10),OR(CETAK!$J$11="",$G151=CETAK!$J$11),OR(CETAK!$J$12="",$P151=CETAK!$J$12),OR(CETAK!$J$13="",$N151=CETAK!$J$13),OR(CETAK!$J$14="",$T151=CETAK!$J$14)),MAX($AC$3:AC150)+1,""))</f>
        <v/>
      </c>
      <c r="AD151" s="40" t="str">
        <f aca="false">IF($B151="","",IF(AND(OR(ABSENSI!$H$10="",$F151=ABSENSI!$H$10),OR(ABSENSI!$H$11="",$G151=ABSENSI!$H$11),OR(ABSENSI!$H$12="",$P151=ABSENSI!$H$12)),MAX($AD$3:AD150)+1,""))</f>
        <v/>
      </c>
      <c r="AE151" s="40" t="str">
        <f aca="false">IF($B151="","",IF(AND(OR(KARTU!$K$6="",$F151=KARTU!$K$6),OR(KARTU!$K$7="",$G151=KARTU!$K$7),OR(KARTU!$K$8="",$P151=KARTU!$K$8)),MAX($AE$3:AE150)+1,""))</f>
        <v/>
      </c>
    </row>
    <row r="152" customFormat="false" ht="15" hidden="false" customHeight="false" outlineLevel="0" collapsed="false">
      <c r="A152" s="35" t="str">
        <f aca="false">IF($B152="","",COUNTA($B$4:$B152))</f>
        <v/>
      </c>
      <c r="B152" s="36"/>
      <c r="C152" s="37"/>
      <c r="D152" s="37"/>
      <c r="E152" s="38"/>
      <c r="F152" s="36"/>
      <c r="G152" s="39"/>
      <c r="H152" s="39"/>
      <c r="I152" s="36"/>
      <c r="J152" s="36"/>
      <c r="K152" s="36"/>
      <c r="L152" s="36"/>
      <c r="M152" s="40" t="str">
        <f aca="false">IF($F152="","",$F152&amp;IF($G152="",""," - RT "&amp;$G152&amp;IF($H152="","","/"&amp;$H152)))</f>
        <v/>
      </c>
      <c r="N152" s="36"/>
      <c r="O152" s="37"/>
      <c r="P152" s="39"/>
      <c r="Q152" s="41"/>
      <c r="R152" s="35" t="str">
        <f aca="true">IF(OR($B152="",$Q152=""),"",DATEDIF($Q152,TODAY(),"Y"))</f>
        <v/>
      </c>
      <c r="S152" s="40" t="str">
        <f aca="false">IF($R152="","",INDEX(usia_label,MATCH($R152,usia_min,1)))</f>
        <v/>
      </c>
      <c r="T152" s="36"/>
      <c r="U152" s="41"/>
      <c r="V152" s="36"/>
      <c r="W152" s="36"/>
      <c r="X152" s="40" t="str">
        <f aca="false">IF($M152="","",$M152&amp;"#"&amp;COUNTIF($M$4:$M152,$M152))</f>
        <v/>
      </c>
      <c r="Y152" s="40" t="str">
        <f aca="false">IF($B152="","",IF($C152="","NIK kosong",IF(LEN($C152)&lt;&gt;16,"NIK bukan 16 digit",IF(COUNTIF($C$4:$C$2003,$C152&amp;"*")&gt;1,"NIK ganda",IF(AND($D152&lt;&gt;"",LEN($D152)&lt;&gt;16),"No. KK bukan 16 digit",IF(AND($F152="",$I152=""),"Alamat kosong",IF($N152="","Jabatan kosong",IF($O152="","No. HP kosong",IF(AND($R152&lt;&gt;"",$R152&lt;17),"Usia di bawah 17","")))))))))</f>
        <v/>
      </c>
      <c r="Z152" s="40" t="str">
        <f aca="false">IF($B152="","",IF(AND(OR(CARI!$C$5="",ISNUMBER(SEARCH(CARI!$C$5,$B152&amp;" "&amp;$C152&amp;" "&amp;$D152&amp;" "&amp;$O152&amp;" "&amp;$I152&amp;" "&amp;$F152&amp;" "&amp;$J152&amp;" "&amp;$K152&amp;" "&amp;$L152&amp;" "&amp;$V152))),OR(CARI!$C$6="",$F152=CARI!$C$6),OR(CARI!$C$7="",$G152=CARI!$C$7),OR(CARI!$C$8="",$T152=CARI!$C$8)),MAX($Z$3:Z151)+1,""))</f>
        <v/>
      </c>
      <c r="AA152" s="40" t="str">
        <f aca="false">IF($Y152="","",MAX($AA$3:AA151)+1)</f>
        <v/>
      </c>
      <c r="AB152" s="40" t="str">
        <f aca="false">IF($F152="","",$F152&amp;"#"&amp;COUNTIF($F$4:$F152,$F152))</f>
        <v/>
      </c>
      <c r="AC152" s="40" t="str">
        <f aca="false">IF($B152="","",IF(AND(OR(CETAK!$J$10="",$F152=CETAK!$J$10),OR(CETAK!$J$11="",$G152=CETAK!$J$11),OR(CETAK!$J$12="",$P152=CETAK!$J$12),OR(CETAK!$J$13="",$N152=CETAK!$J$13),OR(CETAK!$J$14="",$T152=CETAK!$J$14)),MAX($AC$3:AC151)+1,""))</f>
        <v/>
      </c>
      <c r="AD152" s="40" t="str">
        <f aca="false">IF($B152="","",IF(AND(OR(ABSENSI!$H$10="",$F152=ABSENSI!$H$10),OR(ABSENSI!$H$11="",$G152=ABSENSI!$H$11),OR(ABSENSI!$H$12="",$P152=ABSENSI!$H$12)),MAX($AD$3:AD151)+1,""))</f>
        <v/>
      </c>
      <c r="AE152" s="40" t="str">
        <f aca="false">IF($B152="","",IF(AND(OR(KARTU!$K$6="",$F152=KARTU!$K$6),OR(KARTU!$K$7="",$G152=KARTU!$K$7),OR(KARTU!$K$8="",$P152=KARTU!$K$8)),MAX($AE$3:AE151)+1,""))</f>
        <v/>
      </c>
    </row>
    <row r="153" customFormat="false" ht="15" hidden="false" customHeight="false" outlineLevel="0" collapsed="false">
      <c r="A153" s="35" t="str">
        <f aca="false">IF($B153="","",COUNTA($B$4:$B153))</f>
        <v/>
      </c>
      <c r="B153" s="36"/>
      <c r="C153" s="37"/>
      <c r="D153" s="37"/>
      <c r="E153" s="38"/>
      <c r="F153" s="36"/>
      <c r="G153" s="39"/>
      <c r="H153" s="39"/>
      <c r="I153" s="36"/>
      <c r="J153" s="36"/>
      <c r="K153" s="36"/>
      <c r="L153" s="36"/>
      <c r="M153" s="40" t="str">
        <f aca="false">IF($F153="","",$F153&amp;IF($G153="",""," - RT "&amp;$G153&amp;IF($H153="","","/"&amp;$H153)))</f>
        <v/>
      </c>
      <c r="N153" s="36"/>
      <c r="O153" s="37"/>
      <c r="P153" s="39"/>
      <c r="Q153" s="41"/>
      <c r="R153" s="35" t="str">
        <f aca="true">IF(OR($B153="",$Q153=""),"",DATEDIF($Q153,TODAY(),"Y"))</f>
        <v/>
      </c>
      <c r="S153" s="40" t="str">
        <f aca="false">IF($R153="","",INDEX(usia_label,MATCH($R153,usia_min,1)))</f>
        <v/>
      </c>
      <c r="T153" s="36"/>
      <c r="U153" s="41"/>
      <c r="V153" s="36"/>
      <c r="W153" s="36"/>
      <c r="X153" s="40" t="str">
        <f aca="false">IF($M153="","",$M153&amp;"#"&amp;COUNTIF($M$4:$M153,$M153))</f>
        <v/>
      </c>
      <c r="Y153" s="40" t="str">
        <f aca="false">IF($B153="","",IF($C153="","NIK kosong",IF(LEN($C153)&lt;&gt;16,"NIK bukan 16 digit",IF(COUNTIF($C$4:$C$2003,$C153&amp;"*")&gt;1,"NIK ganda",IF(AND($D153&lt;&gt;"",LEN($D153)&lt;&gt;16),"No. KK bukan 16 digit",IF(AND($F153="",$I153=""),"Alamat kosong",IF($N153="","Jabatan kosong",IF($O153="","No. HP kosong",IF(AND($R153&lt;&gt;"",$R153&lt;17),"Usia di bawah 17","")))))))))</f>
        <v/>
      </c>
      <c r="Z153" s="40" t="str">
        <f aca="false">IF($B153="","",IF(AND(OR(CARI!$C$5="",ISNUMBER(SEARCH(CARI!$C$5,$B153&amp;" "&amp;$C153&amp;" "&amp;$D153&amp;" "&amp;$O153&amp;" "&amp;$I153&amp;" "&amp;$F153&amp;" "&amp;$J153&amp;" "&amp;$K153&amp;" "&amp;$L153&amp;" "&amp;$V153))),OR(CARI!$C$6="",$F153=CARI!$C$6),OR(CARI!$C$7="",$G153=CARI!$C$7),OR(CARI!$C$8="",$T153=CARI!$C$8)),MAX($Z$3:Z152)+1,""))</f>
        <v/>
      </c>
      <c r="AA153" s="40" t="str">
        <f aca="false">IF($Y153="","",MAX($AA$3:AA152)+1)</f>
        <v/>
      </c>
      <c r="AB153" s="40" t="str">
        <f aca="false">IF($F153="","",$F153&amp;"#"&amp;COUNTIF($F$4:$F153,$F153))</f>
        <v/>
      </c>
      <c r="AC153" s="40" t="str">
        <f aca="false">IF($B153="","",IF(AND(OR(CETAK!$J$10="",$F153=CETAK!$J$10),OR(CETAK!$J$11="",$G153=CETAK!$J$11),OR(CETAK!$J$12="",$P153=CETAK!$J$12),OR(CETAK!$J$13="",$N153=CETAK!$J$13),OR(CETAK!$J$14="",$T153=CETAK!$J$14)),MAX($AC$3:AC152)+1,""))</f>
        <v/>
      </c>
      <c r="AD153" s="40" t="str">
        <f aca="false">IF($B153="","",IF(AND(OR(ABSENSI!$H$10="",$F153=ABSENSI!$H$10),OR(ABSENSI!$H$11="",$G153=ABSENSI!$H$11),OR(ABSENSI!$H$12="",$P153=ABSENSI!$H$12)),MAX($AD$3:AD152)+1,""))</f>
        <v/>
      </c>
      <c r="AE153" s="40" t="str">
        <f aca="false">IF($B153="","",IF(AND(OR(KARTU!$K$6="",$F153=KARTU!$K$6),OR(KARTU!$K$7="",$G153=KARTU!$K$7),OR(KARTU!$K$8="",$P153=KARTU!$K$8)),MAX($AE$3:AE152)+1,""))</f>
        <v/>
      </c>
    </row>
    <row r="154" customFormat="false" ht="15" hidden="false" customHeight="false" outlineLevel="0" collapsed="false">
      <c r="A154" s="35" t="str">
        <f aca="false">IF($B154="","",COUNTA($B$4:$B154))</f>
        <v/>
      </c>
      <c r="B154" s="36"/>
      <c r="C154" s="37"/>
      <c r="D154" s="37"/>
      <c r="E154" s="38"/>
      <c r="F154" s="36"/>
      <c r="G154" s="39"/>
      <c r="H154" s="39"/>
      <c r="I154" s="36"/>
      <c r="J154" s="36"/>
      <c r="K154" s="36"/>
      <c r="L154" s="36"/>
      <c r="M154" s="40" t="str">
        <f aca="false">IF($F154="","",$F154&amp;IF($G154="",""," - RT "&amp;$G154&amp;IF($H154="","","/"&amp;$H154)))</f>
        <v/>
      </c>
      <c r="N154" s="36"/>
      <c r="O154" s="37"/>
      <c r="P154" s="39"/>
      <c r="Q154" s="41"/>
      <c r="R154" s="35" t="str">
        <f aca="true">IF(OR($B154="",$Q154=""),"",DATEDIF($Q154,TODAY(),"Y"))</f>
        <v/>
      </c>
      <c r="S154" s="40" t="str">
        <f aca="false">IF($R154="","",INDEX(usia_label,MATCH($R154,usia_min,1)))</f>
        <v/>
      </c>
      <c r="T154" s="36"/>
      <c r="U154" s="41"/>
      <c r="V154" s="36"/>
      <c r="W154" s="36"/>
      <c r="X154" s="40" t="str">
        <f aca="false">IF($M154="","",$M154&amp;"#"&amp;COUNTIF($M$4:$M154,$M154))</f>
        <v/>
      </c>
      <c r="Y154" s="40" t="str">
        <f aca="false">IF($B154="","",IF($C154="","NIK kosong",IF(LEN($C154)&lt;&gt;16,"NIK bukan 16 digit",IF(COUNTIF($C$4:$C$2003,$C154&amp;"*")&gt;1,"NIK ganda",IF(AND($D154&lt;&gt;"",LEN($D154)&lt;&gt;16),"No. KK bukan 16 digit",IF(AND($F154="",$I154=""),"Alamat kosong",IF($N154="","Jabatan kosong",IF($O154="","No. HP kosong",IF(AND($R154&lt;&gt;"",$R154&lt;17),"Usia di bawah 17","")))))))))</f>
        <v/>
      </c>
      <c r="Z154" s="40" t="str">
        <f aca="false">IF($B154="","",IF(AND(OR(CARI!$C$5="",ISNUMBER(SEARCH(CARI!$C$5,$B154&amp;" "&amp;$C154&amp;" "&amp;$D154&amp;" "&amp;$O154&amp;" "&amp;$I154&amp;" "&amp;$F154&amp;" "&amp;$J154&amp;" "&amp;$K154&amp;" "&amp;$L154&amp;" "&amp;$V154))),OR(CARI!$C$6="",$F154=CARI!$C$6),OR(CARI!$C$7="",$G154=CARI!$C$7),OR(CARI!$C$8="",$T154=CARI!$C$8)),MAX($Z$3:Z153)+1,""))</f>
        <v/>
      </c>
      <c r="AA154" s="40" t="str">
        <f aca="false">IF($Y154="","",MAX($AA$3:AA153)+1)</f>
        <v/>
      </c>
      <c r="AB154" s="40" t="str">
        <f aca="false">IF($F154="","",$F154&amp;"#"&amp;COUNTIF($F$4:$F154,$F154))</f>
        <v/>
      </c>
      <c r="AC154" s="40" t="str">
        <f aca="false">IF($B154="","",IF(AND(OR(CETAK!$J$10="",$F154=CETAK!$J$10),OR(CETAK!$J$11="",$G154=CETAK!$J$11),OR(CETAK!$J$12="",$P154=CETAK!$J$12),OR(CETAK!$J$13="",$N154=CETAK!$J$13),OR(CETAK!$J$14="",$T154=CETAK!$J$14)),MAX($AC$3:AC153)+1,""))</f>
        <v/>
      </c>
      <c r="AD154" s="40" t="str">
        <f aca="false">IF($B154="","",IF(AND(OR(ABSENSI!$H$10="",$F154=ABSENSI!$H$10),OR(ABSENSI!$H$11="",$G154=ABSENSI!$H$11),OR(ABSENSI!$H$12="",$P154=ABSENSI!$H$12)),MAX($AD$3:AD153)+1,""))</f>
        <v/>
      </c>
      <c r="AE154" s="40" t="str">
        <f aca="false">IF($B154="","",IF(AND(OR(KARTU!$K$6="",$F154=KARTU!$K$6),OR(KARTU!$K$7="",$G154=KARTU!$K$7),OR(KARTU!$K$8="",$P154=KARTU!$K$8)),MAX($AE$3:AE153)+1,""))</f>
        <v/>
      </c>
    </row>
    <row r="155" customFormat="false" ht="15" hidden="false" customHeight="false" outlineLevel="0" collapsed="false">
      <c r="A155" s="35" t="str">
        <f aca="false">IF($B155="","",COUNTA($B$4:$B155))</f>
        <v/>
      </c>
      <c r="B155" s="36"/>
      <c r="C155" s="37"/>
      <c r="D155" s="37"/>
      <c r="E155" s="38"/>
      <c r="F155" s="36"/>
      <c r="G155" s="39"/>
      <c r="H155" s="39"/>
      <c r="I155" s="36"/>
      <c r="J155" s="36"/>
      <c r="K155" s="36"/>
      <c r="L155" s="36"/>
      <c r="M155" s="40" t="str">
        <f aca="false">IF($F155="","",$F155&amp;IF($G155="",""," - RT "&amp;$G155&amp;IF($H155="","","/"&amp;$H155)))</f>
        <v/>
      </c>
      <c r="N155" s="36"/>
      <c r="O155" s="37"/>
      <c r="P155" s="39"/>
      <c r="Q155" s="41"/>
      <c r="R155" s="35" t="str">
        <f aca="true">IF(OR($B155="",$Q155=""),"",DATEDIF($Q155,TODAY(),"Y"))</f>
        <v/>
      </c>
      <c r="S155" s="40" t="str">
        <f aca="false">IF($R155="","",INDEX(usia_label,MATCH($R155,usia_min,1)))</f>
        <v/>
      </c>
      <c r="T155" s="36"/>
      <c r="U155" s="41"/>
      <c r="V155" s="36"/>
      <c r="W155" s="36"/>
      <c r="X155" s="40" t="str">
        <f aca="false">IF($M155="","",$M155&amp;"#"&amp;COUNTIF($M$4:$M155,$M155))</f>
        <v/>
      </c>
      <c r="Y155" s="40" t="str">
        <f aca="false">IF($B155="","",IF($C155="","NIK kosong",IF(LEN($C155)&lt;&gt;16,"NIK bukan 16 digit",IF(COUNTIF($C$4:$C$2003,$C155&amp;"*")&gt;1,"NIK ganda",IF(AND($D155&lt;&gt;"",LEN($D155)&lt;&gt;16),"No. KK bukan 16 digit",IF(AND($F155="",$I155=""),"Alamat kosong",IF($N155="","Jabatan kosong",IF($O155="","No. HP kosong",IF(AND($R155&lt;&gt;"",$R155&lt;17),"Usia di bawah 17","")))))))))</f>
        <v/>
      </c>
      <c r="Z155" s="40" t="str">
        <f aca="false">IF($B155="","",IF(AND(OR(CARI!$C$5="",ISNUMBER(SEARCH(CARI!$C$5,$B155&amp;" "&amp;$C155&amp;" "&amp;$D155&amp;" "&amp;$O155&amp;" "&amp;$I155&amp;" "&amp;$F155&amp;" "&amp;$J155&amp;" "&amp;$K155&amp;" "&amp;$L155&amp;" "&amp;$V155))),OR(CARI!$C$6="",$F155=CARI!$C$6),OR(CARI!$C$7="",$G155=CARI!$C$7),OR(CARI!$C$8="",$T155=CARI!$C$8)),MAX($Z$3:Z154)+1,""))</f>
        <v/>
      </c>
      <c r="AA155" s="40" t="str">
        <f aca="false">IF($Y155="","",MAX($AA$3:AA154)+1)</f>
        <v/>
      </c>
      <c r="AB155" s="40" t="str">
        <f aca="false">IF($F155="","",$F155&amp;"#"&amp;COUNTIF($F$4:$F155,$F155))</f>
        <v/>
      </c>
      <c r="AC155" s="40" t="str">
        <f aca="false">IF($B155="","",IF(AND(OR(CETAK!$J$10="",$F155=CETAK!$J$10),OR(CETAK!$J$11="",$G155=CETAK!$J$11),OR(CETAK!$J$12="",$P155=CETAK!$J$12),OR(CETAK!$J$13="",$N155=CETAK!$J$13),OR(CETAK!$J$14="",$T155=CETAK!$J$14)),MAX($AC$3:AC154)+1,""))</f>
        <v/>
      </c>
      <c r="AD155" s="40" t="str">
        <f aca="false">IF($B155="","",IF(AND(OR(ABSENSI!$H$10="",$F155=ABSENSI!$H$10),OR(ABSENSI!$H$11="",$G155=ABSENSI!$H$11),OR(ABSENSI!$H$12="",$P155=ABSENSI!$H$12)),MAX($AD$3:AD154)+1,""))</f>
        <v/>
      </c>
      <c r="AE155" s="40" t="str">
        <f aca="false">IF($B155="","",IF(AND(OR(KARTU!$K$6="",$F155=KARTU!$K$6),OR(KARTU!$K$7="",$G155=KARTU!$K$7),OR(KARTU!$K$8="",$P155=KARTU!$K$8)),MAX($AE$3:AE154)+1,""))</f>
        <v/>
      </c>
    </row>
    <row r="156" customFormat="false" ht="15" hidden="false" customHeight="false" outlineLevel="0" collapsed="false">
      <c r="A156" s="35" t="str">
        <f aca="false">IF($B156="","",COUNTA($B$4:$B156))</f>
        <v/>
      </c>
      <c r="B156" s="36"/>
      <c r="C156" s="37"/>
      <c r="D156" s="37"/>
      <c r="E156" s="38"/>
      <c r="F156" s="36"/>
      <c r="G156" s="39"/>
      <c r="H156" s="39"/>
      <c r="I156" s="36"/>
      <c r="J156" s="36"/>
      <c r="K156" s="36"/>
      <c r="L156" s="36"/>
      <c r="M156" s="40" t="str">
        <f aca="false">IF($F156="","",$F156&amp;IF($G156="",""," - RT "&amp;$G156&amp;IF($H156="","","/"&amp;$H156)))</f>
        <v/>
      </c>
      <c r="N156" s="36"/>
      <c r="O156" s="37"/>
      <c r="P156" s="39"/>
      <c r="Q156" s="41"/>
      <c r="R156" s="35" t="str">
        <f aca="true">IF(OR($B156="",$Q156=""),"",DATEDIF($Q156,TODAY(),"Y"))</f>
        <v/>
      </c>
      <c r="S156" s="40" t="str">
        <f aca="false">IF($R156="","",INDEX(usia_label,MATCH($R156,usia_min,1)))</f>
        <v/>
      </c>
      <c r="T156" s="36"/>
      <c r="U156" s="41"/>
      <c r="V156" s="36"/>
      <c r="W156" s="36"/>
      <c r="X156" s="40" t="str">
        <f aca="false">IF($M156="","",$M156&amp;"#"&amp;COUNTIF($M$4:$M156,$M156))</f>
        <v/>
      </c>
      <c r="Y156" s="40" t="str">
        <f aca="false">IF($B156="","",IF($C156="","NIK kosong",IF(LEN($C156)&lt;&gt;16,"NIK bukan 16 digit",IF(COUNTIF($C$4:$C$2003,$C156&amp;"*")&gt;1,"NIK ganda",IF(AND($D156&lt;&gt;"",LEN($D156)&lt;&gt;16),"No. KK bukan 16 digit",IF(AND($F156="",$I156=""),"Alamat kosong",IF($N156="","Jabatan kosong",IF($O156="","No. HP kosong",IF(AND($R156&lt;&gt;"",$R156&lt;17),"Usia di bawah 17","")))))))))</f>
        <v/>
      </c>
      <c r="Z156" s="40" t="str">
        <f aca="false">IF($B156="","",IF(AND(OR(CARI!$C$5="",ISNUMBER(SEARCH(CARI!$C$5,$B156&amp;" "&amp;$C156&amp;" "&amp;$D156&amp;" "&amp;$O156&amp;" "&amp;$I156&amp;" "&amp;$F156&amp;" "&amp;$J156&amp;" "&amp;$K156&amp;" "&amp;$L156&amp;" "&amp;$V156))),OR(CARI!$C$6="",$F156=CARI!$C$6),OR(CARI!$C$7="",$G156=CARI!$C$7),OR(CARI!$C$8="",$T156=CARI!$C$8)),MAX($Z$3:Z155)+1,""))</f>
        <v/>
      </c>
      <c r="AA156" s="40" t="str">
        <f aca="false">IF($Y156="","",MAX($AA$3:AA155)+1)</f>
        <v/>
      </c>
      <c r="AB156" s="40" t="str">
        <f aca="false">IF($F156="","",$F156&amp;"#"&amp;COUNTIF($F$4:$F156,$F156))</f>
        <v/>
      </c>
      <c r="AC156" s="40" t="str">
        <f aca="false">IF($B156="","",IF(AND(OR(CETAK!$J$10="",$F156=CETAK!$J$10),OR(CETAK!$J$11="",$G156=CETAK!$J$11),OR(CETAK!$J$12="",$P156=CETAK!$J$12),OR(CETAK!$J$13="",$N156=CETAK!$J$13),OR(CETAK!$J$14="",$T156=CETAK!$J$14)),MAX($AC$3:AC155)+1,""))</f>
        <v/>
      </c>
      <c r="AD156" s="40" t="str">
        <f aca="false">IF($B156="","",IF(AND(OR(ABSENSI!$H$10="",$F156=ABSENSI!$H$10),OR(ABSENSI!$H$11="",$G156=ABSENSI!$H$11),OR(ABSENSI!$H$12="",$P156=ABSENSI!$H$12)),MAX($AD$3:AD155)+1,""))</f>
        <v/>
      </c>
      <c r="AE156" s="40" t="str">
        <f aca="false">IF($B156="","",IF(AND(OR(KARTU!$K$6="",$F156=KARTU!$K$6),OR(KARTU!$K$7="",$G156=KARTU!$K$7),OR(KARTU!$K$8="",$P156=KARTU!$K$8)),MAX($AE$3:AE155)+1,""))</f>
        <v/>
      </c>
    </row>
    <row r="157" customFormat="false" ht="15" hidden="false" customHeight="false" outlineLevel="0" collapsed="false">
      <c r="A157" s="35" t="str">
        <f aca="false">IF($B157="","",COUNTA($B$4:$B157))</f>
        <v/>
      </c>
      <c r="B157" s="36"/>
      <c r="C157" s="37"/>
      <c r="D157" s="37"/>
      <c r="E157" s="38"/>
      <c r="F157" s="36"/>
      <c r="G157" s="39"/>
      <c r="H157" s="39"/>
      <c r="I157" s="36"/>
      <c r="J157" s="36"/>
      <c r="K157" s="36"/>
      <c r="L157" s="36"/>
      <c r="M157" s="40" t="str">
        <f aca="false">IF($F157="","",$F157&amp;IF($G157="",""," - RT "&amp;$G157&amp;IF($H157="","","/"&amp;$H157)))</f>
        <v/>
      </c>
      <c r="N157" s="36"/>
      <c r="O157" s="37"/>
      <c r="P157" s="39"/>
      <c r="Q157" s="41"/>
      <c r="R157" s="35" t="str">
        <f aca="true">IF(OR($B157="",$Q157=""),"",DATEDIF($Q157,TODAY(),"Y"))</f>
        <v/>
      </c>
      <c r="S157" s="40" t="str">
        <f aca="false">IF($R157="","",INDEX(usia_label,MATCH($R157,usia_min,1)))</f>
        <v/>
      </c>
      <c r="T157" s="36"/>
      <c r="U157" s="41"/>
      <c r="V157" s="36"/>
      <c r="W157" s="36"/>
      <c r="X157" s="40" t="str">
        <f aca="false">IF($M157="","",$M157&amp;"#"&amp;COUNTIF($M$4:$M157,$M157))</f>
        <v/>
      </c>
      <c r="Y157" s="40" t="str">
        <f aca="false">IF($B157="","",IF($C157="","NIK kosong",IF(LEN($C157)&lt;&gt;16,"NIK bukan 16 digit",IF(COUNTIF($C$4:$C$2003,$C157&amp;"*")&gt;1,"NIK ganda",IF(AND($D157&lt;&gt;"",LEN($D157)&lt;&gt;16),"No. KK bukan 16 digit",IF(AND($F157="",$I157=""),"Alamat kosong",IF($N157="","Jabatan kosong",IF($O157="","No. HP kosong",IF(AND($R157&lt;&gt;"",$R157&lt;17),"Usia di bawah 17","")))))))))</f>
        <v/>
      </c>
      <c r="Z157" s="40" t="str">
        <f aca="false">IF($B157="","",IF(AND(OR(CARI!$C$5="",ISNUMBER(SEARCH(CARI!$C$5,$B157&amp;" "&amp;$C157&amp;" "&amp;$D157&amp;" "&amp;$O157&amp;" "&amp;$I157&amp;" "&amp;$F157&amp;" "&amp;$J157&amp;" "&amp;$K157&amp;" "&amp;$L157&amp;" "&amp;$V157))),OR(CARI!$C$6="",$F157=CARI!$C$6),OR(CARI!$C$7="",$G157=CARI!$C$7),OR(CARI!$C$8="",$T157=CARI!$C$8)),MAX($Z$3:Z156)+1,""))</f>
        <v/>
      </c>
      <c r="AA157" s="40" t="str">
        <f aca="false">IF($Y157="","",MAX($AA$3:AA156)+1)</f>
        <v/>
      </c>
      <c r="AB157" s="40" t="str">
        <f aca="false">IF($F157="","",$F157&amp;"#"&amp;COUNTIF($F$4:$F157,$F157))</f>
        <v/>
      </c>
      <c r="AC157" s="40" t="str">
        <f aca="false">IF($B157="","",IF(AND(OR(CETAK!$J$10="",$F157=CETAK!$J$10),OR(CETAK!$J$11="",$G157=CETAK!$J$11),OR(CETAK!$J$12="",$P157=CETAK!$J$12),OR(CETAK!$J$13="",$N157=CETAK!$J$13),OR(CETAK!$J$14="",$T157=CETAK!$J$14)),MAX($AC$3:AC156)+1,""))</f>
        <v/>
      </c>
      <c r="AD157" s="40" t="str">
        <f aca="false">IF($B157="","",IF(AND(OR(ABSENSI!$H$10="",$F157=ABSENSI!$H$10),OR(ABSENSI!$H$11="",$G157=ABSENSI!$H$11),OR(ABSENSI!$H$12="",$P157=ABSENSI!$H$12)),MAX($AD$3:AD156)+1,""))</f>
        <v/>
      </c>
      <c r="AE157" s="40" t="str">
        <f aca="false">IF($B157="","",IF(AND(OR(KARTU!$K$6="",$F157=KARTU!$K$6),OR(KARTU!$K$7="",$G157=KARTU!$K$7),OR(KARTU!$K$8="",$P157=KARTU!$K$8)),MAX($AE$3:AE156)+1,""))</f>
        <v/>
      </c>
    </row>
    <row r="158" customFormat="false" ht="15" hidden="false" customHeight="false" outlineLevel="0" collapsed="false">
      <c r="A158" s="35" t="str">
        <f aca="false">IF($B158="","",COUNTA($B$4:$B158))</f>
        <v/>
      </c>
      <c r="B158" s="36"/>
      <c r="C158" s="37"/>
      <c r="D158" s="37"/>
      <c r="E158" s="38"/>
      <c r="F158" s="36"/>
      <c r="G158" s="39"/>
      <c r="H158" s="39"/>
      <c r="I158" s="36"/>
      <c r="J158" s="36"/>
      <c r="K158" s="36"/>
      <c r="L158" s="36"/>
      <c r="M158" s="40" t="str">
        <f aca="false">IF($F158="","",$F158&amp;IF($G158="",""," - RT "&amp;$G158&amp;IF($H158="","","/"&amp;$H158)))</f>
        <v/>
      </c>
      <c r="N158" s="36"/>
      <c r="O158" s="37"/>
      <c r="P158" s="39"/>
      <c r="Q158" s="41"/>
      <c r="R158" s="35" t="str">
        <f aca="true">IF(OR($B158="",$Q158=""),"",DATEDIF($Q158,TODAY(),"Y"))</f>
        <v/>
      </c>
      <c r="S158" s="40" t="str">
        <f aca="false">IF($R158="","",INDEX(usia_label,MATCH($R158,usia_min,1)))</f>
        <v/>
      </c>
      <c r="T158" s="36"/>
      <c r="U158" s="41"/>
      <c r="V158" s="36"/>
      <c r="W158" s="36"/>
      <c r="X158" s="40" t="str">
        <f aca="false">IF($M158="","",$M158&amp;"#"&amp;COUNTIF($M$4:$M158,$M158))</f>
        <v/>
      </c>
      <c r="Y158" s="40" t="str">
        <f aca="false">IF($B158="","",IF($C158="","NIK kosong",IF(LEN($C158)&lt;&gt;16,"NIK bukan 16 digit",IF(COUNTIF($C$4:$C$2003,$C158&amp;"*")&gt;1,"NIK ganda",IF(AND($D158&lt;&gt;"",LEN($D158)&lt;&gt;16),"No. KK bukan 16 digit",IF(AND($F158="",$I158=""),"Alamat kosong",IF($N158="","Jabatan kosong",IF($O158="","No. HP kosong",IF(AND($R158&lt;&gt;"",$R158&lt;17),"Usia di bawah 17","")))))))))</f>
        <v/>
      </c>
      <c r="Z158" s="40" t="str">
        <f aca="false">IF($B158="","",IF(AND(OR(CARI!$C$5="",ISNUMBER(SEARCH(CARI!$C$5,$B158&amp;" "&amp;$C158&amp;" "&amp;$D158&amp;" "&amp;$O158&amp;" "&amp;$I158&amp;" "&amp;$F158&amp;" "&amp;$J158&amp;" "&amp;$K158&amp;" "&amp;$L158&amp;" "&amp;$V158))),OR(CARI!$C$6="",$F158=CARI!$C$6),OR(CARI!$C$7="",$G158=CARI!$C$7),OR(CARI!$C$8="",$T158=CARI!$C$8)),MAX($Z$3:Z157)+1,""))</f>
        <v/>
      </c>
      <c r="AA158" s="40" t="str">
        <f aca="false">IF($Y158="","",MAX($AA$3:AA157)+1)</f>
        <v/>
      </c>
      <c r="AB158" s="40" t="str">
        <f aca="false">IF($F158="","",$F158&amp;"#"&amp;COUNTIF($F$4:$F158,$F158))</f>
        <v/>
      </c>
      <c r="AC158" s="40" t="str">
        <f aca="false">IF($B158="","",IF(AND(OR(CETAK!$J$10="",$F158=CETAK!$J$10),OR(CETAK!$J$11="",$G158=CETAK!$J$11),OR(CETAK!$J$12="",$P158=CETAK!$J$12),OR(CETAK!$J$13="",$N158=CETAK!$J$13),OR(CETAK!$J$14="",$T158=CETAK!$J$14)),MAX($AC$3:AC157)+1,""))</f>
        <v/>
      </c>
      <c r="AD158" s="40" t="str">
        <f aca="false">IF($B158="","",IF(AND(OR(ABSENSI!$H$10="",$F158=ABSENSI!$H$10),OR(ABSENSI!$H$11="",$G158=ABSENSI!$H$11),OR(ABSENSI!$H$12="",$P158=ABSENSI!$H$12)),MAX($AD$3:AD157)+1,""))</f>
        <v/>
      </c>
      <c r="AE158" s="40" t="str">
        <f aca="false">IF($B158="","",IF(AND(OR(KARTU!$K$6="",$F158=KARTU!$K$6),OR(KARTU!$K$7="",$G158=KARTU!$K$7),OR(KARTU!$K$8="",$P158=KARTU!$K$8)),MAX($AE$3:AE157)+1,""))</f>
        <v/>
      </c>
    </row>
    <row r="159" customFormat="false" ht="15" hidden="false" customHeight="false" outlineLevel="0" collapsed="false">
      <c r="A159" s="35" t="str">
        <f aca="false">IF($B159="","",COUNTA($B$4:$B159))</f>
        <v/>
      </c>
      <c r="B159" s="36"/>
      <c r="C159" s="37"/>
      <c r="D159" s="37"/>
      <c r="E159" s="38"/>
      <c r="F159" s="36"/>
      <c r="G159" s="39"/>
      <c r="H159" s="39"/>
      <c r="I159" s="36"/>
      <c r="J159" s="36"/>
      <c r="K159" s="36"/>
      <c r="L159" s="36"/>
      <c r="M159" s="40" t="str">
        <f aca="false">IF($F159="","",$F159&amp;IF($G159="",""," - RT "&amp;$G159&amp;IF($H159="","","/"&amp;$H159)))</f>
        <v/>
      </c>
      <c r="N159" s="36"/>
      <c r="O159" s="37"/>
      <c r="P159" s="39"/>
      <c r="Q159" s="41"/>
      <c r="R159" s="35" t="str">
        <f aca="true">IF(OR($B159="",$Q159=""),"",DATEDIF($Q159,TODAY(),"Y"))</f>
        <v/>
      </c>
      <c r="S159" s="40" t="str">
        <f aca="false">IF($R159="","",INDEX(usia_label,MATCH($R159,usia_min,1)))</f>
        <v/>
      </c>
      <c r="T159" s="36"/>
      <c r="U159" s="41"/>
      <c r="V159" s="36"/>
      <c r="W159" s="36"/>
      <c r="X159" s="40" t="str">
        <f aca="false">IF($M159="","",$M159&amp;"#"&amp;COUNTIF($M$4:$M159,$M159))</f>
        <v/>
      </c>
      <c r="Y159" s="40" t="str">
        <f aca="false">IF($B159="","",IF($C159="","NIK kosong",IF(LEN($C159)&lt;&gt;16,"NIK bukan 16 digit",IF(COUNTIF($C$4:$C$2003,$C159&amp;"*")&gt;1,"NIK ganda",IF(AND($D159&lt;&gt;"",LEN($D159)&lt;&gt;16),"No. KK bukan 16 digit",IF(AND($F159="",$I159=""),"Alamat kosong",IF($N159="","Jabatan kosong",IF($O159="","No. HP kosong",IF(AND($R159&lt;&gt;"",$R159&lt;17),"Usia di bawah 17","")))))))))</f>
        <v/>
      </c>
      <c r="Z159" s="40" t="str">
        <f aca="false">IF($B159="","",IF(AND(OR(CARI!$C$5="",ISNUMBER(SEARCH(CARI!$C$5,$B159&amp;" "&amp;$C159&amp;" "&amp;$D159&amp;" "&amp;$O159&amp;" "&amp;$I159&amp;" "&amp;$F159&amp;" "&amp;$J159&amp;" "&amp;$K159&amp;" "&amp;$L159&amp;" "&amp;$V159))),OR(CARI!$C$6="",$F159=CARI!$C$6),OR(CARI!$C$7="",$G159=CARI!$C$7),OR(CARI!$C$8="",$T159=CARI!$C$8)),MAX($Z$3:Z158)+1,""))</f>
        <v/>
      </c>
      <c r="AA159" s="40" t="str">
        <f aca="false">IF($Y159="","",MAX($AA$3:AA158)+1)</f>
        <v/>
      </c>
      <c r="AB159" s="40" t="str">
        <f aca="false">IF($F159="","",$F159&amp;"#"&amp;COUNTIF($F$4:$F159,$F159))</f>
        <v/>
      </c>
      <c r="AC159" s="40" t="str">
        <f aca="false">IF($B159="","",IF(AND(OR(CETAK!$J$10="",$F159=CETAK!$J$10),OR(CETAK!$J$11="",$G159=CETAK!$J$11),OR(CETAK!$J$12="",$P159=CETAK!$J$12),OR(CETAK!$J$13="",$N159=CETAK!$J$13),OR(CETAK!$J$14="",$T159=CETAK!$J$14)),MAX($AC$3:AC158)+1,""))</f>
        <v/>
      </c>
      <c r="AD159" s="40" t="str">
        <f aca="false">IF($B159="","",IF(AND(OR(ABSENSI!$H$10="",$F159=ABSENSI!$H$10),OR(ABSENSI!$H$11="",$G159=ABSENSI!$H$11),OR(ABSENSI!$H$12="",$P159=ABSENSI!$H$12)),MAX($AD$3:AD158)+1,""))</f>
        <v/>
      </c>
      <c r="AE159" s="40" t="str">
        <f aca="false">IF($B159="","",IF(AND(OR(KARTU!$K$6="",$F159=KARTU!$K$6),OR(KARTU!$K$7="",$G159=KARTU!$K$7),OR(KARTU!$K$8="",$P159=KARTU!$K$8)),MAX($AE$3:AE158)+1,""))</f>
        <v/>
      </c>
    </row>
    <row r="160" customFormat="false" ht="15" hidden="false" customHeight="false" outlineLevel="0" collapsed="false">
      <c r="A160" s="35" t="str">
        <f aca="false">IF($B160="","",COUNTA($B$4:$B160))</f>
        <v/>
      </c>
      <c r="B160" s="36"/>
      <c r="C160" s="37"/>
      <c r="D160" s="37"/>
      <c r="E160" s="38"/>
      <c r="F160" s="36"/>
      <c r="G160" s="39"/>
      <c r="H160" s="39"/>
      <c r="I160" s="36"/>
      <c r="J160" s="36"/>
      <c r="K160" s="36"/>
      <c r="L160" s="36"/>
      <c r="M160" s="40" t="str">
        <f aca="false">IF($F160="","",$F160&amp;IF($G160="",""," - RT "&amp;$G160&amp;IF($H160="","","/"&amp;$H160)))</f>
        <v/>
      </c>
      <c r="N160" s="36"/>
      <c r="O160" s="37"/>
      <c r="P160" s="39"/>
      <c r="Q160" s="41"/>
      <c r="R160" s="35" t="str">
        <f aca="true">IF(OR($B160="",$Q160=""),"",DATEDIF($Q160,TODAY(),"Y"))</f>
        <v/>
      </c>
      <c r="S160" s="40" t="str">
        <f aca="false">IF($R160="","",INDEX(usia_label,MATCH($R160,usia_min,1)))</f>
        <v/>
      </c>
      <c r="T160" s="36"/>
      <c r="U160" s="41"/>
      <c r="V160" s="36"/>
      <c r="W160" s="36"/>
      <c r="X160" s="40" t="str">
        <f aca="false">IF($M160="","",$M160&amp;"#"&amp;COUNTIF($M$4:$M160,$M160))</f>
        <v/>
      </c>
      <c r="Y160" s="40" t="str">
        <f aca="false">IF($B160="","",IF($C160="","NIK kosong",IF(LEN($C160)&lt;&gt;16,"NIK bukan 16 digit",IF(COUNTIF($C$4:$C$2003,$C160&amp;"*")&gt;1,"NIK ganda",IF(AND($D160&lt;&gt;"",LEN($D160)&lt;&gt;16),"No. KK bukan 16 digit",IF(AND($F160="",$I160=""),"Alamat kosong",IF($N160="","Jabatan kosong",IF($O160="","No. HP kosong",IF(AND($R160&lt;&gt;"",$R160&lt;17),"Usia di bawah 17","")))))))))</f>
        <v/>
      </c>
      <c r="Z160" s="40" t="str">
        <f aca="false">IF($B160="","",IF(AND(OR(CARI!$C$5="",ISNUMBER(SEARCH(CARI!$C$5,$B160&amp;" "&amp;$C160&amp;" "&amp;$D160&amp;" "&amp;$O160&amp;" "&amp;$I160&amp;" "&amp;$F160&amp;" "&amp;$J160&amp;" "&amp;$K160&amp;" "&amp;$L160&amp;" "&amp;$V160))),OR(CARI!$C$6="",$F160=CARI!$C$6),OR(CARI!$C$7="",$G160=CARI!$C$7),OR(CARI!$C$8="",$T160=CARI!$C$8)),MAX($Z$3:Z159)+1,""))</f>
        <v/>
      </c>
      <c r="AA160" s="40" t="str">
        <f aca="false">IF($Y160="","",MAX($AA$3:AA159)+1)</f>
        <v/>
      </c>
      <c r="AB160" s="40" t="str">
        <f aca="false">IF($F160="","",$F160&amp;"#"&amp;COUNTIF($F$4:$F160,$F160))</f>
        <v/>
      </c>
      <c r="AC160" s="40" t="str">
        <f aca="false">IF($B160="","",IF(AND(OR(CETAK!$J$10="",$F160=CETAK!$J$10),OR(CETAK!$J$11="",$G160=CETAK!$J$11),OR(CETAK!$J$12="",$P160=CETAK!$J$12),OR(CETAK!$J$13="",$N160=CETAK!$J$13),OR(CETAK!$J$14="",$T160=CETAK!$J$14)),MAX($AC$3:AC159)+1,""))</f>
        <v/>
      </c>
      <c r="AD160" s="40" t="str">
        <f aca="false">IF($B160="","",IF(AND(OR(ABSENSI!$H$10="",$F160=ABSENSI!$H$10),OR(ABSENSI!$H$11="",$G160=ABSENSI!$H$11),OR(ABSENSI!$H$12="",$P160=ABSENSI!$H$12)),MAX($AD$3:AD159)+1,""))</f>
        <v/>
      </c>
      <c r="AE160" s="40" t="str">
        <f aca="false">IF($B160="","",IF(AND(OR(KARTU!$K$6="",$F160=KARTU!$K$6),OR(KARTU!$K$7="",$G160=KARTU!$K$7),OR(KARTU!$K$8="",$P160=KARTU!$K$8)),MAX($AE$3:AE159)+1,""))</f>
        <v/>
      </c>
    </row>
    <row r="161" customFormat="false" ht="15" hidden="false" customHeight="false" outlineLevel="0" collapsed="false">
      <c r="A161" s="35" t="str">
        <f aca="false">IF($B161="","",COUNTA($B$4:$B161))</f>
        <v/>
      </c>
      <c r="B161" s="36"/>
      <c r="C161" s="37"/>
      <c r="D161" s="37"/>
      <c r="E161" s="38"/>
      <c r="F161" s="36"/>
      <c r="G161" s="39"/>
      <c r="H161" s="39"/>
      <c r="I161" s="36"/>
      <c r="J161" s="36"/>
      <c r="K161" s="36"/>
      <c r="L161" s="36"/>
      <c r="M161" s="40" t="str">
        <f aca="false">IF($F161="","",$F161&amp;IF($G161="",""," - RT "&amp;$G161&amp;IF($H161="","","/"&amp;$H161)))</f>
        <v/>
      </c>
      <c r="N161" s="36"/>
      <c r="O161" s="37"/>
      <c r="P161" s="39"/>
      <c r="Q161" s="41"/>
      <c r="R161" s="35" t="str">
        <f aca="true">IF(OR($B161="",$Q161=""),"",DATEDIF($Q161,TODAY(),"Y"))</f>
        <v/>
      </c>
      <c r="S161" s="40" t="str">
        <f aca="false">IF($R161="","",INDEX(usia_label,MATCH($R161,usia_min,1)))</f>
        <v/>
      </c>
      <c r="T161" s="36"/>
      <c r="U161" s="41"/>
      <c r="V161" s="36"/>
      <c r="W161" s="36"/>
      <c r="X161" s="40" t="str">
        <f aca="false">IF($M161="","",$M161&amp;"#"&amp;COUNTIF($M$4:$M161,$M161))</f>
        <v/>
      </c>
      <c r="Y161" s="40" t="str">
        <f aca="false">IF($B161="","",IF($C161="","NIK kosong",IF(LEN($C161)&lt;&gt;16,"NIK bukan 16 digit",IF(COUNTIF($C$4:$C$2003,$C161&amp;"*")&gt;1,"NIK ganda",IF(AND($D161&lt;&gt;"",LEN($D161)&lt;&gt;16),"No. KK bukan 16 digit",IF(AND($F161="",$I161=""),"Alamat kosong",IF($N161="","Jabatan kosong",IF($O161="","No. HP kosong",IF(AND($R161&lt;&gt;"",$R161&lt;17),"Usia di bawah 17","")))))))))</f>
        <v/>
      </c>
      <c r="Z161" s="40" t="str">
        <f aca="false">IF($B161="","",IF(AND(OR(CARI!$C$5="",ISNUMBER(SEARCH(CARI!$C$5,$B161&amp;" "&amp;$C161&amp;" "&amp;$D161&amp;" "&amp;$O161&amp;" "&amp;$I161&amp;" "&amp;$F161&amp;" "&amp;$J161&amp;" "&amp;$K161&amp;" "&amp;$L161&amp;" "&amp;$V161))),OR(CARI!$C$6="",$F161=CARI!$C$6),OR(CARI!$C$7="",$G161=CARI!$C$7),OR(CARI!$C$8="",$T161=CARI!$C$8)),MAX($Z$3:Z160)+1,""))</f>
        <v/>
      </c>
      <c r="AA161" s="40" t="str">
        <f aca="false">IF($Y161="","",MAX($AA$3:AA160)+1)</f>
        <v/>
      </c>
      <c r="AB161" s="40" t="str">
        <f aca="false">IF($F161="","",$F161&amp;"#"&amp;COUNTIF($F$4:$F161,$F161))</f>
        <v/>
      </c>
      <c r="AC161" s="40" t="str">
        <f aca="false">IF($B161="","",IF(AND(OR(CETAK!$J$10="",$F161=CETAK!$J$10),OR(CETAK!$J$11="",$G161=CETAK!$J$11),OR(CETAK!$J$12="",$P161=CETAK!$J$12),OR(CETAK!$J$13="",$N161=CETAK!$J$13),OR(CETAK!$J$14="",$T161=CETAK!$J$14)),MAX($AC$3:AC160)+1,""))</f>
        <v/>
      </c>
      <c r="AD161" s="40" t="str">
        <f aca="false">IF($B161="","",IF(AND(OR(ABSENSI!$H$10="",$F161=ABSENSI!$H$10),OR(ABSENSI!$H$11="",$G161=ABSENSI!$H$11),OR(ABSENSI!$H$12="",$P161=ABSENSI!$H$12)),MAX($AD$3:AD160)+1,""))</f>
        <v/>
      </c>
      <c r="AE161" s="40" t="str">
        <f aca="false">IF($B161="","",IF(AND(OR(KARTU!$K$6="",$F161=KARTU!$K$6),OR(KARTU!$K$7="",$G161=KARTU!$K$7),OR(KARTU!$K$8="",$P161=KARTU!$K$8)),MAX($AE$3:AE160)+1,""))</f>
        <v/>
      </c>
    </row>
    <row r="162" customFormat="false" ht="15" hidden="false" customHeight="false" outlineLevel="0" collapsed="false">
      <c r="A162" s="35" t="str">
        <f aca="false">IF($B162="","",COUNTA($B$4:$B162))</f>
        <v/>
      </c>
      <c r="B162" s="36"/>
      <c r="C162" s="37"/>
      <c r="D162" s="37"/>
      <c r="E162" s="38"/>
      <c r="F162" s="36"/>
      <c r="G162" s="39"/>
      <c r="H162" s="39"/>
      <c r="I162" s="36"/>
      <c r="J162" s="36"/>
      <c r="K162" s="36"/>
      <c r="L162" s="36"/>
      <c r="M162" s="40" t="str">
        <f aca="false">IF($F162="","",$F162&amp;IF($G162="",""," - RT "&amp;$G162&amp;IF($H162="","","/"&amp;$H162)))</f>
        <v/>
      </c>
      <c r="N162" s="36"/>
      <c r="O162" s="37"/>
      <c r="P162" s="39"/>
      <c r="Q162" s="41"/>
      <c r="R162" s="35" t="str">
        <f aca="true">IF(OR($B162="",$Q162=""),"",DATEDIF($Q162,TODAY(),"Y"))</f>
        <v/>
      </c>
      <c r="S162" s="40" t="str">
        <f aca="false">IF($R162="","",INDEX(usia_label,MATCH($R162,usia_min,1)))</f>
        <v/>
      </c>
      <c r="T162" s="36"/>
      <c r="U162" s="41"/>
      <c r="V162" s="36"/>
      <c r="W162" s="36"/>
      <c r="X162" s="40" t="str">
        <f aca="false">IF($M162="","",$M162&amp;"#"&amp;COUNTIF($M$4:$M162,$M162))</f>
        <v/>
      </c>
      <c r="Y162" s="40" t="str">
        <f aca="false">IF($B162="","",IF($C162="","NIK kosong",IF(LEN($C162)&lt;&gt;16,"NIK bukan 16 digit",IF(COUNTIF($C$4:$C$2003,$C162&amp;"*")&gt;1,"NIK ganda",IF(AND($D162&lt;&gt;"",LEN($D162)&lt;&gt;16),"No. KK bukan 16 digit",IF(AND($F162="",$I162=""),"Alamat kosong",IF($N162="","Jabatan kosong",IF($O162="","No. HP kosong",IF(AND($R162&lt;&gt;"",$R162&lt;17),"Usia di bawah 17","")))))))))</f>
        <v/>
      </c>
      <c r="Z162" s="40" t="str">
        <f aca="false">IF($B162="","",IF(AND(OR(CARI!$C$5="",ISNUMBER(SEARCH(CARI!$C$5,$B162&amp;" "&amp;$C162&amp;" "&amp;$D162&amp;" "&amp;$O162&amp;" "&amp;$I162&amp;" "&amp;$F162&amp;" "&amp;$J162&amp;" "&amp;$K162&amp;" "&amp;$L162&amp;" "&amp;$V162))),OR(CARI!$C$6="",$F162=CARI!$C$6),OR(CARI!$C$7="",$G162=CARI!$C$7),OR(CARI!$C$8="",$T162=CARI!$C$8)),MAX($Z$3:Z161)+1,""))</f>
        <v/>
      </c>
      <c r="AA162" s="40" t="str">
        <f aca="false">IF($Y162="","",MAX($AA$3:AA161)+1)</f>
        <v/>
      </c>
      <c r="AB162" s="40" t="str">
        <f aca="false">IF($F162="","",$F162&amp;"#"&amp;COUNTIF($F$4:$F162,$F162))</f>
        <v/>
      </c>
      <c r="AC162" s="40" t="str">
        <f aca="false">IF($B162="","",IF(AND(OR(CETAK!$J$10="",$F162=CETAK!$J$10),OR(CETAK!$J$11="",$G162=CETAK!$J$11),OR(CETAK!$J$12="",$P162=CETAK!$J$12),OR(CETAK!$J$13="",$N162=CETAK!$J$13),OR(CETAK!$J$14="",$T162=CETAK!$J$14)),MAX($AC$3:AC161)+1,""))</f>
        <v/>
      </c>
      <c r="AD162" s="40" t="str">
        <f aca="false">IF($B162="","",IF(AND(OR(ABSENSI!$H$10="",$F162=ABSENSI!$H$10),OR(ABSENSI!$H$11="",$G162=ABSENSI!$H$11),OR(ABSENSI!$H$12="",$P162=ABSENSI!$H$12)),MAX($AD$3:AD161)+1,""))</f>
        <v/>
      </c>
      <c r="AE162" s="40" t="str">
        <f aca="false">IF($B162="","",IF(AND(OR(KARTU!$K$6="",$F162=KARTU!$K$6),OR(KARTU!$K$7="",$G162=KARTU!$K$7),OR(KARTU!$K$8="",$P162=KARTU!$K$8)),MAX($AE$3:AE161)+1,""))</f>
        <v/>
      </c>
    </row>
    <row r="163" customFormat="false" ht="15" hidden="false" customHeight="false" outlineLevel="0" collapsed="false">
      <c r="A163" s="35" t="str">
        <f aca="false">IF($B163="","",COUNTA($B$4:$B163))</f>
        <v/>
      </c>
      <c r="B163" s="36"/>
      <c r="C163" s="37"/>
      <c r="D163" s="37"/>
      <c r="E163" s="38"/>
      <c r="F163" s="36"/>
      <c r="G163" s="39"/>
      <c r="H163" s="39"/>
      <c r="I163" s="36"/>
      <c r="J163" s="36"/>
      <c r="K163" s="36"/>
      <c r="L163" s="36"/>
      <c r="M163" s="40" t="str">
        <f aca="false">IF($F163="","",$F163&amp;IF($G163="",""," - RT "&amp;$G163&amp;IF($H163="","","/"&amp;$H163)))</f>
        <v/>
      </c>
      <c r="N163" s="36"/>
      <c r="O163" s="37"/>
      <c r="P163" s="39"/>
      <c r="Q163" s="41"/>
      <c r="R163" s="35" t="str">
        <f aca="true">IF(OR($B163="",$Q163=""),"",DATEDIF($Q163,TODAY(),"Y"))</f>
        <v/>
      </c>
      <c r="S163" s="40" t="str">
        <f aca="false">IF($R163="","",INDEX(usia_label,MATCH($R163,usia_min,1)))</f>
        <v/>
      </c>
      <c r="T163" s="36"/>
      <c r="U163" s="41"/>
      <c r="V163" s="36"/>
      <c r="W163" s="36"/>
      <c r="X163" s="40" t="str">
        <f aca="false">IF($M163="","",$M163&amp;"#"&amp;COUNTIF($M$4:$M163,$M163))</f>
        <v/>
      </c>
      <c r="Y163" s="40" t="str">
        <f aca="false">IF($B163="","",IF($C163="","NIK kosong",IF(LEN($C163)&lt;&gt;16,"NIK bukan 16 digit",IF(COUNTIF($C$4:$C$2003,$C163&amp;"*")&gt;1,"NIK ganda",IF(AND($D163&lt;&gt;"",LEN($D163)&lt;&gt;16),"No. KK bukan 16 digit",IF(AND($F163="",$I163=""),"Alamat kosong",IF($N163="","Jabatan kosong",IF($O163="","No. HP kosong",IF(AND($R163&lt;&gt;"",$R163&lt;17),"Usia di bawah 17","")))))))))</f>
        <v/>
      </c>
      <c r="Z163" s="40" t="str">
        <f aca="false">IF($B163="","",IF(AND(OR(CARI!$C$5="",ISNUMBER(SEARCH(CARI!$C$5,$B163&amp;" "&amp;$C163&amp;" "&amp;$D163&amp;" "&amp;$O163&amp;" "&amp;$I163&amp;" "&amp;$F163&amp;" "&amp;$J163&amp;" "&amp;$K163&amp;" "&amp;$L163&amp;" "&amp;$V163))),OR(CARI!$C$6="",$F163=CARI!$C$6),OR(CARI!$C$7="",$G163=CARI!$C$7),OR(CARI!$C$8="",$T163=CARI!$C$8)),MAX($Z$3:Z162)+1,""))</f>
        <v/>
      </c>
      <c r="AA163" s="40" t="str">
        <f aca="false">IF($Y163="","",MAX($AA$3:AA162)+1)</f>
        <v/>
      </c>
      <c r="AB163" s="40" t="str">
        <f aca="false">IF($F163="","",$F163&amp;"#"&amp;COUNTIF($F$4:$F163,$F163))</f>
        <v/>
      </c>
      <c r="AC163" s="40" t="str">
        <f aca="false">IF($B163="","",IF(AND(OR(CETAK!$J$10="",$F163=CETAK!$J$10),OR(CETAK!$J$11="",$G163=CETAK!$J$11),OR(CETAK!$J$12="",$P163=CETAK!$J$12),OR(CETAK!$J$13="",$N163=CETAK!$J$13),OR(CETAK!$J$14="",$T163=CETAK!$J$14)),MAX($AC$3:AC162)+1,""))</f>
        <v/>
      </c>
      <c r="AD163" s="40" t="str">
        <f aca="false">IF($B163="","",IF(AND(OR(ABSENSI!$H$10="",$F163=ABSENSI!$H$10),OR(ABSENSI!$H$11="",$G163=ABSENSI!$H$11),OR(ABSENSI!$H$12="",$P163=ABSENSI!$H$12)),MAX($AD$3:AD162)+1,""))</f>
        <v/>
      </c>
      <c r="AE163" s="40" t="str">
        <f aca="false">IF($B163="","",IF(AND(OR(KARTU!$K$6="",$F163=KARTU!$K$6),OR(KARTU!$K$7="",$G163=KARTU!$K$7),OR(KARTU!$K$8="",$P163=KARTU!$K$8)),MAX($AE$3:AE162)+1,""))</f>
        <v/>
      </c>
    </row>
    <row r="164" customFormat="false" ht="15" hidden="false" customHeight="false" outlineLevel="0" collapsed="false">
      <c r="A164" s="35" t="str">
        <f aca="false">IF($B164="","",COUNTA($B$4:$B164))</f>
        <v/>
      </c>
      <c r="B164" s="36"/>
      <c r="C164" s="37"/>
      <c r="D164" s="37"/>
      <c r="E164" s="38"/>
      <c r="F164" s="36"/>
      <c r="G164" s="39"/>
      <c r="H164" s="39"/>
      <c r="I164" s="36"/>
      <c r="J164" s="36"/>
      <c r="K164" s="36"/>
      <c r="L164" s="36"/>
      <c r="M164" s="40" t="str">
        <f aca="false">IF($F164="","",$F164&amp;IF($G164="",""," - RT "&amp;$G164&amp;IF($H164="","","/"&amp;$H164)))</f>
        <v/>
      </c>
      <c r="N164" s="36"/>
      <c r="O164" s="37"/>
      <c r="P164" s="39"/>
      <c r="Q164" s="41"/>
      <c r="R164" s="35" t="str">
        <f aca="true">IF(OR($B164="",$Q164=""),"",DATEDIF($Q164,TODAY(),"Y"))</f>
        <v/>
      </c>
      <c r="S164" s="40" t="str">
        <f aca="false">IF($R164="","",INDEX(usia_label,MATCH($R164,usia_min,1)))</f>
        <v/>
      </c>
      <c r="T164" s="36"/>
      <c r="U164" s="41"/>
      <c r="V164" s="36"/>
      <c r="W164" s="36"/>
      <c r="X164" s="40" t="str">
        <f aca="false">IF($M164="","",$M164&amp;"#"&amp;COUNTIF($M$4:$M164,$M164))</f>
        <v/>
      </c>
      <c r="Y164" s="40" t="str">
        <f aca="false">IF($B164="","",IF($C164="","NIK kosong",IF(LEN($C164)&lt;&gt;16,"NIK bukan 16 digit",IF(COUNTIF($C$4:$C$2003,$C164&amp;"*")&gt;1,"NIK ganda",IF(AND($D164&lt;&gt;"",LEN($D164)&lt;&gt;16),"No. KK bukan 16 digit",IF(AND($F164="",$I164=""),"Alamat kosong",IF($N164="","Jabatan kosong",IF($O164="","No. HP kosong",IF(AND($R164&lt;&gt;"",$R164&lt;17),"Usia di bawah 17","")))))))))</f>
        <v/>
      </c>
      <c r="Z164" s="40" t="str">
        <f aca="false">IF($B164="","",IF(AND(OR(CARI!$C$5="",ISNUMBER(SEARCH(CARI!$C$5,$B164&amp;" "&amp;$C164&amp;" "&amp;$D164&amp;" "&amp;$O164&amp;" "&amp;$I164&amp;" "&amp;$F164&amp;" "&amp;$J164&amp;" "&amp;$K164&amp;" "&amp;$L164&amp;" "&amp;$V164))),OR(CARI!$C$6="",$F164=CARI!$C$6),OR(CARI!$C$7="",$G164=CARI!$C$7),OR(CARI!$C$8="",$T164=CARI!$C$8)),MAX($Z$3:Z163)+1,""))</f>
        <v/>
      </c>
      <c r="AA164" s="40" t="str">
        <f aca="false">IF($Y164="","",MAX($AA$3:AA163)+1)</f>
        <v/>
      </c>
      <c r="AB164" s="40" t="str">
        <f aca="false">IF($F164="","",$F164&amp;"#"&amp;COUNTIF($F$4:$F164,$F164))</f>
        <v/>
      </c>
      <c r="AC164" s="40" t="str">
        <f aca="false">IF($B164="","",IF(AND(OR(CETAK!$J$10="",$F164=CETAK!$J$10),OR(CETAK!$J$11="",$G164=CETAK!$J$11),OR(CETAK!$J$12="",$P164=CETAK!$J$12),OR(CETAK!$J$13="",$N164=CETAK!$J$13),OR(CETAK!$J$14="",$T164=CETAK!$J$14)),MAX($AC$3:AC163)+1,""))</f>
        <v/>
      </c>
      <c r="AD164" s="40" t="str">
        <f aca="false">IF($B164="","",IF(AND(OR(ABSENSI!$H$10="",$F164=ABSENSI!$H$10),OR(ABSENSI!$H$11="",$G164=ABSENSI!$H$11),OR(ABSENSI!$H$12="",$P164=ABSENSI!$H$12)),MAX($AD$3:AD163)+1,""))</f>
        <v/>
      </c>
      <c r="AE164" s="40" t="str">
        <f aca="false">IF($B164="","",IF(AND(OR(KARTU!$K$6="",$F164=KARTU!$K$6),OR(KARTU!$K$7="",$G164=KARTU!$K$7),OR(KARTU!$K$8="",$P164=KARTU!$K$8)),MAX($AE$3:AE163)+1,""))</f>
        <v/>
      </c>
    </row>
    <row r="165" customFormat="false" ht="15" hidden="false" customHeight="false" outlineLevel="0" collapsed="false">
      <c r="A165" s="35" t="str">
        <f aca="false">IF($B165="","",COUNTA($B$4:$B165))</f>
        <v/>
      </c>
      <c r="B165" s="36"/>
      <c r="C165" s="37"/>
      <c r="D165" s="37"/>
      <c r="E165" s="38"/>
      <c r="F165" s="36"/>
      <c r="G165" s="39"/>
      <c r="H165" s="39"/>
      <c r="I165" s="36"/>
      <c r="J165" s="36"/>
      <c r="K165" s="36"/>
      <c r="L165" s="36"/>
      <c r="M165" s="40" t="str">
        <f aca="false">IF($F165="","",$F165&amp;IF($G165="",""," - RT "&amp;$G165&amp;IF($H165="","","/"&amp;$H165)))</f>
        <v/>
      </c>
      <c r="N165" s="36"/>
      <c r="O165" s="37"/>
      <c r="P165" s="39"/>
      <c r="Q165" s="41"/>
      <c r="R165" s="35" t="str">
        <f aca="true">IF(OR($B165="",$Q165=""),"",DATEDIF($Q165,TODAY(),"Y"))</f>
        <v/>
      </c>
      <c r="S165" s="40" t="str">
        <f aca="false">IF($R165="","",INDEX(usia_label,MATCH($R165,usia_min,1)))</f>
        <v/>
      </c>
      <c r="T165" s="36"/>
      <c r="U165" s="41"/>
      <c r="V165" s="36"/>
      <c r="W165" s="36"/>
      <c r="X165" s="40" t="str">
        <f aca="false">IF($M165="","",$M165&amp;"#"&amp;COUNTIF($M$4:$M165,$M165))</f>
        <v/>
      </c>
      <c r="Y165" s="40" t="str">
        <f aca="false">IF($B165="","",IF($C165="","NIK kosong",IF(LEN($C165)&lt;&gt;16,"NIK bukan 16 digit",IF(COUNTIF($C$4:$C$2003,$C165&amp;"*")&gt;1,"NIK ganda",IF(AND($D165&lt;&gt;"",LEN($D165)&lt;&gt;16),"No. KK bukan 16 digit",IF(AND($F165="",$I165=""),"Alamat kosong",IF($N165="","Jabatan kosong",IF($O165="","No. HP kosong",IF(AND($R165&lt;&gt;"",$R165&lt;17),"Usia di bawah 17","")))))))))</f>
        <v/>
      </c>
      <c r="Z165" s="40" t="str">
        <f aca="false">IF($B165="","",IF(AND(OR(CARI!$C$5="",ISNUMBER(SEARCH(CARI!$C$5,$B165&amp;" "&amp;$C165&amp;" "&amp;$D165&amp;" "&amp;$O165&amp;" "&amp;$I165&amp;" "&amp;$F165&amp;" "&amp;$J165&amp;" "&amp;$K165&amp;" "&amp;$L165&amp;" "&amp;$V165))),OR(CARI!$C$6="",$F165=CARI!$C$6),OR(CARI!$C$7="",$G165=CARI!$C$7),OR(CARI!$C$8="",$T165=CARI!$C$8)),MAX($Z$3:Z164)+1,""))</f>
        <v/>
      </c>
      <c r="AA165" s="40" t="str">
        <f aca="false">IF($Y165="","",MAX($AA$3:AA164)+1)</f>
        <v/>
      </c>
      <c r="AB165" s="40" t="str">
        <f aca="false">IF($F165="","",$F165&amp;"#"&amp;COUNTIF($F$4:$F165,$F165))</f>
        <v/>
      </c>
      <c r="AC165" s="40" t="str">
        <f aca="false">IF($B165="","",IF(AND(OR(CETAK!$J$10="",$F165=CETAK!$J$10),OR(CETAK!$J$11="",$G165=CETAK!$J$11),OR(CETAK!$J$12="",$P165=CETAK!$J$12),OR(CETAK!$J$13="",$N165=CETAK!$J$13),OR(CETAK!$J$14="",$T165=CETAK!$J$14)),MAX($AC$3:AC164)+1,""))</f>
        <v/>
      </c>
      <c r="AD165" s="40" t="str">
        <f aca="false">IF($B165="","",IF(AND(OR(ABSENSI!$H$10="",$F165=ABSENSI!$H$10),OR(ABSENSI!$H$11="",$G165=ABSENSI!$H$11),OR(ABSENSI!$H$12="",$P165=ABSENSI!$H$12)),MAX($AD$3:AD164)+1,""))</f>
        <v/>
      </c>
      <c r="AE165" s="40" t="str">
        <f aca="false">IF($B165="","",IF(AND(OR(KARTU!$K$6="",$F165=KARTU!$K$6),OR(KARTU!$K$7="",$G165=KARTU!$K$7),OR(KARTU!$K$8="",$P165=KARTU!$K$8)),MAX($AE$3:AE164)+1,""))</f>
        <v/>
      </c>
    </row>
    <row r="166" customFormat="false" ht="15" hidden="false" customHeight="false" outlineLevel="0" collapsed="false">
      <c r="A166" s="35" t="str">
        <f aca="false">IF($B166="","",COUNTA($B$4:$B166))</f>
        <v/>
      </c>
      <c r="B166" s="36"/>
      <c r="C166" s="37"/>
      <c r="D166" s="37"/>
      <c r="E166" s="38"/>
      <c r="F166" s="36"/>
      <c r="G166" s="39"/>
      <c r="H166" s="39"/>
      <c r="I166" s="36"/>
      <c r="J166" s="36"/>
      <c r="K166" s="36"/>
      <c r="L166" s="36"/>
      <c r="M166" s="40" t="str">
        <f aca="false">IF($F166="","",$F166&amp;IF($G166="",""," - RT "&amp;$G166&amp;IF($H166="","","/"&amp;$H166)))</f>
        <v/>
      </c>
      <c r="N166" s="36"/>
      <c r="O166" s="37"/>
      <c r="P166" s="39"/>
      <c r="Q166" s="41"/>
      <c r="R166" s="35" t="str">
        <f aca="true">IF(OR($B166="",$Q166=""),"",DATEDIF($Q166,TODAY(),"Y"))</f>
        <v/>
      </c>
      <c r="S166" s="40" t="str">
        <f aca="false">IF($R166="","",INDEX(usia_label,MATCH($R166,usia_min,1)))</f>
        <v/>
      </c>
      <c r="T166" s="36"/>
      <c r="U166" s="41"/>
      <c r="V166" s="36"/>
      <c r="W166" s="36"/>
      <c r="X166" s="40" t="str">
        <f aca="false">IF($M166="","",$M166&amp;"#"&amp;COUNTIF($M$4:$M166,$M166))</f>
        <v/>
      </c>
      <c r="Y166" s="40" t="str">
        <f aca="false">IF($B166="","",IF($C166="","NIK kosong",IF(LEN($C166)&lt;&gt;16,"NIK bukan 16 digit",IF(COUNTIF($C$4:$C$2003,$C166&amp;"*")&gt;1,"NIK ganda",IF(AND($D166&lt;&gt;"",LEN($D166)&lt;&gt;16),"No. KK bukan 16 digit",IF(AND($F166="",$I166=""),"Alamat kosong",IF($N166="","Jabatan kosong",IF($O166="","No. HP kosong",IF(AND($R166&lt;&gt;"",$R166&lt;17),"Usia di bawah 17","")))))))))</f>
        <v/>
      </c>
      <c r="Z166" s="40" t="str">
        <f aca="false">IF($B166="","",IF(AND(OR(CARI!$C$5="",ISNUMBER(SEARCH(CARI!$C$5,$B166&amp;" "&amp;$C166&amp;" "&amp;$D166&amp;" "&amp;$O166&amp;" "&amp;$I166&amp;" "&amp;$F166&amp;" "&amp;$J166&amp;" "&amp;$K166&amp;" "&amp;$L166&amp;" "&amp;$V166))),OR(CARI!$C$6="",$F166=CARI!$C$6),OR(CARI!$C$7="",$G166=CARI!$C$7),OR(CARI!$C$8="",$T166=CARI!$C$8)),MAX($Z$3:Z165)+1,""))</f>
        <v/>
      </c>
      <c r="AA166" s="40" t="str">
        <f aca="false">IF($Y166="","",MAX($AA$3:AA165)+1)</f>
        <v/>
      </c>
      <c r="AB166" s="40" t="str">
        <f aca="false">IF($F166="","",$F166&amp;"#"&amp;COUNTIF($F$4:$F166,$F166))</f>
        <v/>
      </c>
      <c r="AC166" s="40" t="str">
        <f aca="false">IF($B166="","",IF(AND(OR(CETAK!$J$10="",$F166=CETAK!$J$10),OR(CETAK!$J$11="",$G166=CETAK!$J$11),OR(CETAK!$J$12="",$P166=CETAK!$J$12),OR(CETAK!$J$13="",$N166=CETAK!$J$13),OR(CETAK!$J$14="",$T166=CETAK!$J$14)),MAX($AC$3:AC165)+1,""))</f>
        <v/>
      </c>
      <c r="AD166" s="40" t="str">
        <f aca="false">IF($B166="","",IF(AND(OR(ABSENSI!$H$10="",$F166=ABSENSI!$H$10),OR(ABSENSI!$H$11="",$G166=ABSENSI!$H$11),OR(ABSENSI!$H$12="",$P166=ABSENSI!$H$12)),MAX($AD$3:AD165)+1,""))</f>
        <v/>
      </c>
      <c r="AE166" s="40" t="str">
        <f aca="false">IF($B166="","",IF(AND(OR(KARTU!$K$6="",$F166=KARTU!$K$6),OR(KARTU!$K$7="",$G166=KARTU!$K$7),OR(KARTU!$K$8="",$P166=KARTU!$K$8)),MAX($AE$3:AE165)+1,""))</f>
        <v/>
      </c>
    </row>
    <row r="167" customFormat="false" ht="15" hidden="false" customHeight="false" outlineLevel="0" collapsed="false">
      <c r="A167" s="35" t="str">
        <f aca="false">IF($B167="","",COUNTA($B$4:$B167))</f>
        <v/>
      </c>
      <c r="B167" s="36"/>
      <c r="C167" s="37"/>
      <c r="D167" s="37"/>
      <c r="E167" s="38"/>
      <c r="F167" s="36"/>
      <c r="G167" s="39"/>
      <c r="H167" s="39"/>
      <c r="I167" s="36"/>
      <c r="J167" s="36"/>
      <c r="K167" s="36"/>
      <c r="L167" s="36"/>
      <c r="M167" s="40" t="str">
        <f aca="false">IF($F167="","",$F167&amp;IF($G167="",""," - RT "&amp;$G167&amp;IF($H167="","","/"&amp;$H167)))</f>
        <v/>
      </c>
      <c r="N167" s="36"/>
      <c r="O167" s="37"/>
      <c r="P167" s="39"/>
      <c r="Q167" s="41"/>
      <c r="R167" s="35" t="str">
        <f aca="true">IF(OR($B167="",$Q167=""),"",DATEDIF($Q167,TODAY(),"Y"))</f>
        <v/>
      </c>
      <c r="S167" s="40" t="str">
        <f aca="false">IF($R167="","",INDEX(usia_label,MATCH($R167,usia_min,1)))</f>
        <v/>
      </c>
      <c r="T167" s="36"/>
      <c r="U167" s="41"/>
      <c r="V167" s="36"/>
      <c r="W167" s="36"/>
      <c r="X167" s="40" t="str">
        <f aca="false">IF($M167="","",$M167&amp;"#"&amp;COUNTIF($M$4:$M167,$M167))</f>
        <v/>
      </c>
      <c r="Y167" s="40" t="str">
        <f aca="false">IF($B167="","",IF($C167="","NIK kosong",IF(LEN($C167)&lt;&gt;16,"NIK bukan 16 digit",IF(COUNTIF($C$4:$C$2003,$C167&amp;"*")&gt;1,"NIK ganda",IF(AND($D167&lt;&gt;"",LEN($D167)&lt;&gt;16),"No. KK bukan 16 digit",IF(AND($F167="",$I167=""),"Alamat kosong",IF($N167="","Jabatan kosong",IF($O167="","No. HP kosong",IF(AND($R167&lt;&gt;"",$R167&lt;17),"Usia di bawah 17","")))))))))</f>
        <v/>
      </c>
      <c r="Z167" s="40" t="str">
        <f aca="false">IF($B167="","",IF(AND(OR(CARI!$C$5="",ISNUMBER(SEARCH(CARI!$C$5,$B167&amp;" "&amp;$C167&amp;" "&amp;$D167&amp;" "&amp;$O167&amp;" "&amp;$I167&amp;" "&amp;$F167&amp;" "&amp;$J167&amp;" "&amp;$K167&amp;" "&amp;$L167&amp;" "&amp;$V167))),OR(CARI!$C$6="",$F167=CARI!$C$6),OR(CARI!$C$7="",$G167=CARI!$C$7),OR(CARI!$C$8="",$T167=CARI!$C$8)),MAX($Z$3:Z166)+1,""))</f>
        <v/>
      </c>
      <c r="AA167" s="40" t="str">
        <f aca="false">IF($Y167="","",MAX($AA$3:AA166)+1)</f>
        <v/>
      </c>
      <c r="AB167" s="40" t="str">
        <f aca="false">IF($F167="","",$F167&amp;"#"&amp;COUNTIF($F$4:$F167,$F167))</f>
        <v/>
      </c>
      <c r="AC167" s="40" t="str">
        <f aca="false">IF($B167="","",IF(AND(OR(CETAK!$J$10="",$F167=CETAK!$J$10),OR(CETAK!$J$11="",$G167=CETAK!$J$11),OR(CETAK!$J$12="",$P167=CETAK!$J$12),OR(CETAK!$J$13="",$N167=CETAK!$J$13),OR(CETAK!$J$14="",$T167=CETAK!$J$14)),MAX($AC$3:AC166)+1,""))</f>
        <v/>
      </c>
      <c r="AD167" s="40" t="str">
        <f aca="false">IF($B167="","",IF(AND(OR(ABSENSI!$H$10="",$F167=ABSENSI!$H$10),OR(ABSENSI!$H$11="",$G167=ABSENSI!$H$11),OR(ABSENSI!$H$12="",$P167=ABSENSI!$H$12)),MAX($AD$3:AD166)+1,""))</f>
        <v/>
      </c>
      <c r="AE167" s="40" t="str">
        <f aca="false">IF($B167="","",IF(AND(OR(KARTU!$K$6="",$F167=KARTU!$K$6),OR(KARTU!$K$7="",$G167=KARTU!$K$7),OR(KARTU!$K$8="",$P167=KARTU!$K$8)),MAX($AE$3:AE166)+1,""))</f>
        <v/>
      </c>
    </row>
    <row r="168" customFormat="false" ht="15" hidden="false" customHeight="false" outlineLevel="0" collapsed="false">
      <c r="A168" s="35" t="str">
        <f aca="false">IF($B168="","",COUNTA($B$4:$B168))</f>
        <v/>
      </c>
      <c r="B168" s="36"/>
      <c r="C168" s="37"/>
      <c r="D168" s="37"/>
      <c r="E168" s="38"/>
      <c r="F168" s="36"/>
      <c r="G168" s="39"/>
      <c r="H168" s="39"/>
      <c r="I168" s="36"/>
      <c r="J168" s="36"/>
      <c r="K168" s="36"/>
      <c r="L168" s="36"/>
      <c r="M168" s="40" t="str">
        <f aca="false">IF($F168="","",$F168&amp;IF($G168="",""," - RT "&amp;$G168&amp;IF($H168="","","/"&amp;$H168)))</f>
        <v/>
      </c>
      <c r="N168" s="36"/>
      <c r="O168" s="37"/>
      <c r="P168" s="39"/>
      <c r="Q168" s="41"/>
      <c r="R168" s="35" t="str">
        <f aca="true">IF(OR($B168="",$Q168=""),"",DATEDIF($Q168,TODAY(),"Y"))</f>
        <v/>
      </c>
      <c r="S168" s="40" t="str">
        <f aca="false">IF($R168="","",INDEX(usia_label,MATCH($R168,usia_min,1)))</f>
        <v/>
      </c>
      <c r="T168" s="36"/>
      <c r="U168" s="41"/>
      <c r="V168" s="36"/>
      <c r="W168" s="36"/>
      <c r="X168" s="40" t="str">
        <f aca="false">IF($M168="","",$M168&amp;"#"&amp;COUNTIF($M$4:$M168,$M168))</f>
        <v/>
      </c>
      <c r="Y168" s="40" t="str">
        <f aca="false">IF($B168="","",IF($C168="","NIK kosong",IF(LEN($C168)&lt;&gt;16,"NIK bukan 16 digit",IF(COUNTIF($C$4:$C$2003,$C168&amp;"*")&gt;1,"NIK ganda",IF(AND($D168&lt;&gt;"",LEN($D168)&lt;&gt;16),"No. KK bukan 16 digit",IF(AND($F168="",$I168=""),"Alamat kosong",IF($N168="","Jabatan kosong",IF($O168="","No. HP kosong",IF(AND($R168&lt;&gt;"",$R168&lt;17),"Usia di bawah 17","")))))))))</f>
        <v/>
      </c>
      <c r="Z168" s="40" t="str">
        <f aca="false">IF($B168="","",IF(AND(OR(CARI!$C$5="",ISNUMBER(SEARCH(CARI!$C$5,$B168&amp;" "&amp;$C168&amp;" "&amp;$D168&amp;" "&amp;$O168&amp;" "&amp;$I168&amp;" "&amp;$F168&amp;" "&amp;$J168&amp;" "&amp;$K168&amp;" "&amp;$L168&amp;" "&amp;$V168))),OR(CARI!$C$6="",$F168=CARI!$C$6),OR(CARI!$C$7="",$G168=CARI!$C$7),OR(CARI!$C$8="",$T168=CARI!$C$8)),MAX($Z$3:Z167)+1,""))</f>
        <v/>
      </c>
      <c r="AA168" s="40" t="str">
        <f aca="false">IF($Y168="","",MAX($AA$3:AA167)+1)</f>
        <v/>
      </c>
      <c r="AB168" s="40" t="str">
        <f aca="false">IF($F168="","",$F168&amp;"#"&amp;COUNTIF($F$4:$F168,$F168))</f>
        <v/>
      </c>
      <c r="AC168" s="40" t="str">
        <f aca="false">IF($B168="","",IF(AND(OR(CETAK!$J$10="",$F168=CETAK!$J$10),OR(CETAK!$J$11="",$G168=CETAK!$J$11),OR(CETAK!$J$12="",$P168=CETAK!$J$12),OR(CETAK!$J$13="",$N168=CETAK!$J$13),OR(CETAK!$J$14="",$T168=CETAK!$J$14)),MAX($AC$3:AC167)+1,""))</f>
        <v/>
      </c>
      <c r="AD168" s="40" t="str">
        <f aca="false">IF($B168="","",IF(AND(OR(ABSENSI!$H$10="",$F168=ABSENSI!$H$10),OR(ABSENSI!$H$11="",$G168=ABSENSI!$H$11),OR(ABSENSI!$H$12="",$P168=ABSENSI!$H$12)),MAX($AD$3:AD167)+1,""))</f>
        <v/>
      </c>
      <c r="AE168" s="40" t="str">
        <f aca="false">IF($B168="","",IF(AND(OR(KARTU!$K$6="",$F168=KARTU!$K$6),OR(KARTU!$K$7="",$G168=KARTU!$K$7),OR(KARTU!$K$8="",$P168=KARTU!$K$8)),MAX($AE$3:AE167)+1,""))</f>
        <v/>
      </c>
    </row>
    <row r="169" customFormat="false" ht="15" hidden="false" customHeight="false" outlineLevel="0" collapsed="false">
      <c r="A169" s="35" t="str">
        <f aca="false">IF($B169="","",COUNTA($B$4:$B169))</f>
        <v/>
      </c>
      <c r="B169" s="36"/>
      <c r="C169" s="37"/>
      <c r="D169" s="37"/>
      <c r="E169" s="38"/>
      <c r="F169" s="36"/>
      <c r="G169" s="39"/>
      <c r="H169" s="39"/>
      <c r="I169" s="36"/>
      <c r="J169" s="36"/>
      <c r="K169" s="36"/>
      <c r="L169" s="36"/>
      <c r="M169" s="40" t="str">
        <f aca="false">IF($F169="","",$F169&amp;IF($G169="",""," - RT "&amp;$G169&amp;IF($H169="","","/"&amp;$H169)))</f>
        <v/>
      </c>
      <c r="N169" s="36"/>
      <c r="O169" s="37"/>
      <c r="P169" s="39"/>
      <c r="Q169" s="41"/>
      <c r="R169" s="35" t="str">
        <f aca="true">IF(OR($B169="",$Q169=""),"",DATEDIF($Q169,TODAY(),"Y"))</f>
        <v/>
      </c>
      <c r="S169" s="40" t="str">
        <f aca="false">IF($R169="","",INDEX(usia_label,MATCH($R169,usia_min,1)))</f>
        <v/>
      </c>
      <c r="T169" s="36"/>
      <c r="U169" s="41"/>
      <c r="V169" s="36"/>
      <c r="W169" s="36"/>
      <c r="X169" s="40" t="str">
        <f aca="false">IF($M169="","",$M169&amp;"#"&amp;COUNTIF($M$4:$M169,$M169))</f>
        <v/>
      </c>
      <c r="Y169" s="40" t="str">
        <f aca="false">IF($B169="","",IF($C169="","NIK kosong",IF(LEN($C169)&lt;&gt;16,"NIK bukan 16 digit",IF(COUNTIF($C$4:$C$2003,$C169&amp;"*")&gt;1,"NIK ganda",IF(AND($D169&lt;&gt;"",LEN($D169)&lt;&gt;16),"No. KK bukan 16 digit",IF(AND($F169="",$I169=""),"Alamat kosong",IF($N169="","Jabatan kosong",IF($O169="","No. HP kosong",IF(AND($R169&lt;&gt;"",$R169&lt;17),"Usia di bawah 17","")))))))))</f>
        <v/>
      </c>
      <c r="Z169" s="40" t="str">
        <f aca="false">IF($B169="","",IF(AND(OR(CARI!$C$5="",ISNUMBER(SEARCH(CARI!$C$5,$B169&amp;" "&amp;$C169&amp;" "&amp;$D169&amp;" "&amp;$O169&amp;" "&amp;$I169&amp;" "&amp;$F169&amp;" "&amp;$J169&amp;" "&amp;$K169&amp;" "&amp;$L169&amp;" "&amp;$V169))),OR(CARI!$C$6="",$F169=CARI!$C$6),OR(CARI!$C$7="",$G169=CARI!$C$7),OR(CARI!$C$8="",$T169=CARI!$C$8)),MAX($Z$3:Z168)+1,""))</f>
        <v/>
      </c>
      <c r="AA169" s="40" t="str">
        <f aca="false">IF($Y169="","",MAX($AA$3:AA168)+1)</f>
        <v/>
      </c>
      <c r="AB169" s="40" t="str">
        <f aca="false">IF($F169="","",$F169&amp;"#"&amp;COUNTIF($F$4:$F169,$F169))</f>
        <v/>
      </c>
      <c r="AC169" s="40" t="str">
        <f aca="false">IF($B169="","",IF(AND(OR(CETAK!$J$10="",$F169=CETAK!$J$10),OR(CETAK!$J$11="",$G169=CETAK!$J$11),OR(CETAK!$J$12="",$P169=CETAK!$J$12),OR(CETAK!$J$13="",$N169=CETAK!$J$13),OR(CETAK!$J$14="",$T169=CETAK!$J$14)),MAX($AC$3:AC168)+1,""))</f>
        <v/>
      </c>
      <c r="AD169" s="40" t="str">
        <f aca="false">IF($B169="","",IF(AND(OR(ABSENSI!$H$10="",$F169=ABSENSI!$H$10),OR(ABSENSI!$H$11="",$G169=ABSENSI!$H$11),OR(ABSENSI!$H$12="",$P169=ABSENSI!$H$12)),MAX($AD$3:AD168)+1,""))</f>
        <v/>
      </c>
      <c r="AE169" s="40" t="str">
        <f aca="false">IF($B169="","",IF(AND(OR(KARTU!$K$6="",$F169=KARTU!$K$6),OR(KARTU!$K$7="",$G169=KARTU!$K$7),OR(KARTU!$K$8="",$P169=KARTU!$K$8)),MAX($AE$3:AE168)+1,""))</f>
        <v/>
      </c>
    </row>
    <row r="170" customFormat="false" ht="15" hidden="false" customHeight="false" outlineLevel="0" collapsed="false">
      <c r="A170" s="35" t="str">
        <f aca="false">IF($B170="","",COUNTA($B$4:$B170))</f>
        <v/>
      </c>
      <c r="B170" s="36"/>
      <c r="C170" s="37"/>
      <c r="D170" s="37"/>
      <c r="E170" s="38"/>
      <c r="F170" s="36"/>
      <c r="G170" s="39"/>
      <c r="H170" s="39"/>
      <c r="I170" s="36"/>
      <c r="J170" s="36"/>
      <c r="K170" s="36"/>
      <c r="L170" s="36"/>
      <c r="M170" s="40" t="str">
        <f aca="false">IF($F170="","",$F170&amp;IF($G170="",""," - RT "&amp;$G170&amp;IF($H170="","","/"&amp;$H170)))</f>
        <v/>
      </c>
      <c r="N170" s="36"/>
      <c r="O170" s="37"/>
      <c r="P170" s="39"/>
      <c r="Q170" s="41"/>
      <c r="R170" s="35" t="str">
        <f aca="true">IF(OR($B170="",$Q170=""),"",DATEDIF($Q170,TODAY(),"Y"))</f>
        <v/>
      </c>
      <c r="S170" s="40" t="str">
        <f aca="false">IF($R170="","",INDEX(usia_label,MATCH($R170,usia_min,1)))</f>
        <v/>
      </c>
      <c r="T170" s="36"/>
      <c r="U170" s="41"/>
      <c r="V170" s="36"/>
      <c r="W170" s="36"/>
      <c r="X170" s="40" t="str">
        <f aca="false">IF($M170="","",$M170&amp;"#"&amp;COUNTIF($M$4:$M170,$M170))</f>
        <v/>
      </c>
      <c r="Y170" s="40" t="str">
        <f aca="false">IF($B170="","",IF($C170="","NIK kosong",IF(LEN($C170)&lt;&gt;16,"NIK bukan 16 digit",IF(COUNTIF($C$4:$C$2003,$C170&amp;"*")&gt;1,"NIK ganda",IF(AND($D170&lt;&gt;"",LEN($D170)&lt;&gt;16),"No. KK bukan 16 digit",IF(AND($F170="",$I170=""),"Alamat kosong",IF($N170="","Jabatan kosong",IF($O170="","No. HP kosong",IF(AND($R170&lt;&gt;"",$R170&lt;17),"Usia di bawah 17","")))))))))</f>
        <v/>
      </c>
      <c r="Z170" s="40" t="str">
        <f aca="false">IF($B170="","",IF(AND(OR(CARI!$C$5="",ISNUMBER(SEARCH(CARI!$C$5,$B170&amp;" "&amp;$C170&amp;" "&amp;$D170&amp;" "&amp;$O170&amp;" "&amp;$I170&amp;" "&amp;$F170&amp;" "&amp;$J170&amp;" "&amp;$K170&amp;" "&amp;$L170&amp;" "&amp;$V170))),OR(CARI!$C$6="",$F170=CARI!$C$6),OR(CARI!$C$7="",$G170=CARI!$C$7),OR(CARI!$C$8="",$T170=CARI!$C$8)),MAX($Z$3:Z169)+1,""))</f>
        <v/>
      </c>
      <c r="AA170" s="40" t="str">
        <f aca="false">IF($Y170="","",MAX($AA$3:AA169)+1)</f>
        <v/>
      </c>
      <c r="AB170" s="40" t="str">
        <f aca="false">IF($F170="","",$F170&amp;"#"&amp;COUNTIF($F$4:$F170,$F170))</f>
        <v/>
      </c>
      <c r="AC170" s="40" t="str">
        <f aca="false">IF($B170="","",IF(AND(OR(CETAK!$J$10="",$F170=CETAK!$J$10),OR(CETAK!$J$11="",$G170=CETAK!$J$11),OR(CETAK!$J$12="",$P170=CETAK!$J$12),OR(CETAK!$J$13="",$N170=CETAK!$J$13),OR(CETAK!$J$14="",$T170=CETAK!$J$14)),MAX($AC$3:AC169)+1,""))</f>
        <v/>
      </c>
      <c r="AD170" s="40" t="str">
        <f aca="false">IF($B170="","",IF(AND(OR(ABSENSI!$H$10="",$F170=ABSENSI!$H$10),OR(ABSENSI!$H$11="",$G170=ABSENSI!$H$11),OR(ABSENSI!$H$12="",$P170=ABSENSI!$H$12)),MAX($AD$3:AD169)+1,""))</f>
        <v/>
      </c>
      <c r="AE170" s="40" t="str">
        <f aca="false">IF($B170="","",IF(AND(OR(KARTU!$K$6="",$F170=KARTU!$K$6),OR(KARTU!$K$7="",$G170=KARTU!$K$7),OR(KARTU!$K$8="",$P170=KARTU!$K$8)),MAX($AE$3:AE169)+1,""))</f>
        <v/>
      </c>
    </row>
    <row r="171" customFormat="false" ht="15" hidden="false" customHeight="false" outlineLevel="0" collapsed="false">
      <c r="A171" s="35" t="str">
        <f aca="false">IF($B171="","",COUNTA($B$4:$B171))</f>
        <v/>
      </c>
      <c r="B171" s="36"/>
      <c r="C171" s="37"/>
      <c r="D171" s="37"/>
      <c r="E171" s="38"/>
      <c r="F171" s="36"/>
      <c r="G171" s="39"/>
      <c r="H171" s="39"/>
      <c r="I171" s="36"/>
      <c r="J171" s="36"/>
      <c r="K171" s="36"/>
      <c r="L171" s="36"/>
      <c r="M171" s="40" t="str">
        <f aca="false">IF($F171="","",$F171&amp;IF($G171="",""," - RT "&amp;$G171&amp;IF($H171="","","/"&amp;$H171)))</f>
        <v/>
      </c>
      <c r="N171" s="36"/>
      <c r="O171" s="37"/>
      <c r="P171" s="39"/>
      <c r="Q171" s="41"/>
      <c r="R171" s="35" t="str">
        <f aca="true">IF(OR($B171="",$Q171=""),"",DATEDIF($Q171,TODAY(),"Y"))</f>
        <v/>
      </c>
      <c r="S171" s="40" t="str">
        <f aca="false">IF($R171="","",INDEX(usia_label,MATCH($R171,usia_min,1)))</f>
        <v/>
      </c>
      <c r="T171" s="36"/>
      <c r="U171" s="41"/>
      <c r="V171" s="36"/>
      <c r="W171" s="36"/>
      <c r="X171" s="40" t="str">
        <f aca="false">IF($M171="","",$M171&amp;"#"&amp;COUNTIF($M$4:$M171,$M171))</f>
        <v/>
      </c>
      <c r="Y171" s="40" t="str">
        <f aca="false">IF($B171="","",IF($C171="","NIK kosong",IF(LEN($C171)&lt;&gt;16,"NIK bukan 16 digit",IF(COUNTIF($C$4:$C$2003,$C171&amp;"*")&gt;1,"NIK ganda",IF(AND($D171&lt;&gt;"",LEN($D171)&lt;&gt;16),"No. KK bukan 16 digit",IF(AND($F171="",$I171=""),"Alamat kosong",IF($N171="","Jabatan kosong",IF($O171="","No. HP kosong",IF(AND($R171&lt;&gt;"",$R171&lt;17),"Usia di bawah 17","")))))))))</f>
        <v/>
      </c>
      <c r="Z171" s="40" t="str">
        <f aca="false">IF($B171="","",IF(AND(OR(CARI!$C$5="",ISNUMBER(SEARCH(CARI!$C$5,$B171&amp;" "&amp;$C171&amp;" "&amp;$D171&amp;" "&amp;$O171&amp;" "&amp;$I171&amp;" "&amp;$F171&amp;" "&amp;$J171&amp;" "&amp;$K171&amp;" "&amp;$L171&amp;" "&amp;$V171))),OR(CARI!$C$6="",$F171=CARI!$C$6),OR(CARI!$C$7="",$G171=CARI!$C$7),OR(CARI!$C$8="",$T171=CARI!$C$8)),MAX($Z$3:Z170)+1,""))</f>
        <v/>
      </c>
      <c r="AA171" s="40" t="str">
        <f aca="false">IF($Y171="","",MAX($AA$3:AA170)+1)</f>
        <v/>
      </c>
      <c r="AB171" s="40" t="str">
        <f aca="false">IF($F171="","",$F171&amp;"#"&amp;COUNTIF($F$4:$F171,$F171))</f>
        <v/>
      </c>
      <c r="AC171" s="40" t="str">
        <f aca="false">IF($B171="","",IF(AND(OR(CETAK!$J$10="",$F171=CETAK!$J$10),OR(CETAK!$J$11="",$G171=CETAK!$J$11),OR(CETAK!$J$12="",$P171=CETAK!$J$12),OR(CETAK!$J$13="",$N171=CETAK!$J$13),OR(CETAK!$J$14="",$T171=CETAK!$J$14)),MAX($AC$3:AC170)+1,""))</f>
        <v/>
      </c>
      <c r="AD171" s="40" t="str">
        <f aca="false">IF($B171="","",IF(AND(OR(ABSENSI!$H$10="",$F171=ABSENSI!$H$10),OR(ABSENSI!$H$11="",$G171=ABSENSI!$H$11),OR(ABSENSI!$H$12="",$P171=ABSENSI!$H$12)),MAX($AD$3:AD170)+1,""))</f>
        <v/>
      </c>
      <c r="AE171" s="40" t="str">
        <f aca="false">IF($B171="","",IF(AND(OR(KARTU!$K$6="",$F171=KARTU!$K$6),OR(KARTU!$K$7="",$G171=KARTU!$K$7),OR(KARTU!$K$8="",$P171=KARTU!$K$8)),MAX($AE$3:AE170)+1,""))</f>
        <v/>
      </c>
    </row>
    <row r="172" customFormat="false" ht="15" hidden="false" customHeight="false" outlineLevel="0" collapsed="false">
      <c r="A172" s="35" t="str">
        <f aca="false">IF($B172="","",COUNTA($B$4:$B172))</f>
        <v/>
      </c>
      <c r="B172" s="36"/>
      <c r="C172" s="37"/>
      <c r="D172" s="37"/>
      <c r="E172" s="38"/>
      <c r="F172" s="36"/>
      <c r="G172" s="39"/>
      <c r="H172" s="39"/>
      <c r="I172" s="36"/>
      <c r="J172" s="36"/>
      <c r="K172" s="36"/>
      <c r="L172" s="36"/>
      <c r="M172" s="40" t="str">
        <f aca="false">IF($F172="","",$F172&amp;IF($G172="",""," - RT "&amp;$G172&amp;IF($H172="","","/"&amp;$H172)))</f>
        <v/>
      </c>
      <c r="N172" s="36"/>
      <c r="O172" s="37"/>
      <c r="P172" s="39"/>
      <c r="Q172" s="41"/>
      <c r="R172" s="35" t="str">
        <f aca="true">IF(OR($B172="",$Q172=""),"",DATEDIF($Q172,TODAY(),"Y"))</f>
        <v/>
      </c>
      <c r="S172" s="40" t="str">
        <f aca="false">IF($R172="","",INDEX(usia_label,MATCH($R172,usia_min,1)))</f>
        <v/>
      </c>
      <c r="T172" s="36"/>
      <c r="U172" s="41"/>
      <c r="V172" s="36"/>
      <c r="W172" s="36"/>
      <c r="X172" s="40" t="str">
        <f aca="false">IF($M172="","",$M172&amp;"#"&amp;COUNTIF($M$4:$M172,$M172))</f>
        <v/>
      </c>
      <c r="Y172" s="40" t="str">
        <f aca="false">IF($B172="","",IF($C172="","NIK kosong",IF(LEN($C172)&lt;&gt;16,"NIK bukan 16 digit",IF(COUNTIF($C$4:$C$2003,$C172&amp;"*")&gt;1,"NIK ganda",IF(AND($D172&lt;&gt;"",LEN($D172)&lt;&gt;16),"No. KK bukan 16 digit",IF(AND($F172="",$I172=""),"Alamat kosong",IF($N172="","Jabatan kosong",IF($O172="","No. HP kosong",IF(AND($R172&lt;&gt;"",$R172&lt;17),"Usia di bawah 17","")))))))))</f>
        <v/>
      </c>
      <c r="Z172" s="40" t="str">
        <f aca="false">IF($B172="","",IF(AND(OR(CARI!$C$5="",ISNUMBER(SEARCH(CARI!$C$5,$B172&amp;" "&amp;$C172&amp;" "&amp;$D172&amp;" "&amp;$O172&amp;" "&amp;$I172&amp;" "&amp;$F172&amp;" "&amp;$J172&amp;" "&amp;$K172&amp;" "&amp;$L172&amp;" "&amp;$V172))),OR(CARI!$C$6="",$F172=CARI!$C$6),OR(CARI!$C$7="",$G172=CARI!$C$7),OR(CARI!$C$8="",$T172=CARI!$C$8)),MAX($Z$3:Z171)+1,""))</f>
        <v/>
      </c>
      <c r="AA172" s="40" t="str">
        <f aca="false">IF($Y172="","",MAX($AA$3:AA171)+1)</f>
        <v/>
      </c>
      <c r="AB172" s="40" t="str">
        <f aca="false">IF($F172="","",$F172&amp;"#"&amp;COUNTIF($F$4:$F172,$F172))</f>
        <v/>
      </c>
      <c r="AC172" s="40" t="str">
        <f aca="false">IF($B172="","",IF(AND(OR(CETAK!$J$10="",$F172=CETAK!$J$10),OR(CETAK!$J$11="",$G172=CETAK!$J$11),OR(CETAK!$J$12="",$P172=CETAK!$J$12),OR(CETAK!$J$13="",$N172=CETAK!$J$13),OR(CETAK!$J$14="",$T172=CETAK!$J$14)),MAX($AC$3:AC171)+1,""))</f>
        <v/>
      </c>
      <c r="AD172" s="40" t="str">
        <f aca="false">IF($B172="","",IF(AND(OR(ABSENSI!$H$10="",$F172=ABSENSI!$H$10),OR(ABSENSI!$H$11="",$G172=ABSENSI!$H$11),OR(ABSENSI!$H$12="",$P172=ABSENSI!$H$12)),MAX($AD$3:AD171)+1,""))</f>
        <v/>
      </c>
      <c r="AE172" s="40" t="str">
        <f aca="false">IF($B172="","",IF(AND(OR(KARTU!$K$6="",$F172=KARTU!$K$6),OR(KARTU!$K$7="",$G172=KARTU!$K$7),OR(KARTU!$K$8="",$P172=KARTU!$K$8)),MAX($AE$3:AE171)+1,""))</f>
        <v/>
      </c>
    </row>
    <row r="173" customFormat="false" ht="15" hidden="false" customHeight="false" outlineLevel="0" collapsed="false">
      <c r="A173" s="35" t="str">
        <f aca="false">IF($B173="","",COUNTA($B$4:$B173))</f>
        <v/>
      </c>
      <c r="B173" s="36"/>
      <c r="C173" s="37"/>
      <c r="D173" s="37"/>
      <c r="E173" s="38"/>
      <c r="F173" s="36"/>
      <c r="G173" s="39"/>
      <c r="H173" s="39"/>
      <c r="I173" s="36"/>
      <c r="J173" s="36"/>
      <c r="K173" s="36"/>
      <c r="L173" s="36"/>
      <c r="M173" s="40" t="str">
        <f aca="false">IF($F173="","",$F173&amp;IF($G173="",""," - RT "&amp;$G173&amp;IF($H173="","","/"&amp;$H173)))</f>
        <v/>
      </c>
      <c r="N173" s="36"/>
      <c r="O173" s="37"/>
      <c r="P173" s="39"/>
      <c r="Q173" s="41"/>
      <c r="R173" s="35" t="str">
        <f aca="true">IF(OR($B173="",$Q173=""),"",DATEDIF($Q173,TODAY(),"Y"))</f>
        <v/>
      </c>
      <c r="S173" s="40" t="str">
        <f aca="false">IF($R173="","",INDEX(usia_label,MATCH($R173,usia_min,1)))</f>
        <v/>
      </c>
      <c r="T173" s="36"/>
      <c r="U173" s="41"/>
      <c r="V173" s="36"/>
      <c r="W173" s="36"/>
      <c r="X173" s="40" t="str">
        <f aca="false">IF($M173="","",$M173&amp;"#"&amp;COUNTIF($M$4:$M173,$M173))</f>
        <v/>
      </c>
      <c r="Y173" s="40" t="str">
        <f aca="false">IF($B173="","",IF($C173="","NIK kosong",IF(LEN($C173)&lt;&gt;16,"NIK bukan 16 digit",IF(COUNTIF($C$4:$C$2003,$C173&amp;"*")&gt;1,"NIK ganda",IF(AND($D173&lt;&gt;"",LEN($D173)&lt;&gt;16),"No. KK bukan 16 digit",IF(AND($F173="",$I173=""),"Alamat kosong",IF($N173="","Jabatan kosong",IF($O173="","No. HP kosong",IF(AND($R173&lt;&gt;"",$R173&lt;17),"Usia di bawah 17","")))))))))</f>
        <v/>
      </c>
      <c r="Z173" s="40" t="str">
        <f aca="false">IF($B173="","",IF(AND(OR(CARI!$C$5="",ISNUMBER(SEARCH(CARI!$C$5,$B173&amp;" "&amp;$C173&amp;" "&amp;$D173&amp;" "&amp;$O173&amp;" "&amp;$I173&amp;" "&amp;$F173&amp;" "&amp;$J173&amp;" "&amp;$K173&amp;" "&amp;$L173&amp;" "&amp;$V173))),OR(CARI!$C$6="",$F173=CARI!$C$6),OR(CARI!$C$7="",$G173=CARI!$C$7),OR(CARI!$C$8="",$T173=CARI!$C$8)),MAX($Z$3:Z172)+1,""))</f>
        <v/>
      </c>
      <c r="AA173" s="40" t="str">
        <f aca="false">IF($Y173="","",MAX($AA$3:AA172)+1)</f>
        <v/>
      </c>
      <c r="AB173" s="40" t="str">
        <f aca="false">IF($F173="","",$F173&amp;"#"&amp;COUNTIF($F$4:$F173,$F173))</f>
        <v/>
      </c>
      <c r="AC173" s="40" t="str">
        <f aca="false">IF($B173="","",IF(AND(OR(CETAK!$J$10="",$F173=CETAK!$J$10),OR(CETAK!$J$11="",$G173=CETAK!$J$11),OR(CETAK!$J$12="",$P173=CETAK!$J$12),OR(CETAK!$J$13="",$N173=CETAK!$J$13),OR(CETAK!$J$14="",$T173=CETAK!$J$14)),MAX($AC$3:AC172)+1,""))</f>
        <v/>
      </c>
      <c r="AD173" s="40" t="str">
        <f aca="false">IF($B173="","",IF(AND(OR(ABSENSI!$H$10="",$F173=ABSENSI!$H$10),OR(ABSENSI!$H$11="",$G173=ABSENSI!$H$11),OR(ABSENSI!$H$12="",$P173=ABSENSI!$H$12)),MAX($AD$3:AD172)+1,""))</f>
        <v/>
      </c>
      <c r="AE173" s="40" t="str">
        <f aca="false">IF($B173="","",IF(AND(OR(KARTU!$K$6="",$F173=KARTU!$K$6),OR(KARTU!$K$7="",$G173=KARTU!$K$7),OR(KARTU!$K$8="",$P173=KARTU!$K$8)),MAX($AE$3:AE172)+1,""))</f>
        <v/>
      </c>
    </row>
    <row r="174" customFormat="false" ht="15" hidden="false" customHeight="false" outlineLevel="0" collapsed="false">
      <c r="A174" s="35" t="str">
        <f aca="false">IF($B174="","",COUNTA($B$4:$B174))</f>
        <v/>
      </c>
      <c r="B174" s="36"/>
      <c r="C174" s="37"/>
      <c r="D174" s="37"/>
      <c r="E174" s="38"/>
      <c r="F174" s="36"/>
      <c r="G174" s="39"/>
      <c r="H174" s="39"/>
      <c r="I174" s="36"/>
      <c r="J174" s="36"/>
      <c r="K174" s="36"/>
      <c r="L174" s="36"/>
      <c r="M174" s="40" t="str">
        <f aca="false">IF($F174="","",$F174&amp;IF($G174="",""," - RT "&amp;$G174&amp;IF($H174="","","/"&amp;$H174)))</f>
        <v/>
      </c>
      <c r="N174" s="36"/>
      <c r="O174" s="37"/>
      <c r="P174" s="39"/>
      <c r="Q174" s="41"/>
      <c r="R174" s="35" t="str">
        <f aca="true">IF(OR($B174="",$Q174=""),"",DATEDIF($Q174,TODAY(),"Y"))</f>
        <v/>
      </c>
      <c r="S174" s="40" t="str">
        <f aca="false">IF($R174="","",INDEX(usia_label,MATCH($R174,usia_min,1)))</f>
        <v/>
      </c>
      <c r="T174" s="36"/>
      <c r="U174" s="41"/>
      <c r="V174" s="36"/>
      <c r="W174" s="36"/>
      <c r="X174" s="40" t="str">
        <f aca="false">IF($M174="","",$M174&amp;"#"&amp;COUNTIF($M$4:$M174,$M174))</f>
        <v/>
      </c>
      <c r="Y174" s="40" t="str">
        <f aca="false">IF($B174="","",IF($C174="","NIK kosong",IF(LEN($C174)&lt;&gt;16,"NIK bukan 16 digit",IF(COUNTIF($C$4:$C$2003,$C174&amp;"*")&gt;1,"NIK ganda",IF(AND($D174&lt;&gt;"",LEN($D174)&lt;&gt;16),"No. KK bukan 16 digit",IF(AND($F174="",$I174=""),"Alamat kosong",IF($N174="","Jabatan kosong",IF($O174="","No. HP kosong",IF(AND($R174&lt;&gt;"",$R174&lt;17),"Usia di bawah 17","")))))))))</f>
        <v/>
      </c>
      <c r="Z174" s="40" t="str">
        <f aca="false">IF($B174="","",IF(AND(OR(CARI!$C$5="",ISNUMBER(SEARCH(CARI!$C$5,$B174&amp;" "&amp;$C174&amp;" "&amp;$D174&amp;" "&amp;$O174&amp;" "&amp;$I174&amp;" "&amp;$F174&amp;" "&amp;$J174&amp;" "&amp;$K174&amp;" "&amp;$L174&amp;" "&amp;$V174))),OR(CARI!$C$6="",$F174=CARI!$C$6),OR(CARI!$C$7="",$G174=CARI!$C$7),OR(CARI!$C$8="",$T174=CARI!$C$8)),MAX($Z$3:Z173)+1,""))</f>
        <v/>
      </c>
      <c r="AA174" s="40" t="str">
        <f aca="false">IF($Y174="","",MAX($AA$3:AA173)+1)</f>
        <v/>
      </c>
      <c r="AB174" s="40" t="str">
        <f aca="false">IF($F174="","",$F174&amp;"#"&amp;COUNTIF($F$4:$F174,$F174))</f>
        <v/>
      </c>
      <c r="AC174" s="40" t="str">
        <f aca="false">IF($B174="","",IF(AND(OR(CETAK!$J$10="",$F174=CETAK!$J$10),OR(CETAK!$J$11="",$G174=CETAK!$J$11),OR(CETAK!$J$12="",$P174=CETAK!$J$12),OR(CETAK!$J$13="",$N174=CETAK!$J$13),OR(CETAK!$J$14="",$T174=CETAK!$J$14)),MAX($AC$3:AC173)+1,""))</f>
        <v/>
      </c>
      <c r="AD174" s="40" t="str">
        <f aca="false">IF($B174="","",IF(AND(OR(ABSENSI!$H$10="",$F174=ABSENSI!$H$10),OR(ABSENSI!$H$11="",$G174=ABSENSI!$H$11),OR(ABSENSI!$H$12="",$P174=ABSENSI!$H$12)),MAX($AD$3:AD173)+1,""))</f>
        <v/>
      </c>
      <c r="AE174" s="40" t="str">
        <f aca="false">IF($B174="","",IF(AND(OR(KARTU!$K$6="",$F174=KARTU!$K$6),OR(KARTU!$K$7="",$G174=KARTU!$K$7),OR(KARTU!$K$8="",$P174=KARTU!$K$8)),MAX($AE$3:AE173)+1,""))</f>
        <v/>
      </c>
    </row>
    <row r="175" customFormat="false" ht="15" hidden="false" customHeight="false" outlineLevel="0" collapsed="false">
      <c r="A175" s="35" t="str">
        <f aca="false">IF($B175="","",COUNTA($B$4:$B175))</f>
        <v/>
      </c>
      <c r="B175" s="36"/>
      <c r="C175" s="37"/>
      <c r="D175" s="37"/>
      <c r="E175" s="38"/>
      <c r="F175" s="36"/>
      <c r="G175" s="39"/>
      <c r="H175" s="39"/>
      <c r="I175" s="36"/>
      <c r="J175" s="36"/>
      <c r="K175" s="36"/>
      <c r="L175" s="36"/>
      <c r="M175" s="40" t="str">
        <f aca="false">IF($F175="","",$F175&amp;IF($G175="",""," - RT "&amp;$G175&amp;IF($H175="","","/"&amp;$H175)))</f>
        <v/>
      </c>
      <c r="N175" s="36"/>
      <c r="O175" s="37"/>
      <c r="P175" s="39"/>
      <c r="Q175" s="41"/>
      <c r="R175" s="35" t="str">
        <f aca="true">IF(OR($B175="",$Q175=""),"",DATEDIF($Q175,TODAY(),"Y"))</f>
        <v/>
      </c>
      <c r="S175" s="40" t="str">
        <f aca="false">IF($R175="","",INDEX(usia_label,MATCH($R175,usia_min,1)))</f>
        <v/>
      </c>
      <c r="T175" s="36"/>
      <c r="U175" s="41"/>
      <c r="V175" s="36"/>
      <c r="W175" s="36"/>
      <c r="X175" s="40" t="str">
        <f aca="false">IF($M175="","",$M175&amp;"#"&amp;COUNTIF($M$4:$M175,$M175))</f>
        <v/>
      </c>
      <c r="Y175" s="40" t="str">
        <f aca="false">IF($B175="","",IF($C175="","NIK kosong",IF(LEN($C175)&lt;&gt;16,"NIK bukan 16 digit",IF(COUNTIF($C$4:$C$2003,$C175&amp;"*")&gt;1,"NIK ganda",IF(AND($D175&lt;&gt;"",LEN($D175)&lt;&gt;16),"No. KK bukan 16 digit",IF(AND($F175="",$I175=""),"Alamat kosong",IF($N175="","Jabatan kosong",IF($O175="","No. HP kosong",IF(AND($R175&lt;&gt;"",$R175&lt;17),"Usia di bawah 17","")))))))))</f>
        <v/>
      </c>
      <c r="Z175" s="40" t="str">
        <f aca="false">IF($B175="","",IF(AND(OR(CARI!$C$5="",ISNUMBER(SEARCH(CARI!$C$5,$B175&amp;" "&amp;$C175&amp;" "&amp;$D175&amp;" "&amp;$O175&amp;" "&amp;$I175&amp;" "&amp;$F175&amp;" "&amp;$J175&amp;" "&amp;$K175&amp;" "&amp;$L175&amp;" "&amp;$V175))),OR(CARI!$C$6="",$F175=CARI!$C$6),OR(CARI!$C$7="",$G175=CARI!$C$7),OR(CARI!$C$8="",$T175=CARI!$C$8)),MAX($Z$3:Z174)+1,""))</f>
        <v/>
      </c>
      <c r="AA175" s="40" t="str">
        <f aca="false">IF($Y175="","",MAX($AA$3:AA174)+1)</f>
        <v/>
      </c>
      <c r="AB175" s="40" t="str">
        <f aca="false">IF($F175="","",$F175&amp;"#"&amp;COUNTIF($F$4:$F175,$F175))</f>
        <v/>
      </c>
      <c r="AC175" s="40" t="str">
        <f aca="false">IF($B175="","",IF(AND(OR(CETAK!$J$10="",$F175=CETAK!$J$10),OR(CETAK!$J$11="",$G175=CETAK!$J$11),OR(CETAK!$J$12="",$P175=CETAK!$J$12),OR(CETAK!$J$13="",$N175=CETAK!$J$13),OR(CETAK!$J$14="",$T175=CETAK!$J$14)),MAX($AC$3:AC174)+1,""))</f>
        <v/>
      </c>
      <c r="AD175" s="40" t="str">
        <f aca="false">IF($B175="","",IF(AND(OR(ABSENSI!$H$10="",$F175=ABSENSI!$H$10),OR(ABSENSI!$H$11="",$G175=ABSENSI!$H$11),OR(ABSENSI!$H$12="",$P175=ABSENSI!$H$12)),MAX($AD$3:AD174)+1,""))</f>
        <v/>
      </c>
      <c r="AE175" s="40" t="str">
        <f aca="false">IF($B175="","",IF(AND(OR(KARTU!$K$6="",$F175=KARTU!$K$6),OR(KARTU!$K$7="",$G175=KARTU!$K$7),OR(KARTU!$K$8="",$P175=KARTU!$K$8)),MAX($AE$3:AE174)+1,""))</f>
        <v/>
      </c>
    </row>
    <row r="176" customFormat="false" ht="15" hidden="false" customHeight="false" outlineLevel="0" collapsed="false">
      <c r="A176" s="35" t="str">
        <f aca="false">IF($B176="","",COUNTA($B$4:$B176))</f>
        <v/>
      </c>
      <c r="B176" s="36"/>
      <c r="C176" s="37"/>
      <c r="D176" s="37"/>
      <c r="E176" s="38"/>
      <c r="F176" s="36"/>
      <c r="G176" s="39"/>
      <c r="H176" s="39"/>
      <c r="I176" s="36"/>
      <c r="J176" s="36"/>
      <c r="K176" s="36"/>
      <c r="L176" s="36"/>
      <c r="M176" s="40" t="str">
        <f aca="false">IF($F176="","",$F176&amp;IF($G176="",""," - RT "&amp;$G176&amp;IF($H176="","","/"&amp;$H176)))</f>
        <v/>
      </c>
      <c r="N176" s="36"/>
      <c r="O176" s="37"/>
      <c r="P176" s="39"/>
      <c r="Q176" s="41"/>
      <c r="R176" s="35" t="str">
        <f aca="true">IF(OR($B176="",$Q176=""),"",DATEDIF($Q176,TODAY(),"Y"))</f>
        <v/>
      </c>
      <c r="S176" s="40" t="str">
        <f aca="false">IF($R176="","",INDEX(usia_label,MATCH($R176,usia_min,1)))</f>
        <v/>
      </c>
      <c r="T176" s="36"/>
      <c r="U176" s="41"/>
      <c r="V176" s="36"/>
      <c r="W176" s="36"/>
      <c r="X176" s="40" t="str">
        <f aca="false">IF($M176="","",$M176&amp;"#"&amp;COUNTIF($M$4:$M176,$M176))</f>
        <v/>
      </c>
      <c r="Y176" s="40" t="str">
        <f aca="false">IF($B176="","",IF($C176="","NIK kosong",IF(LEN($C176)&lt;&gt;16,"NIK bukan 16 digit",IF(COUNTIF($C$4:$C$2003,$C176&amp;"*")&gt;1,"NIK ganda",IF(AND($D176&lt;&gt;"",LEN($D176)&lt;&gt;16),"No. KK bukan 16 digit",IF(AND($F176="",$I176=""),"Alamat kosong",IF($N176="","Jabatan kosong",IF($O176="","No. HP kosong",IF(AND($R176&lt;&gt;"",$R176&lt;17),"Usia di bawah 17","")))))))))</f>
        <v/>
      </c>
      <c r="Z176" s="40" t="str">
        <f aca="false">IF($B176="","",IF(AND(OR(CARI!$C$5="",ISNUMBER(SEARCH(CARI!$C$5,$B176&amp;" "&amp;$C176&amp;" "&amp;$D176&amp;" "&amp;$O176&amp;" "&amp;$I176&amp;" "&amp;$F176&amp;" "&amp;$J176&amp;" "&amp;$K176&amp;" "&amp;$L176&amp;" "&amp;$V176))),OR(CARI!$C$6="",$F176=CARI!$C$6),OR(CARI!$C$7="",$G176=CARI!$C$7),OR(CARI!$C$8="",$T176=CARI!$C$8)),MAX($Z$3:Z175)+1,""))</f>
        <v/>
      </c>
      <c r="AA176" s="40" t="str">
        <f aca="false">IF($Y176="","",MAX($AA$3:AA175)+1)</f>
        <v/>
      </c>
      <c r="AB176" s="40" t="str">
        <f aca="false">IF($F176="","",$F176&amp;"#"&amp;COUNTIF($F$4:$F176,$F176))</f>
        <v/>
      </c>
      <c r="AC176" s="40" t="str">
        <f aca="false">IF($B176="","",IF(AND(OR(CETAK!$J$10="",$F176=CETAK!$J$10),OR(CETAK!$J$11="",$G176=CETAK!$J$11),OR(CETAK!$J$12="",$P176=CETAK!$J$12),OR(CETAK!$J$13="",$N176=CETAK!$J$13),OR(CETAK!$J$14="",$T176=CETAK!$J$14)),MAX($AC$3:AC175)+1,""))</f>
        <v/>
      </c>
      <c r="AD176" s="40" t="str">
        <f aca="false">IF($B176="","",IF(AND(OR(ABSENSI!$H$10="",$F176=ABSENSI!$H$10),OR(ABSENSI!$H$11="",$G176=ABSENSI!$H$11),OR(ABSENSI!$H$12="",$P176=ABSENSI!$H$12)),MAX($AD$3:AD175)+1,""))</f>
        <v/>
      </c>
      <c r="AE176" s="40" t="str">
        <f aca="false">IF($B176="","",IF(AND(OR(KARTU!$K$6="",$F176=KARTU!$K$6),OR(KARTU!$K$7="",$G176=KARTU!$K$7),OR(KARTU!$K$8="",$P176=KARTU!$K$8)),MAX($AE$3:AE175)+1,""))</f>
        <v/>
      </c>
    </row>
    <row r="177" customFormat="false" ht="15" hidden="false" customHeight="false" outlineLevel="0" collapsed="false">
      <c r="A177" s="35" t="str">
        <f aca="false">IF($B177="","",COUNTA($B$4:$B177))</f>
        <v/>
      </c>
      <c r="B177" s="36"/>
      <c r="C177" s="37"/>
      <c r="D177" s="37"/>
      <c r="E177" s="38"/>
      <c r="F177" s="36"/>
      <c r="G177" s="39"/>
      <c r="H177" s="39"/>
      <c r="I177" s="36"/>
      <c r="J177" s="36"/>
      <c r="K177" s="36"/>
      <c r="L177" s="36"/>
      <c r="M177" s="40" t="str">
        <f aca="false">IF($F177="","",$F177&amp;IF($G177="",""," - RT "&amp;$G177&amp;IF($H177="","","/"&amp;$H177)))</f>
        <v/>
      </c>
      <c r="N177" s="36"/>
      <c r="O177" s="37"/>
      <c r="P177" s="39"/>
      <c r="Q177" s="41"/>
      <c r="R177" s="35" t="str">
        <f aca="true">IF(OR($B177="",$Q177=""),"",DATEDIF($Q177,TODAY(),"Y"))</f>
        <v/>
      </c>
      <c r="S177" s="40" t="str">
        <f aca="false">IF($R177="","",INDEX(usia_label,MATCH($R177,usia_min,1)))</f>
        <v/>
      </c>
      <c r="T177" s="36"/>
      <c r="U177" s="41"/>
      <c r="V177" s="36"/>
      <c r="W177" s="36"/>
      <c r="X177" s="40" t="str">
        <f aca="false">IF($M177="","",$M177&amp;"#"&amp;COUNTIF($M$4:$M177,$M177))</f>
        <v/>
      </c>
      <c r="Y177" s="40" t="str">
        <f aca="false">IF($B177="","",IF($C177="","NIK kosong",IF(LEN($C177)&lt;&gt;16,"NIK bukan 16 digit",IF(COUNTIF($C$4:$C$2003,$C177&amp;"*")&gt;1,"NIK ganda",IF(AND($D177&lt;&gt;"",LEN($D177)&lt;&gt;16),"No. KK bukan 16 digit",IF(AND($F177="",$I177=""),"Alamat kosong",IF($N177="","Jabatan kosong",IF($O177="","No. HP kosong",IF(AND($R177&lt;&gt;"",$R177&lt;17),"Usia di bawah 17","")))))))))</f>
        <v/>
      </c>
      <c r="Z177" s="40" t="str">
        <f aca="false">IF($B177="","",IF(AND(OR(CARI!$C$5="",ISNUMBER(SEARCH(CARI!$C$5,$B177&amp;" "&amp;$C177&amp;" "&amp;$D177&amp;" "&amp;$O177&amp;" "&amp;$I177&amp;" "&amp;$F177&amp;" "&amp;$J177&amp;" "&amp;$K177&amp;" "&amp;$L177&amp;" "&amp;$V177))),OR(CARI!$C$6="",$F177=CARI!$C$6),OR(CARI!$C$7="",$G177=CARI!$C$7),OR(CARI!$C$8="",$T177=CARI!$C$8)),MAX($Z$3:Z176)+1,""))</f>
        <v/>
      </c>
      <c r="AA177" s="40" t="str">
        <f aca="false">IF($Y177="","",MAX($AA$3:AA176)+1)</f>
        <v/>
      </c>
      <c r="AB177" s="40" t="str">
        <f aca="false">IF($F177="","",$F177&amp;"#"&amp;COUNTIF($F$4:$F177,$F177))</f>
        <v/>
      </c>
      <c r="AC177" s="40" t="str">
        <f aca="false">IF($B177="","",IF(AND(OR(CETAK!$J$10="",$F177=CETAK!$J$10),OR(CETAK!$J$11="",$G177=CETAK!$J$11),OR(CETAK!$J$12="",$P177=CETAK!$J$12),OR(CETAK!$J$13="",$N177=CETAK!$J$13),OR(CETAK!$J$14="",$T177=CETAK!$J$14)),MAX($AC$3:AC176)+1,""))</f>
        <v/>
      </c>
      <c r="AD177" s="40" t="str">
        <f aca="false">IF($B177="","",IF(AND(OR(ABSENSI!$H$10="",$F177=ABSENSI!$H$10),OR(ABSENSI!$H$11="",$G177=ABSENSI!$H$11),OR(ABSENSI!$H$12="",$P177=ABSENSI!$H$12)),MAX($AD$3:AD176)+1,""))</f>
        <v/>
      </c>
      <c r="AE177" s="40" t="str">
        <f aca="false">IF($B177="","",IF(AND(OR(KARTU!$K$6="",$F177=KARTU!$K$6),OR(KARTU!$K$7="",$G177=KARTU!$K$7),OR(KARTU!$K$8="",$P177=KARTU!$K$8)),MAX($AE$3:AE176)+1,""))</f>
        <v/>
      </c>
    </row>
    <row r="178" customFormat="false" ht="15" hidden="false" customHeight="false" outlineLevel="0" collapsed="false">
      <c r="A178" s="35" t="str">
        <f aca="false">IF($B178="","",COUNTA($B$4:$B178))</f>
        <v/>
      </c>
      <c r="B178" s="36"/>
      <c r="C178" s="37"/>
      <c r="D178" s="37"/>
      <c r="E178" s="38"/>
      <c r="F178" s="36"/>
      <c r="G178" s="39"/>
      <c r="H178" s="39"/>
      <c r="I178" s="36"/>
      <c r="J178" s="36"/>
      <c r="K178" s="36"/>
      <c r="L178" s="36"/>
      <c r="M178" s="40" t="str">
        <f aca="false">IF($F178="","",$F178&amp;IF($G178="",""," - RT "&amp;$G178&amp;IF($H178="","","/"&amp;$H178)))</f>
        <v/>
      </c>
      <c r="N178" s="36"/>
      <c r="O178" s="37"/>
      <c r="P178" s="39"/>
      <c r="Q178" s="41"/>
      <c r="R178" s="35" t="str">
        <f aca="true">IF(OR($B178="",$Q178=""),"",DATEDIF($Q178,TODAY(),"Y"))</f>
        <v/>
      </c>
      <c r="S178" s="40" t="str">
        <f aca="false">IF($R178="","",INDEX(usia_label,MATCH($R178,usia_min,1)))</f>
        <v/>
      </c>
      <c r="T178" s="36"/>
      <c r="U178" s="41"/>
      <c r="V178" s="36"/>
      <c r="W178" s="36"/>
      <c r="X178" s="40" t="str">
        <f aca="false">IF($M178="","",$M178&amp;"#"&amp;COUNTIF($M$4:$M178,$M178))</f>
        <v/>
      </c>
      <c r="Y178" s="40" t="str">
        <f aca="false">IF($B178="","",IF($C178="","NIK kosong",IF(LEN($C178)&lt;&gt;16,"NIK bukan 16 digit",IF(COUNTIF($C$4:$C$2003,$C178&amp;"*")&gt;1,"NIK ganda",IF(AND($D178&lt;&gt;"",LEN($D178)&lt;&gt;16),"No. KK bukan 16 digit",IF(AND($F178="",$I178=""),"Alamat kosong",IF($N178="","Jabatan kosong",IF($O178="","No. HP kosong",IF(AND($R178&lt;&gt;"",$R178&lt;17),"Usia di bawah 17","")))))))))</f>
        <v/>
      </c>
      <c r="Z178" s="40" t="str">
        <f aca="false">IF($B178="","",IF(AND(OR(CARI!$C$5="",ISNUMBER(SEARCH(CARI!$C$5,$B178&amp;" "&amp;$C178&amp;" "&amp;$D178&amp;" "&amp;$O178&amp;" "&amp;$I178&amp;" "&amp;$F178&amp;" "&amp;$J178&amp;" "&amp;$K178&amp;" "&amp;$L178&amp;" "&amp;$V178))),OR(CARI!$C$6="",$F178=CARI!$C$6),OR(CARI!$C$7="",$G178=CARI!$C$7),OR(CARI!$C$8="",$T178=CARI!$C$8)),MAX($Z$3:Z177)+1,""))</f>
        <v/>
      </c>
      <c r="AA178" s="40" t="str">
        <f aca="false">IF($Y178="","",MAX($AA$3:AA177)+1)</f>
        <v/>
      </c>
      <c r="AB178" s="40" t="str">
        <f aca="false">IF($F178="","",$F178&amp;"#"&amp;COUNTIF($F$4:$F178,$F178))</f>
        <v/>
      </c>
      <c r="AC178" s="40" t="str">
        <f aca="false">IF($B178="","",IF(AND(OR(CETAK!$J$10="",$F178=CETAK!$J$10),OR(CETAK!$J$11="",$G178=CETAK!$J$11),OR(CETAK!$J$12="",$P178=CETAK!$J$12),OR(CETAK!$J$13="",$N178=CETAK!$J$13),OR(CETAK!$J$14="",$T178=CETAK!$J$14)),MAX($AC$3:AC177)+1,""))</f>
        <v/>
      </c>
      <c r="AD178" s="40" t="str">
        <f aca="false">IF($B178="","",IF(AND(OR(ABSENSI!$H$10="",$F178=ABSENSI!$H$10),OR(ABSENSI!$H$11="",$G178=ABSENSI!$H$11),OR(ABSENSI!$H$12="",$P178=ABSENSI!$H$12)),MAX($AD$3:AD177)+1,""))</f>
        <v/>
      </c>
      <c r="AE178" s="40" t="str">
        <f aca="false">IF($B178="","",IF(AND(OR(KARTU!$K$6="",$F178=KARTU!$K$6),OR(KARTU!$K$7="",$G178=KARTU!$K$7),OR(KARTU!$K$8="",$P178=KARTU!$K$8)),MAX($AE$3:AE177)+1,""))</f>
        <v/>
      </c>
    </row>
    <row r="179" customFormat="false" ht="15" hidden="false" customHeight="false" outlineLevel="0" collapsed="false">
      <c r="A179" s="35" t="str">
        <f aca="false">IF($B179="","",COUNTA($B$4:$B179))</f>
        <v/>
      </c>
      <c r="B179" s="36"/>
      <c r="C179" s="37"/>
      <c r="D179" s="37"/>
      <c r="E179" s="38"/>
      <c r="F179" s="36"/>
      <c r="G179" s="39"/>
      <c r="H179" s="39"/>
      <c r="I179" s="36"/>
      <c r="J179" s="36"/>
      <c r="K179" s="36"/>
      <c r="L179" s="36"/>
      <c r="M179" s="40" t="str">
        <f aca="false">IF($F179="","",$F179&amp;IF($G179="",""," - RT "&amp;$G179&amp;IF($H179="","","/"&amp;$H179)))</f>
        <v/>
      </c>
      <c r="N179" s="36"/>
      <c r="O179" s="37"/>
      <c r="P179" s="39"/>
      <c r="Q179" s="41"/>
      <c r="R179" s="35" t="str">
        <f aca="true">IF(OR($B179="",$Q179=""),"",DATEDIF($Q179,TODAY(),"Y"))</f>
        <v/>
      </c>
      <c r="S179" s="40" t="str">
        <f aca="false">IF($R179="","",INDEX(usia_label,MATCH($R179,usia_min,1)))</f>
        <v/>
      </c>
      <c r="T179" s="36"/>
      <c r="U179" s="41"/>
      <c r="V179" s="36"/>
      <c r="W179" s="36"/>
      <c r="X179" s="40" t="str">
        <f aca="false">IF($M179="","",$M179&amp;"#"&amp;COUNTIF($M$4:$M179,$M179))</f>
        <v/>
      </c>
      <c r="Y179" s="40" t="str">
        <f aca="false">IF($B179="","",IF($C179="","NIK kosong",IF(LEN($C179)&lt;&gt;16,"NIK bukan 16 digit",IF(COUNTIF($C$4:$C$2003,$C179&amp;"*")&gt;1,"NIK ganda",IF(AND($D179&lt;&gt;"",LEN($D179)&lt;&gt;16),"No. KK bukan 16 digit",IF(AND($F179="",$I179=""),"Alamat kosong",IF($N179="","Jabatan kosong",IF($O179="","No. HP kosong",IF(AND($R179&lt;&gt;"",$R179&lt;17),"Usia di bawah 17","")))))))))</f>
        <v/>
      </c>
      <c r="Z179" s="40" t="str">
        <f aca="false">IF($B179="","",IF(AND(OR(CARI!$C$5="",ISNUMBER(SEARCH(CARI!$C$5,$B179&amp;" "&amp;$C179&amp;" "&amp;$D179&amp;" "&amp;$O179&amp;" "&amp;$I179&amp;" "&amp;$F179&amp;" "&amp;$J179&amp;" "&amp;$K179&amp;" "&amp;$L179&amp;" "&amp;$V179))),OR(CARI!$C$6="",$F179=CARI!$C$6),OR(CARI!$C$7="",$G179=CARI!$C$7),OR(CARI!$C$8="",$T179=CARI!$C$8)),MAX($Z$3:Z178)+1,""))</f>
        <v/>
      </c>
      <c r="AA179" s="40" t="str">
        <f aca="false">IF($Y179="","",MAX($AA$3:AA178)+1)</f>
        <v/>
      </c>
      <c r="AB179" s="40" t="str">
        <f aca="false">IF($F179="","",$F179&amp;"#"&amp;COUNTIF($F$4:$F179,$F179))</f>
        <v/>
      </c>
      <c r="AC179" s="40" t="str">
        <f aca="false">IF($B179="","",IF(AND(OR(CETAK!$J$10="",$F179=CETAK!$J$10),OR(CETAK!$J$11="",$G179=CETAK!$J$11),OR(CETAK!$J$12="",$P179=CETAK!$J$12),OR(CETAK!$J$13="",$N179=CETAK!$J$13),OR(CETAK!$J$14="",$T179=CETAK!$J$14)),MAX($AC$3:AC178)+1,""))</f>
        <v/>
      </c>
      <c r="AD179" s="40" t="str">
        <f aca="false">IF($B179="","",IF(AND(OR(ABSENSI!$H$10="",$F179=ABSENSI!$H$10),OR(ABSENSI!$H$11="",$G179=ABSENSI!$H$11),OR(ABSENSI!$H$12="",$P179=ABSENSI!$H$12)),MAX($AD$3:AD178)+1,""))</f>
        <v/>
      </c>
      <c r="AE179" s="40" t="str">
        <f aca="false">IF($B179="","",IF(AND(OR(KARTU!$K$6="",$F179=KARTU!$K$6),OR(KARTU!$K$7="",$G179=KARTU!$K$7),OR(KARTU!$K$8="",$P179=KARTU!$K$8)),MAX($AE$3:AE178)+1,""))</f>
        <v/>
      </c>
    </row>
    <row r="180" customFormat="false" ht="15" hidden="false" customHeight="false" outlineLevel="0" collapsed="false">
      <c r="A180" s="35" t="str">
        <f aca="false">IF($B180="","",COUNTA($B$4:$B180))</f>
        <v/>
      </c>
      <c r="B180" s="36"/>
      <c r="C180" s="37"/>
      <c r="D180" s="37"/>
      <c r="E180" s="38"/>
      <c r="F180" s="36"/>
      <c r="G180" s="39"/>
      <c r="H180" s="39"/>
      <c r="I180" s="36"/>
      <c r="J180" s="36"/>
      <c r="K180" s="36"/>
      <c r="L180" s="36"/>
      <c r="M180" s="40" t="str">
        <f aca="false">IF($F180="","",$F180&amp;IF($G180="",""," - RT "&amp;$G180&amp;IF($H180="","","/"&amp;$H180)))</f>
        <v/>
      </c>
      <c r="N180" s="36"/>
      <c r="O180" s="37"/>
      <c r="P180" s="39"/>
      <c r="Q180" s="41"/>
      <c r="R180" s="35" t="str">
        <f aca="true">IF(OR($B180="",$Q180=""),"",DATEDIF($Q180,TODAY(),"Y"))</f>
        <v/>
      </c>
      <c r="S180" s="40" t="str">
        <f aca="false">IF($R180="","",INDEX(usia_label,MATCH($R180,usia_min,1)))</f>
        <v/>
      </c>
      <c r="T180" s="36"/>
      <c r="U180" s="41"/>
      <c r="V180" s="36"/>
      <c r="W180" s="36"/>
      <c r="X180" s="40" t="str">
        <f aca="false">IF($M180="","",$M180&amp;"#"&amp;COUNTIF($M$4:$M180,$M180))</f>
        <v/>
      </c>
      <c r="Y180" s="40" t="str">
        <f aca="false">IF($B180="","",IF($C180="","NIK kosong",IF(LEN($C180)&lt;&gt;16,"NIK bukan 16 digit",IF(COUNTIF($C$4:$C$2003,$C180&amp;"*")&gt;1,"NIK ganda",IF(AND($D180&lt;&gt;"",LEN($D180)&lt;&gt;16),"No. KK bukan 16 digit",IF(AND($F180="",$I180=""),"Alamat kosong",IF($N180="","Jabatan kosong",IF($O180="","No. HP kosong",IF(AND($R180&lt;&gt;"",$R180&lt;17),"Usia di bawah 17","")))))))))</f>
        <v/>
      </c>
      <c r="Z180" s="40" t="str">
        <f aca="false">IF($B180="","",IF(AND(OR(CARI!$C$5="",ISNUMBER(SEARCH(CARI!$C$5,$B180&amp;" "&amp;$C180&amp;" "&amp;$D180&amp;" "&amp;$O180&amp;" "&amp;$I180&amp;" "&amp;$F180&amp;" "&amp;$J180&amp;" "&amp;$K180&amp;" "&amp;$L180&amp;" "&amp;$V180))),OR(CARI!$C$6="",$F180=CARI!$C$6),OR(CARI!$C$7="",$G180=CARI!$C$7),OR(CARI!$C$8="",$T180=CARI!$C$8)),MAX($Z$3:Z179)+1,""))</f>
        <v/>
      </c>
      <c r="AA180" s="40" t="str">
        <f aca="false">IF($Y180="","",MAX($AA$3:AA179)+1)</f>
        <v/>
      </c>
      <c r="AB180" s="40" t="str">
        <f aca="false">IF($F180="","",$F180&amp;"#"&amp;COUNTIF($F$4:$F180,$F180))</f>
        <v/>
      </c>
      <c r="AC180" s="40" t="str">
        <f aca="false">IF($B180="","",IF(AND(OR(CETAK!$J$10="",$F180=CETAK!$J$10),OR(CETAK!$J$11="",$G180=CETAK!$J$11),OR(CETAK!$J$12="",$P180=CETAK!$J$12),OR(CETAK!$J$13="",$N180=CETAK!$J$13),OR(CETAK!$J$14="",$T180=CETAK!$J$14)),MAX($AC$3:AC179)+1,""))</f>
        <v/>
      </c>
      <c r="AD180" s="40" t="str">
        <f aca="false">IF($B180="","",IF(AND(OR(ABSENSI!$H$10="",$F180=ABSENSI!$H$10),OR(ABSENSI!$H$11="",$G180=ABSENSI!$H$11),OR(ABSENSI!$H$12="",$P180=ABSENSI!$H$12)),MAX($AD$3:AD179)+1,""))</f>
        <v/>
      </c>
      <c r="AE180" s="40" t="str">
        <f aca="false">IF($B180="","",IF(AND(OR(KARTU!$K$6="",$F180=KARTU!$K$6),OR(KARTU!$K$7="",$G180=KARTU!$K$7),OR(KARTU!$K$8="",$P180=KARTU!$K$8)),MAX($AE$3:AE179)+1,""))</f>
        <v/>
      </c>
    </row>
    <row r="181" customFormat="false" ht="15" hidden="false" customHeight="false" outlineLevel="0" collapsed="false">
      <c r="A181" s="35" t="str">
        <f aca="false">IF($B181="","",COUNTA($B$4:$B181))</f>
        <v/>
      </c>
      <c r="B181" s="36"/>
      <c r="C181" s="37"/>
      <c r="D181" s="37"/>
      <c r="E181" s="38"/>
      <c r="F181" s="36"/>
      <c r="G181" s="39"/>
      <c r="H181" s="39"/>
      <c r="I181" s="36"/>
      <c r="J181" s="36"/>
      <c r="K181" s="36"/>
      <c r="L181" s="36"/>
      <c r="M181" s="40" t="str">
        <f aca="false">IF($F181="","",$F181&amp;IF($G181="",""," - RT "&amp;$G181&amp;IF($H181="","","/"&amp;$H181)))</f>
        <v/>
      </c>
      <c r="N181" s="36"/>
      <c r="O181" s="37"/>
      <c r="P181" s="39"/>
      <c r="Q181" s="41"/>
      <c r="R181" s="35" t="str">
        <f aca="true">IF(OR($B181="",$Q181=""),"",DATEDIF($Q181,TODAY(),"Y"))</f>
        <v/>
      </c>
      <c r="S181" s="40" t="str">
        <f aca="false">IF($R181="","",INDEX(usia_label,MATCH($R181,usia_min,1)))</f>
        <v/>
      </c>
      <c r="T181" s="36"/>
      <c r="U181" s="41"/>
      <c r="V181" s="36"/>
      <c r="W181" s="36"/>
      <c r="X181" s="40" t="str">
        <f aca="false">IF($M181="","",$M181&amp;"#"&amp;COUNTIF($M$4:$M181,$M181))</f>
        <v/>
      </c>
      <c r="Y181" s="40" t="str">
        <f aca="false">IF($B181="","",IF($C181="","NIK kosong",IF(LEN($C181)&lt;&gt;16,"NIK bukan 16 digit",IF(COUNTIF($C$4:$C$2003,$C181&amp;"*")&gt;1,"NIK ganda",IF(AND($D181&lt;&gt;"",LEN($D181)&lt;&gt;16),"No. KK bukan 16 digit",IF(AND($F181="",$I181=""),"Alamat kosong",IF($N181="","Jabatan kosong",IF($O181="","No. HP kosong",IF(AND($R181&lt;&gt;"",$R181&lt;17),"Usia di bawah 17","")))))))))</f>
        <v/>
      </c>
      <c r="Z181" s="40" t="str">
        <f aca="false">IF($B181="","",IF(AND(OR(CARI!$C$5="",ISNUMBER(SEARCH(CARI!$C$5,$B181&amp;" "&amp;$C181&amp;" "&amp;$D181&amp;" "&amp;$O181&amp;" "&amp;$I181&amp;" "&amp;$F181&amp;" "&amp;$J181&amp;" "&amp;$K181&amp;" "&amp;$L181&amp;" "&amp;$V181))),OR(CARI!$C$6="",$F181=CARI!$C$6),OR(CARI!$C$7="",$G181=CARI!$C$7),OR(CARI!$C$8="",$T181=CARI!$C$8)),MAX($Z$3:Z180)+1,""))</f>
        <v/>
      </c>
      <c r="AA181" s="40" t="str">
        <f aca="false">IF($Y181="","",MAX($AA$3:AA180)+1)</f>
        <v/>
      </c>
      <c r="AB181" s="40" t="str">
        <f aca="false">IF($F181="","",$F181&amp;"#"&amp;COUNTIF($F$4:$F181,$F181))</f>
        <v/>
      </c>
      <c r="AC181" s="40" t="str">
        <f aca="false">IF($B181="","",IF(AND(OR(CETAK!$J$10="",$F181=CETAK!$J$10),OR(CETAK!$J$11="",$G181=CETAK!$J$11),OR(CETAK!$J$12="",$P181=CETAK!$J$12),OR(CETAK!$J$13="",$N181=CETAK!$J$13),OR(CETAK!$J$14="",$T181=CETAK!$J$14)),MAX($AC$3:AC180)+1,""))</f>
        <v/>
      </c>
      <c r="AD181" s="40" t="str">
        <f aca="false">IF($B181="","",IF(AND(OR(ABSENSI!$H$10="",$F181=ABSENSI!$H$10),OR(ABSENSI!$H$11="",$G181=ABSENSI!$H$11),OR(ABSENSI!$H$12="",$P181=ABSENSI!$H$12)),MAX($AD$3:AD180)+1,""))</f>
        <v/>
      </c>
      <c r="AE181" s="40" t="str">
        <f aca="false">IF($B181="","",IF(AND(OR(KARTU!$K$6="",$F181=KARTU!$K$6),OR(KARTU!$K$7="",$G181=KARTU!$K$7),OR(KARTU!$K$8="",$P181=KARTU!$K$8)),MAX($AE$3:AE180)+1,""))</f>
        <v/>
      </c>
    </row>
    <row r="182" customFormat="false" ht="15" hidden="false" customHeight="false" outlineLevel="0" collapsed="false">
      <c r="A182" s="35" t="str">
        <f aca="false">IF($B182="","",COUNTA($B$4:$B182))</f>
        <v/>
      </c>
      <c r="B182" s="36"/>
      <c r="C182" s="37"/>
      <c r="D182" s="37"/>
      <c r="E182" s="38"/>
      <c r="F182" s="36"/>
      <c r="G182" s="39"/>
      <c r="H182" s="39"/>
      <c r="I182" s="36"/>
      <c r="J182" s="36"/>
      <c r="K182" s="36"/>
      <c r="L182" s="36"/>
      <c r="M182" s="40" t="str">
        <f aca="false">IF($F182="","",$F182&amp;IF($G182="",""," - RT "&amp;$G182&amp;IF($H182="","","/"&amp;$H182)))</f>
        <v/>
      </c>
      <c r="N182" s="36"/>
      <c r="O182" s="37"/>
      <c r="P182" s="39"/>
      <c r="Q182" s="41"/>
      <c r="R182" s="35" t="str">
        <f aca="true">IF(OR($B182="",$Q182=""),"",DATEDIF($Q182,TODAY(),"Y"))</f>
        <v/>
      </c>
      <c r="S182" s="40" t="str">
        <f aca="false">IF($R182="","",INDEX(usia_label,MATCH($R182,usia_min,1)))</f>
        <v/>
      </c>
      <c r="T182" s="36"/>
      <c r="U182" s="41"/>
      <c r="V182" s="36"/>
      <c r="W182" s="36"/>
      <c r="X182" s="40" t="str">
        <f aca="false">IF($M182="","",$M182&amp;"#"&amp;COUNTIF($M$4:$M182,$M182))</f>
        <v/>
      </c>
      <c r="Y182" s="40" t="str">
        <f aca="false">IF($B182="","",IF($C182="","NIK kosong",IF(LEN($C182)&lt;&gt;16,"NIK bukan 16 digit",IF(COUNTIF($C$4:$C$2003,$C182&amp;"*")&gt;1,"NIK ganda",IF(AND($D182&lt;&gt;"",LEN($D182)&lt;&gt;16),"No. KK bukan 16 digit",IF(AND($F182="",$I182=""),"Alamat kosong",IF($N182="","Jabatan kosong",IF($O182="","No. HP kosong",IF(AND($R182&lt;&gt;"",$R182&lt;17),"Usia di bawah 17","")))))))))</f>
        <v/>
      </c>
      <c r="Z182" s="40" t="str">
        <f aca="false">IF($B182="","",IF(AND(OR(CARI!$C$5="",ISNUMBER(SEARCH(CARI!$C$5,$B182&amp;" "&amp;$C182&amp;" "&amp;$D182&amp;" "&amp;$O182&amp;" "&amp;$I182&amp;" "&amp;$F182&amp;" "&amp;$J182&amp;" "&amp;$K182&amp;" "&amp;$L182&amp;" "&amp;$V182))),OR(CARI!$C$6="",$F182=CARI!$C$6),OR(CARI!$C$7="",$G182=CARI!$C$7),OR(CARI!$C$8="",$T182=CARI!$C$8)),MAX($Z$3:Z181)+1,""))</f>
        <v/>
      </c>
      <c r="AA182" s="40" t="str">
        <f aca="false">IF($Y182="","",MAX($AA$3:AA181)+1)</f>
        <v/>
      </c>
      <c r="AB182" s="40" t="str">
        <f aca="false">IF($F182="","",$F182&amp;"#"&amp;COUNTIF($F$4:$F182,$F182))</f>
        <v/>
      </c>
      <c r="AC182" s="40" t="str">
        <f aca="false">IF($B182="","",IF(AND(OR(CETAK!$J$10="",$F182=CETAK!$J$10),OR(CETAK!$J$11="",$G182=CETAK!$J$11),OR(CETAK!$J$12="",$P182=CETAK!$J$12),OR(CETAK!$J$13="",$N182=CETAK!$J$13),OR(CETAK!$J$14="",$T182=CETAK!$J$14)),MAX($AC$3:AC181)+1,""))</f>
        <v/>
      </c>
      <c r="AD182" s="40" t="str">
        <f aca="false">IF($B182="","",IF(AND(OR(ABSENSI!$H$10="",$F182=ABSENSI!$H$10),OR(ABSENSI!$H$11="",$G182=ABSENSI!$H$11),OR(ABSENSI!$H$12="",$P182=ABSENSI!$H$12)),MAX($AD$3:AD181)+1,""))</f>
        <v/>
      </c>
      <c r="AE182" s="40" t="str">
        <f aca="false">IF($B182="","",IF(AND(OR(KARTU!$K$6="",$F182=KARTU!$K$6),OR(KARTU!$K$7="",$G182=KARTU!$K$7),OR(KARTU!$K$8="",$P182=KARTU!$K$8)),MAX($AE$3:AE181)+1,""))</f>
        <v/>
      </c>
    </row>
    <row r="183" customFormat="false" ht="15" hidden="false" customHeight="false" outlineLevel="0" collapsed="false">
      <c r="A183" s="35" t="str">
        <f aca="false">IF($B183="","",COUNTA($B$4:$B183))</f>
        <v/>
      </c>
      <c r="B183" s="36"/>
      <c r="C183" s="37"/>
      <c r="D183" s="37"/>
      <c r="E183" s="38"/>
      <c r="F183" s="36"/>
      <c r="G183" s="39"/>
      <c r="H183" s="39"/>
      <c r="I183" s="36"/>
      <c r="J183" s="36"/>
      <c r="K183" s="36"/>
      <c r="L183" s="36"/>
      <c r="M183" s="40" t="str">
        <f aca="false">IF($F183="","",$F183&amp;IF($G183="",""," - RT "&amp;$G183&amp;IF($H183="","","/"&amp;$H183)))</f>
        <v/>
      </c>
      <c r="N183" s="36"/>
      <c r="O183" s="37"/>
      <c r="P183" s="39"/>
      <c r="Q183" s="41"/>
      <c r="R183" s="35" t="str">
        <f aca="true">IF(OR($B183="",$Q183=""),"",DATEDIF($Q183,TODAY(),"Y"))</f>
        <v/>
      </c>
      <c r="S183" s="40" t="str">
        <f aca="false">IF($R183="","",INDEX(usia_label,MATCH($R183,usia_min,1)))</f>
        <v/>
      </c>
      <c r="T183" s="36"/>
      <c r="U183" s="41"/>
      <c r="V183" s="36"/>
      <c r="W183" s="36"/>
      <c r="X183" s="40" t="str">
        <f aca="false">IF($M183="","",$M183&amp;"#"&amp;COUNTIF($M$4:$M183,$M183))</f>
        <v/>
      </c>
      <c r="Y183" s="40" t="str">
        <f aca="false">IF($B183="","",IF($C183="","NIK kosong",IF(LEN($C183)&lt;&gt;16,"NIK bukan 16 digit",IF(COUNTIF($C$4:$C$2003,$C183&amp;"*")&gt;1,"NIK ganda",IF(AND($D183&lt;&gt;"",LEN($D183)&lt;&gt;16),"No. KK bukan 16 digit",IF(AND($F183="",$I183=""),"Alamat kosong",IF($N183="","Jabatan kosong",IF($O183="","No. HP kosong",IF(AND($R183&lt;&gt;"",$R183&lt;17),"Usia di bawah 17","")))))))))</f>
        <v/>
      </c>
      <c r="Z183" s="40" t="str">
        <f aca="false">IF($B183="","",IF(AND(OR(CARI!$C$5="",ISNUMBER(SEARCH(CARI!$C$5,$B183&amp;" "&amp;$C183&amp;" "&amp;$D183&amp;" "&amp;$O183&amp;" "&amp;$I183&amp;" "&amp;$F183&amp;" "&amp;$J183&amp;" "&amp;$K183&amp;" "&amp;$L183&amp;" "&amp;$V183))),OR(CARI!$C$6="",$F183=CARI!$C$6),OR(CARI!$C$7="",$G183=CARI!$C$7),OR(CARI!$C$8="",$T183=CARI!$C$8)),MAX($Z$3:Z182)+1,""))</f>
        <v/>
      </c>
      <c r="AA183" s="40" t="str">
        <f aca="false">IF($Y183="","",MAX($AA$3:AA182)+1)</f>
        <v/>
      </c>
      <c r="AB183" s="40" t="str">
        <f aca="false">IF($F183="","",$F183&amp;"#"&amp;COUNTIF($F$4:$F183,$F183))</f>
        <v/>
      </c>
      <c r="AC183" s="40" t="str">
        <f aca="false">IF($B183="","",IF(AND(OR(CETAK!$J$10="",$F183=CETAK!$J$10),OR(CETAK!$J$11="",$G183=CETAK!$J$11),OR(CETAK!$J$12="",$P183=CETAK!$J$12),OR(CETAK!$J$13="",$N183=CETAK!$J$13),OR(CETAK!$J$14="",$T183=CETAK!$J$14)),MAX($AC$3:AC182)+1,""))</f>
        <v/>
      </c>
      <c r="AD183" s="40" t="str">
        <f aca="false">IF($B183="","",IF(AND(OR(ABSENSI!$H$10="",$F183=ABSENSI!$H$10),OR(ABSENSI!$H$11="",$G183=ABSENSI!$H$11),OR(ABSENSI!$H$12="",$P183=ABSENSI!$H$12)),MAX($AD$3:AD182)+1,""))</f>
        <v/>
      </c>
      <c r="AE183" s="40" t="str">
        <f aca="false">IF($B183="","",IF(AND(OR(KARTU!$K$6="",$F183=KARTU!$K$6),OR(KARTU!$K$7="",$G183=KARTU!$K$7),OR(KARTU!$K$8="",$P183=KARTU!$K$8)),MAX($AE$3:AE182)+1,""))</f>
        <v/>
      </c>
    </row>
    <row r="184" customFormat="false" ht="15" hidden="false" customHeight="false" outlineLevel="0" collapsed="false">
      <c r="A184" s="35" t="str">
        <f aca="false">IF($B184="","",COUNTA($B$4:$B184))</f>
        <v/>
      </c>
      <c r="B184" s="36"/>
      <c r="C184" s="37"/>
      <c r="D184" s="37"/>
      <c r="E184" s="38"/>
      <c r="F184" s="36"/>
      <c r="G184" s="39"/>
      <c r="H184" s="39"/>
      <c r="I184" s="36"/>
      <c r="J184" s="36"/>
      <c r="K184" s="36"/>
      <c r="L184" s="36"/>
      <c r="M184" s="40" t="str">
        <f aca="false">IF($F184="","",$F184&amp;IF($G184="",""," - RT "&amp;$G184&amp;IF($H184="","","/"&amp;$H184)))</f>
        <v/>
      </c>
      <c r="N184" s="36"/>
      <c r="O184" s="37"/>
      <c r="P184" s="39"/>
      <c r="Q184" s="41"/>
      <c r="R184" s="35" t="str">
        <f aca="true">IF(OR($B184="",$Q184=""),"",DATEDIF($Q184,TODAY(),"Y"))</f>
        <v/>
      </c>
      <c r="S184" s="40" t="str">
        <f aca="false">IF($R184="","",INDEX(usia_label,MATCH($R184,usia_min,1)))</f>
        <v/>
      </c>
      <c r="T184" s="36"/>
      <c r="U184" s="41"/>
      <c r="V184" s="36"/>
      <c r="W184" s="36"/>
      <c r="X184" s="40" t="str">
        <f aca="false">IF($M184="","",$M184&amp;"#"&amp;COUNTIF($M$4:$M184,$M184))</f>
        <v/>
      </c>
      <c r="Y184" s="40" t="str">
        <f aca="false">IF($B184="","",IF($C184="","NIK kosong",IF(LEN($C184)&lt;&gt;16,"NIK bukan 16 digit",IF(COUNTIF($C$4:$C$2003,$C184&amp;"*")&gt;1,"NIK ganda",IF(AND($D184&lt;&gt;"",LEN($D184)&lt;&gt;16),"No. KK bukan 16 digit",IF(AND($F184="",$I184=""),"Alamat kosong",IF($N184="","Jabatan kosong",IF($O184="","No. HP kosong",IF(AND($R184&lt;&gt;"",$R184&lt;17),"Usia di bawah 17","")))))))))</f>
        <v/>
      </c>
      <c r="Z184" s="40" t="str">
        <f aca="false">IF($B184="","",IF(AND(OR(CARI!$C$5="",ISNUMBER(SEARCH(CARI!$C$5,$B184&amp;" "&amp;$C184&amp;" "&amp;$D184&amp;" "&amp;$O184&amp;" "&amp;$I184&amp;" "&amp;$F184&amp;" "&amp;$J184&amp;" "&amp;$K184&amp;" "&amp;$L184&amp;" "&amp;$V184))),OR(CARI!$C$6="",$F184=CARI!$C$6),OR(CARI!$C$7="",$G184=CARI!$C$7),OR(CARI!$C$8="",$T184=CARI!$C$8)),MAX($Z$3:Z183)+1,""))</f>
        <v/>
      </c>
      <c r="AA184" s="40" t="str">
        <f aca="false">IF($Y184="","",MAX($AA$3:AA183)+1)</f>
        <v/>
      </c>
      <c r="AB184" s="40" t="str">
        <f aca="false">IF($F184="","",$F184&amp;"#"&amp;COUNTIF($F$4:$F184,$F184))</f>
        <v/>
      </c>
      <c r="AC184" s="40" t="str">
        <f aca="false">IF($B184="","",IF(AND(OR(CETAK!$J$10="",$F184=CETAK!$J$10),OR(CETAK!$J$11="",$G184=CETAK!$J$11),OR(CETAK!$J$12="",$P184=CETAK!$J$12),OR(CETAK!$J$13="",$N184=CETAK!$J$13),OR(CETAK!$J$14="",$T184=CETAK!$J$14)),MAX($AC$3:AC183)+1,""))</f>
        <v/>
      </c>
      <c r="AD184" s="40" t="str">
        <f aca="false">IF($B184="","",IF(AND(OR(ABSENSI!$H$10="",$F184=ABSENSI!$H$10),OR(ABSENSI!$H$11="",$G184=ABSENSI!$H$11),OR(ABSENSI!$H$12="",$P184=ABSENSI!$H$12)),MAX($AD$3:AD183)+1,""))</f>
        <v/>
      </c>
      <c r="AE184" s="40" t="str">
        <f aca="false">IF($B184="","",IF(AND(OR(KARTU!$K$6="",$F184=KARTU!$K$6),OR(KARTU!$K$7="",$G184=KARTU!$K$7),OR(KARTU!$K$8="",$P184=KARTU!$K$8)),MAX($AE$3:AE183)+1,""))</f>
        <v/>
      </c>
    </row>
    <row r="185" customFormat="false" ht="15" hidden="false" customHeight="false" outlineLevel="0" collapsed="false">
      <c r="A185" s="35" t="str">
        <f aca="false">IF($B185="","",COUNTA($B$4:$B185))</f>
        <v/>
      </c>
      <c r="B185" s="36"/>
      <c r="C185" s="37"/>
      <c r="D185" s="37"/>
      <c r="E185" s="38"/>
      <c r="F185" s="36"/>
      <c r="G185" s="39"/>
      <c r="H185" s="39"/>
      <c r="I185" s="36"/>
      <c r="J185" s="36"/>
      <c r="K185" s="36"/>
      <c r="L185" s="36"/>
      <c r="M185" s="40" t="str">
        <f aca="false">IF($F185="","",$F185&amp;IF($G185="",""," - RT "&amp;$G185&amp;IF($H185="","","/"&amp;$H185)))</f>
        <v/>
      </c>
      <c r="N185" s="36"/>
      <c r="O185" s="37"/>
      <c r="P185" s="39"/>
      <c r="Q185" s="41"/>
      <c r="R185" s="35" t="str">
        <f aca="true">IF(OR($B185="",$Q185=""),"",DATEDIF($Q185,TODAY(),"Y"))</f>
        <v/>
      </c>
      <c r="S185" s="40" t="str">
        <f aca="false">IF($R185="","",INDEX(usia_label,MATCH($R185,usia_min,1)))</f>
        <v/>
      </c>
      <c r="T185" s="36"/>
      <c r="U185" s="41"/>
      <c r="V185" s="36"/>
      <c r="W185" s="36"/>
      <c r="X185" s="40" t="str">
        <f aca="false">IF($M185="","",$M185&amp;"#"&amp;COUNTIF($M$4:$M185,$M185))</f>
        <v/>
      </c>
      <c r="Y185" s="40" t="str">
        <f aca="false">IF($B185="","",IF($C185="","NIK kosong",IF(LEN($C185)&lt;&gt;16,"NIK bukan 16 digit",IF(COUNTIF($C$4:$C$2003,$C185&amp;"*")&gt;1,"NIK ganda",IF(AND($D185&lt;&gt;"",LEN($D185)&lt;&gt;16),"No. KK bukan 16 digit",IF(AND($F185="",$I185=""),"Alamat kosong",IF($N185="","Jabatan kosong",IF($O185="","No. HP kosong",IF(AND($R185&lt;&gt;"",$R185&lt;17),"Usia di bawah 17","")))))))))</f>
        <v/>
      </c>
      <c r="Z185" s="40" t="str">
        <f aca="false">IF($B185="","",IF(AND(OR(CARI!$C$5="",ISNUMBER(SEARCH(CARI!$C$5,$B185&amp;" "&amp;$C185&amp;" "&amp;$D185&amp;" "&amp;$O185&amp;" "&amp;$I185&amp;" "&amp;$F185&amp;" "&amp;$J185&amp;" "&amp;$K185&amp;" "&amp;$L185&amp;" "&amp;$V185))),OR(CARI!$C$6="",$F185=CARI!$C$6),OR(CARI!$C$7="",$G185=CARI!$C$7),OR(CARI!$C$8="",$T185=CARI!$C$8)),MAX($Z$3:Z184)+1,""))</f>
        <v/>
      </c>
      <c r="AA185" s="40" t="str">
        <f aca="false">IF($Y185="","",MAX($AA$3:AA184)+1)</f>
        <v/>
      </c>
      <c r="AB185" s="40" t="str">
        <f aca="false">IF($F185="","",$F185&amp;"#"&amp;COUNTIF($F$4:$F185,$F185))</f>
        <v/>
      </c>
      <c r="AC185" s="40" t="str">
        <f aca="false">IF($B185="","",IF(AND(OR(CETAK!$J$10="",$F185=CETAK!$J$10),OR(CETAK!$J$11="",$G185=CETAK!$J$11),OR(CETAK!$J$12="",$P185=CETAK!$J$12),OR(CETAK!$J$13="",$N185=CETAK!$J$13),OR(CETAK!$J$14="",$T185=CETAK!$J$14)),MAX($AC$3:AC184)+1,""))</f>
        <v/>
      </c>
      <c r="AD185" s="40" t="str">
        <f aca="false">IF($B185="","",IF(AND(OR(ABSENSI!$H$10="",$F185=ABSENSI!$H$10),OR(ABSENSI!$H$11="",$G185=ABSENSI!$H$11),OR(ABSENSI!$H$12="",$P185=ABSENSI!$H$12)),MAX($AD$3:AD184)+1,""))</f>
        <v/>
      </c>
      <c r="AE185" s="40" t="str">
        <f aca="false">IF($B185="","",IF(AND(OR(KARTU!$K$6="",$F185=KARTU!$K$6),OR(KARTU!$K$7="",$G185=KARTU!$K$7),OR(KARTU!$K$8="",$P185=KARTU!$K$8)),MAX($AE$3:AE184)+1,""))</f>
        <v/>
      </c>
    </row>
    <row r="186" customFormat="false" ht="15" hidden="false" customHeight="false" outlineLevel="0" collapsed="false">
      <c r="A186" s="35" t="str">
        <f aca="false">IF($B186="","",COUNTA($B$4:$B186))</f>
        <v/>
      </c>
      <c r="B186" s="36"/>
      <c r="C186" s="37"/>
      <c r="D186" s="37"/>
      <c r="E186" s="38"/>
      <c r="F186" s="36"/>
      <c r="G186" s="39"/>
      <c r="H186" s="39"/>
      <c r="I186" s="36"/>
      <c r="J186" s="36"/>
      <c r="K186" s="36"/>
      <c r="L186" s="36"/>
      <c r="M186" s="40" t="str">
        <f aca="false">IF($F186="","",$F186&amp;IF($G186="",""," - RT "&amp;$G186&amp;IF($H186="","","/"&amp;$H186)))</f>
        <v/>
      </c>
      <c r="N186" s="36"/>
      <c r="O186" s="37"/>
      <c r="P186" s="39"/>
      <c r="Q186" s="41"/>
      <c r="R186" s="35" t="str">
        <f aca="true">IF(OR($B186="",$Q186=""),"",DATEDIF($Q186,TODAY(),"Y"))</f>
        <v/>
      </c>
      <c r="S186" s="40" t="str">
        <f aca="false">IF($R186="","",INDEX(usia_label,MATCH($R186,usia_min,1)))</f>
        <v/>
      </c>
      <c r="T186" s="36"/>
      <c r="U186" s="41"/>
      <c r="V186" s="36"/>
      <c r="W186" s="36"/>
      <c r="X186" s="40" t="str">
        <f aca="false">IF($M186="","",$M186&amp;"#"&amp;COUNTIF($M$4:$M186,$M186))</f>
        <v/>
      </c>
      <c r="Y186" s="40" t="str">
        <f aca="false">IF($B186="","",IF($C186="","NIK kosong",IF(LEN($C186)&lt;&gt;16,"NIK bukan 16 digit",IF(COUNTIF($C$4:$C$2003,$C186&amp;"*")&gt;1,"NIK ganda",IF(AND($D186&lt;&gt;"",LEN($D186)&lt;&gt;16),"No. KK bukan 16 digit",IF(AND($F186="",$I186=""),"Alamat kosong",IF($N186="","Jabatan kosong",IF($O186="","No. HP kosong",IF(AND($R186&lt;&gt;"",$R186&lt;17),"Usia di bawah 17","")))))))))</f>
        <v/>
      </c>
      <c r="Z186" s="40" t="str">
        <f aca="false">IF($B186="","",IF(AND(OR(CARI!$C$5="",ISNUMBER(SEARCH(CARI!$C$5,$B186&amp;" "&amp;$C186&amp;" "&amp;$D186&amp;" "&amp;$O186&amp;" "&amp;$I186&amp;" "&amp;$F186&amp;" "&amp;$J186&amp;" "&amp;$K186&amp;" "&amp;$L186&amp;" "&amp;$V186))),OR(CARI!$C$6="",$F186=CARI!$C$6),OR(CARI!$C$7="",$G186=CARI!$C$7),OR(CARI!$C$8="",$T186=CARI!$C$8)),MAX($Z$3:Z185)+1,""))</f>
        <v/>
      </c>
      <c r="AA186" s="40" t="str">
        <f aca="false">IF($Y186="","",MAX($AA$3:AA185)+1)</f>
        <v/>
      </c>
      <c r="AB186" s="40" t="str">
        <f aca="false">IF($F186="","",$F186&amp;"#"&amp;COUNTIF($F$4:$F186,$F186))</f>
        <v/>
      </c>
      <c r="AC186" s="40" t="str">
        <f aca="false">IF($B186="","",IF(AND(OR(CETAK!$J$10="",$F186=CETAK!$J$10),OR(CETAK!$J$11="",$G186=CETAK!$J$11),OR(CETAK!$J$12="",$P186=CETAK!$J$12),OR(CETAK!$J$13="",$N186=CETAK!$J$13),OR(CETAK!$J$14="",$T186=CETAK!$J$14)),MAX($AC$3:AC185)+1,""))</f>
        <v/>
      </c>
      <c r="AD186" s="40" t="str">
        <f aca="false">IF($B186="","",IF(AND(OR(ABSENSI!$H$10="",$F186=ABSENSI!$H$10),OR(ABSENSI!$H$11="",$G186=ABSENSI!$H$11),OR(ABSENSI!$H$12="",$P186=ABSENSI!$H$12)),MAX($AD$3:AD185)+1,""))</f>
        <v/>
      </c>
      <c r="AE186" s="40" t="str">
        <f aca="false">IF($B186="","",IF(AND(OR(KARTU!$K$6="",$F186=KARTU!$K$6),OR(KARTU!$K$7="",$G186=KARTU!$K$7),OR(KARTU!$K$8="",$P186=KARTU!$K$8)),MAX($AE$3:AE185)+1,""))</f>
        <v/>
      </c>
    </row>
    <row r="187" customFormat="false" ht="15" hidden="false" customHeight="false" outlineLevel="0" collapsed="false">
      <c r="A187" s="35" t="str">
        <f aca="false">IF($B187="","",COUNTA($B$4:$B187))</f>
        <v/>
      </c>
      <c r="B187" s="36"/>
      <c r="C187" s="37"/>
      <c r="D187" s="37"/>
      <c r="E187" s="38"/>
      <c r="F187" s="36"/>
      <c r="G187" s="39"/>
      <c r="H187" s="39"/>
      <c r="I187" s="36"/>
      <c r="J187" s="36"/>
      <c r="K187" s="36"/>
      <c r="L187" s="36"/>
      <c r="M187" s="40" t="str">
        <f aca="false">IF($F187="","",$F187&amp;IF($G187="",""," - RT "&amp;$G187&amp;IF($H187="","","/"&amp;$H187)))</f>
        <v/>
      </c>
      <c r="N187" s="36"/>
      <c r="O187" s="37"/>
      <c r="P187" s="39"/>
      <c r="Q187" s="41"/>
      <c r="R187" s="35" t="str">
        <f aca="true">IF(OR($B187="",$Q187=""),"",DATEDIF($Q187,TODAY(),"Y"))</f>
        <v/>
      </c>
      <c r="S187" s="40" t="str">
        <f aca="false">IF($R187="","",INDEX(usia_label,MATCH($R187,usia_min,1)))</f>
        <v/>
      </c>
      <c r="T187" s="36"/>
      <c r="U187" s="41"/>
      <c r="V187" s="36"/>
      <c r="W187" s="36"/>
      <c r="X187" s="40" t="str">
        <f aca="false">IF($M187="","",$M187&amp;"#"&amp;COUNTIF($M$4:$M187,$M187))</f>
        <v/>
      </c>
      <c r="Y187" s="40" t="str">
        <f aca="false">IF($B187="","",IF($C187="","NIK kosong",IF(LEN($C187)&lt;&gt;16,"NIK bukan 16 digit",IF(COUNTIF($C$4:$C$2003,$C187&amp;"*")&gt;1,"NIK ganda",IF(AND($D187&lt;&gt;"",LEN($D187)&lt;&gt;16),"No. KK bukan 16 digit",IF(AND($F187="",$I187=""),"Alamat kosong",IF($N187="","Jabatan kosong",IF($O187="","No. HP kosong",IF(AND($R187&lt;&gt;"",$R187&lt;17),"Usia di bawah 17","")))))))))</f>
        <v/>
      </c>
      <c r="Z187" s="40" t="str">
        <f aca="false">IF($B187="","",IF(AND(OR(CARI!$C$5="",ISNUMBER(SEARCH(CARI!$C$5,$B187&amp;" "&amp;$C187&amp;" "&amp;$D187&amp;" "&amp;$O187&amp;" "&amp;$I187&amp;" "&amp;$F187&amp;" "&amp;$J187&amp;" "&amp;$K187&amp;" "&amp;$L187&amp;" "&amp;$V187))),OR(CARI!$C$6="",$F187=CARI!$C$6),OR(CARI!$C$7="",$G187=CARI!$C$7),OR(CARI!$C$8="",$T187=CARI!$C$8)),MAX($Z$3:Z186)+1,""))</f>
        <v/>
      </c>
      <c r="AA187" s="40" t="str">
        <f aca="false">IF($Y187="","",MAX($AA$3:AA186)+1)</f>
        <v/>
      </c>
      <c r="AB187" s="40" t="str">
        <f aca="false">IF($F187="","",$F187&amp;"#"&amp;COUNTIF($F$4:$F187,$F187))</f>
        <v/>
      </c>
      <c r="AC187" s="40" t="str">
        <f aca="false">IF($B187="","",IF(AND(OR(CETAK!$J$10="",$F187=CETAK!$J$10),OR(CETAK!$J$11="",$G187=CETAK!$J$11),OR(CETAK!$J$12="",$P187=CETAK!$J$12),OR(CETAK!$J$13="",$N187=CETAK!$J$13),OR(CETAK!$J$14="",$T187=CETAK!$J$14)),MAX($AC$3:AC186)+1,""))</f>
        <v/>
      </c>
      <c r="AD187" s="40" t="str">
        <f aca="false">IF($B187="","",IF(AND(OR(ABSENSI!$H$10="",$F187=ABSENSI!$H$10),OR(ABSENSI!$H$11="",$G187=ABSENSI!$H$11),OR(ABSENSI!$H$12="",$P187=ABSENSI!$H$12)),MAX($AD$3:AD186)+1,""))</f>
        <v/>
      </c>
      <c r="AE187" s="40" t="str">
        <f aca="false">IF($B187="","",IF(AND(OR(KARTU!$K$6="",$F187=KARTU!$K$6),OR(KARTU!$K$7="",$G187=KARTU!$K$7),OR(KARTU!$K$8="",$P187=KARTU!$K$8)),MAX($AE$3:AE186)+1,""))</f>
        <v/>
      </c>
    </row>
    <row r="188" customFormat="false" ht="15" hidden="false" customHeight="false" outlineLevel="0" collapsed="false">
      <c r="A188" s="35" t="str">
        <f aca="false">IF($B188="","",COUNTA($B$4:$B188))</f>
        <v/>
      </c>
      <c r="B188" s="36"/>
      <c r="C188" s="37"/>
      <c r="D188" s="37"/>
      <c r="E188" s="38"/>
      <c r="F188" s="36"/>
      <c r="G188" s="39"/>
      <c r="H188" s="39"/>
      <c r="I188" s="36"/>
      <c r="J188" s="36"/>
      <c r="K188" s="36"/>
      <c r="L188" s="36"/>
      <c r="M188" s="40" t="str">
        <f aca="false">IF($F188="","",$F188&amp;IF($G188="",""," - RT "&amp;$G188&amp;IF($H188="","","/"&amp;$H188)))</f>
        <v/>
      </c>
      <c r="N188" s="36"/>
      <c r="O188" s="37"/>
      <c r="P188" s="39"/>
      <c r="Q188" s="41"/>
      <c r="R188" s="35" t="str">
        <f aca="true">IF(OR($B188="",$Q188=""),"",DATEDIF($Q188,TODAY(),"Y"))</f>
        <v/>
      </c>
      <c r="S188" s="40" t="str">
        <f aca="false">IF($R188="","",INDEX(usia_label,MATCH($R188,usia_min,1)))</f>
        <v/>
      </c>
      <c r="T188" s="36"/>
      <c r="U188" s="41"/>
      <c r="V188" s="36"/>
      <c r="W188" s="36"/>
      <c r="X188" s="40" t="str">
        <f aca="false">IF($M188="","",$M188&amp;"#"&amp;COUNTIF($M$4:$M188,$M188))</f>
        <v/>
      </c>
      <c r="Y188" s="40" t="str">
        <f aca="false">IF($B188="","",IF($C188="","NIK kosong",IF(LEN($C188)&lt;&gt;16,"NIK bukan 16 digit",IF(COUNTIF($C$4:$C$2003,$C188&amp;"*")&gt;1,"NIK ganda",IF(AND($D188&lt;&gt;"",LEN($D188)&lt;&gt;16),"No. KK bukan 16 digit",IF(AND($F188="",$I188=""),"Alamat kosong",IF($N188="","Jabatan kosong",IF($O188="","No. HP kosong",IF(AND($R188&lt;&gt;"",$R188&lt;17),"Usia di bawah 17","")))))))))</f>
        <v/>
      </c>
      <c r="Z188" s="40" t="str">
        <f aca="false">IF($B188="","",IF(AND(OR(CARI!$C$5="",ISNUMBER(SEARCH(CARI!$C$5,$B188&amp;" "&amp;$C188&amp;" "&amp;$D188&amp;" "&amp;$O188&amp;" "&amp;$I188&amp;" "&amp;$F188&amp;" "&amp;$J188&amp;" "&amp;$K188&amp;" "&amp;$L188&amp;" "&amp;$V188))),OR(CARI!$C$6="",$F188=CARI!$C$6),OR(CARI!$C$7="",$G188=CARI!$C$7),OR(CARI!$C$8="",$T188=CARI!$C$8)),MAX($Z$3:Z187)+1,""))</f>
        <v/>
      </c>
      <c r="AA188" s="40" t="str">
        <f aca="false">IF($Y188="","",MAX($AA$3:AA187)+1)</f>
        <v/>
      </c>
      <c r="AB188" s="40" t="str">
        <f aca="false">IF($F188="","",$F188&amp;"#"&amp;COUNTIF($F$4:$F188,$F188))</f>
        <v/>
      </c>
      <c r="AC188" s="40" t="str">
        <f aca="false">IF($B188="","",IF(AND(OR(CETAK!$J$10="",$F188=CETAK!$J$10),OR(CETAK!$J$11="",$G188=CETAK!$J$11),OR(CETAK!$J$12="",$P188=CETAK!$J$12),OR(CETAK!$J$13="",$N188=CETAK!$J$13),OR(CETAK!$J$14="",$T188=CETAK!$J$14)),MAX($AC$3:AC187)+1,""))</f>
        <v/>
      </c>
      <c r="AD188" s="40" t="str">
        <f aca="false">IF($B188="","",IF(AND(OR(ABSENSI!$H$10="",$F188=ABSENSI!$H$10),OR(ABSENSI!$H$11="",$G188=ABSENSI!$H$11),OR(ABSENSI!$H$12="",$P188=ABSENSI!$H$12)),MAX($AD$3:AD187)+1,""))</f>
        <v/>
      </c>
      <c r="AE188" s="40" t="str">
        <f aca="false">IF($B188="","",IF(AND(OR(KARTU!$K$6="",$F188=KARTU!$K$6),OR(KARTU!$K$7="",$G188=KARTU!$K$7),OR(KARTU!$K$8="",$P188=KARTU!$K$8)),MAX($AE$3:AE187)+1,""))</f>
        <v/>
      </c>
    </row>
    <row r="189" customFormat="false" ht="15" hidden="false" customHeight="false" outlineLevel="0" collapsed="false">
      <c r="A189" s="35" t="str">
        <f aca="false">IF($B189="","",COUNTA($B$4:$B189))</f>
        <v/>
      </c>
      <c r="B189" s="36"/>
      <c r="C189" s="37"/>
      <c r="D189" s="37"/>
      <c r="E189" s="38"/>
      <c r="F189" s="36"/>
      <c r="G189" s="39"/>
      <c r="H189" s="39"/>
      <c r="I189" s="36"/>
      <c r="J189" s="36"/>
      <c r="K189" s="36"/>
      <c r="L189" s="36"/>
      <c r="M189" s="40" t="str">
        <f aca="false">IF($F189="","",$F189&amp;IF($G189="",""," - RT "&amp;$G189&amp;IF($H189="","","/"&amp;$H189)))</f>
        <v/>
      </c>
      <c r="N189" s="36"/>
      <c r="O189" s="37"/>
      <c r="P189" s="39"/>
      <c r="Q189" s="41"/>
      <c r="R189" s="35" t="str">
        <f aca="true">IF(OR($B189="",$Q189=""),"",DATEDIF($Q189,TODAY(),"Y"))</f>
        <v/>
      </c>
      <c r="S189" s="40" t="str">
        <f aca="false">IF($R189="","",INDEX(usia_label,MATCH($R189,usia_min,1)))</f>
        <v/>
      </c>
      <c r="T189" s="36"/>
      <c r="U189" s="41"/>
      <c r="V189" s="36"/>
      <c r="W189" s="36"/>
      <c r="X189" s="40" t="str">
        <f aca="false">IF($M189="","",$M189&amp;"#"&amp;COUNTIF($M$4:$M189,$M189))</f>
        <v/>
      </c>
      <c r="Y189" s="40" t="str">
        <f aca="false">IF($B189="","",IF($C189="","NIK kosong",IF(LEN($C189)&lt;&gt;16,"NIK bukan 16 digit",IF(COUNTIF($C$4:$C$2003,$C189&amp;"*")&gt;1,"NIK ganda",IF(AND($D189&lt;&gt;"",LEN($D189)&lt;&gt;16),"No. KK bukan 16 digit",IF(AND($F189="",$I189=""),"Alamat kosong",IF($N189="","Jabatan kosong",IF($O189="","No. HP kosong",IF(AND($R189&lt;&gt;"",$R189&lt;17),"Usia di bawah 17","")))))))))</f>
        <v/>
      </c>
      <c r="Z189" s="40" t="str">
        <f aca="false">IF($B189="","",IF(AND(OR(CARI!$C$5="",ISNUMBER(SEARCH(CARI!$C$5,$B189&amp;" "&amp;$C189&amp;" "&amp;$D189&amp;" "&amp;$O189&amp;" "&amp;$I189&amp;" "&amp;$F189&amp;" "&amp;$J189&amp;" "&amp;$K189&amp;" "&amp;$L189&amp;" "&amp;$V189))),OR(CARI!$C$6="",$F189=CARI!$C$6),OR(CARI!$C$7="",$G189=CARI!$C$7),OR(CARI!$C$8="",$T189=CARI!$C$8)),MAX($Z$3:Z188)+1,""))</f>
        <v/>
      </c>
      <c r="AA189" s="40" t="str">
        <f aca="false">IF($Y189="","",MAX($AA$3:AA188)+1)</f>
        <v/>
      </c>
      <c r="AB189" s="40" t="str">
        <f aca="false">IF($F189="","",$F189&amp;"#"&amp;COUNTIF($F$4:$F189,$F189))</f>
        <v/>
      </c>
      <c r="AC189" s="40" t="str">
        <f aca="false">IF($B189="","",IF(AND(OR(CETAK!$J$10="",$F189=CETAK!$J$10),OR(CETAK!$J$11="",$G189=CETAK!$J$11),OR(CETAK!$J$12="",$P189=CETAK!$J$12),OR(CETAK!$J$13="",$N189=CETAK!$J$13),OR(CETAK!$J$14="",$T189=CETAK!$J$14)),MAX($AC$3:AC188)+1,""))</f>
        <v/>
      </c>
      <c r="AD189" s="40" t="str">
        <f aca="false">IF($B189="","",IF(AND(OR(ABSENSI!$H$10="",$F189=ABSENSI!$H$10),OR(ABSENSI!$H$11="",$G189=ABSENSI!$H$11),OR(ABSENSI!$H$12="",$P189=ABSENSI!$H$12)),MAX($AD$3:AD188)+1,""))</f>
        <v/>
      </c>
      <c r="AE189" s="40" t="str">
        <f aca="false">IF($B189="","",IF(AND(OR(KARTU!$K$6="",$F189=KARTU!$K$6),OR(KARTU!$K$7="",$G189=KARTU!$K$7),OR(KARTU!$K$8="",$P189=KARTU!$K$8)),MAX($AE$3:AE188)+1,""))</f>
        <v/>
      </c>
    </row>
    <row r="190" customFormat="false" ht="15" hidden="false" customHeight="false" outlineLevel="0" collapsed="false">
      <c r="A190" s="35" t="str">
        <f aca="false">IF($B190="","",COUNTA($B$4:$B190))</f>
        <v/>
      </c>
      <c r="B190" s="36"/>
      <c r="C190" s="37"/>
      <c r="D190" s="37"/>
      <c r="E190" s="38"/>
      <c r="F190" s="36"/>
      <c r="G190" s="39"/>
      <c r="H190" s="39"/>
      <c r="I190" s="36"/>
      <c r="J190" s="36"/>
      <c r="K190" s="36"/>
      <c r="L190" s="36"/>
      <c r="M190" s="40" t="str">
        <f aca="false">IF($F190="","",$F190&amp;IF($G190="",""," - RT "&amp;$G190&amp;IF($H190="","","/"&amp;$H190)))</f>
        <v/>
      </c>
      <c r="N190" s="36"/>
      <c r="O190" s="37"/>
      <c r="P190" s="39"/>
      <c r="Q190" s="41"/>
      <c r="R190" s="35" t="str">
        <f aca="true">IF(OR($B190="",$Q190=""),"",DATEDIF($Q190,TODAY(),"Y"))</f>
        <v/>
      </c>
      <c r="S190" s="40" t="str">
        <f aca="false">IF($R190="","",INDEX(usia_label,MATCH($R190,usia_min,1)))</f>
        <v/>
      </c>
      <c r="T190" s="36"/>
      <c r="U190" s="41"/>
      <c r="V190" s="36"/>
      <c r="W190" s="36"/>
      <c r="X190" s="40" t="str">
        <f aca="false">IF($M190="","",$M190&amp;"#"&amp;COUNTIF($M$4:$M190,$M190))</f>
        <v/>
      </c>
      <c r="Y190" s="40" t="str">
        <f aca="false">IF($B190="","",IF($C190="","NIK kosong",IF(LEN($C190)&lt;&gt;16,"NIK bukan 16 digit",IF(COUNTIF($C$4:$C$2003,$C190&amp;"*")&gt;1,"NIK ganda",IF(AND($D190&lt;&gt;"",LEN($D190)&lt;&gt;16),"No. KK bukan 16 digit",IF(AND($F190="",$I190=""),"Alamat kosong",IF($N190="","Jabatan kosong",IF($O190="","No. HP kosong",IF(AND($R190&lt;&gt;"",$R190&lt;17),"Usia di bawah 17","")))))))))</f>
        <v/>
      </c>
      <c r="Z190" s="40" t="str">
        <f aca="false">IF($B190="","",IF(AND(OR(CARI!$C$5="",ISNUMBER(SEARCH(CARI!$C$5,$B190&amp;" "&amp;$C190&amp;" "&amp;$D190&amp;" "&amp;$O190&amp;" "&amp;$I190&amp;" "&amp;$F190&amp;" "&amp;$J190&amp;" "&amp;$K190&amp;" "&amp;$L190&amp;" "&amp;$V190))),OR(CARI!$C$6="",$F190=CARI!$C$6),OR(CARI!$C$7="",$G190=CARI!$C$7),OR(CARI!$C$8="",$T190=CARI!$C$8)),MAX($Z$3:Z189)+1,""))</f>
        <v/>
      </c>
      <c r="AA190" s="40" t="str">
        <f aca="false">IF($Y190="","",MAX($AA$3:AA189)+1)</f>
        <v/>
      </c>
      <c r="AB190" s="40" t="str">
        <f aca="false">IF($F190="","",$F190&amp;"#"&amp;COUNTIF($F$4:$F190,$F190))</f>
        <v/>
      </c>
      <c r="AC190" s="40" t="str">
        <f aca="false">IF($B190="","",IF(AND(OR(CETAK!$J$10="",$F190=CETAK!$J$10),OR(CETAK!$J$11="",$G190=CETAK!$J$11),OR(CETAK!$J$12="",$P190=CETAK!$J$12),OR(CETAK!$J$13="",$N190=CETAK!$J$13),OR(CETAK!$J$14="",$T190=CETAK!$J$14)),MAX($AC$3:AC189)+1,""))</f>
        <v/>
      </c>
      <c r="AD190" s="40" t="str">
        <f aca="false">IF($B190="","",IF(AND(OR(ABSENSI!$H$10="",$F190=ABSENSI!$H$10),OR(ABSENSI!$H$11="",$G190=ABSENSI!$H$11),OR(ABSENSI!$H$12="",$P190=ABSENSI!$H$12)),MAX($AD$3:AD189)+1,""))</f>
        <v/>
      </c>
      <c r="AE190" s="40" t="str">
        <f aca="false">IF($B190="","",IF(AND(OR(KARTU!$K$6="",$F190=KARTU!$K$6),OR(KARTU!$K$7="",$G190=KARTU!$K$7),OR(KARTU!$K$8="",$P190=KARTU!$K$8)),MAX($AE$3:AE189)+1,""))</f>
        <v/>
      </c>
    </row>
    <row r="191" customFormat="false" ht="15" hidden="false" customHeight="false" outlineLevel="0" collapsed="false">
      <c r="A191" s="35" t="str">
        <f aca="false">IF($B191="","",COUNTA($B$4:$B191))</f>
        <v/>
      </c>
      <c r="B191" s="36"/>
      <c r="C191" s="37"/>
      <c r="D191" s="37"/>
      <c r="E191" s="38"/>
      <c r="F191" s="36"/>
      <c r="G191" s="39"/>
      <c r="H191" s="39"/>
      <c r="I191" s="36"/>
      <c r="J191" s="36"/>
      <c r="K191" s="36"/>
      <c r="L191" s="36"/>
      <c r="M191" s="40" t="str">
        <f aca="false">IF($F191="","",$F191&amp;IF($G191="",""," - RT "&amp;$G191&amp;IF($H191="","","/"&amp;$H191)))</f>
        <v/>
      </c>
      <c r="N191" s="36"/>
      <c r="O191" s="37"/>
      <c r="P191" s="39"/>
      <c r="Q191" s="41"/>
      <c r="R191" s="35" t="str">
        <f aca="true">IF(OR($B191="",$Q191=""),"",DATEDIF($Q191,TODAY(),"Y"))</f>
        <v/>
      </c>
      <c r="S191" s="40" t="str">
        <f aca="false">IF($R191="","",INDEX(usia_label,MATCH($R191,usia_min,1)))</f>
        <v/>
      </c>
      <c r="T191" s="36"/>
      <c r="U191" s="41"/>
      <c r="V191" s="36"/>
      <c r="W191" s="36"/>
      <c r="X191" s="40" t="str">
        <f aca="false">IF($M191="","",$M191&amp;"#"&amp;COUNTIF($M$4:$M191,$M191))</f>
        <v/>
      </c>
      <c r="Y191" s="40" t="str">
        <f aca="false">IF($B191="","",IF($C191="","NIK kosong",IF(LEN($C191)&lt;&gt;16,"NIK bukan 16 digit",IF(COUNTIF($C$4:$C$2003,$C191&amp;"*")&gt;1,"NIK ganda",IF(AND($D191&lt;&gt;"",LEN($D191)&lt;&gt;16),"No. KK bukan 16 digit",IF(AND($F191="",$I191=""),"Alamat kosong",IF($N191="","Jabatan kosong",IF($O191="","No. HP kosong",IF(AND($R191&lt;&gt;"",$R191&lt;17),"Usia di bawah 17","")))))))))</f>
        <v/>
      </c>
      <c r="Z191" s="40" t="str">
        <f aca="false">IF($B191="","",IF(AND(OR(CARI!$C$5="",ISNUMBER(SEARCH(CARI!$C$5,$B191&amp;" "&amp;$C191&amp;" "&amp;$D191&amp;" "&amp;$O191&amp;" "&amp;$I191&amp;" "&amp;$F191&amp;" "&amp;$J191&amp;" "&amp;$K191&amp;" "&amp;$L191&amp;" "&amp;$V191))),OR(CARI!$C$6="",$F191=CARI!$C$6),OR(CARI!$C$7="",$G191=CARI!$C$7),OR(CARI!$C$8="",$T191=CARI!$C$8)),MAX($Z$3:Z190)+1,""))</f>
        <v/>
      </c>
      <c r="AA191" s="40" t="str">
        <f aca="false">IF($Y191="","",MAX($AA$3:AA190)+1)</f>
        <v/>
      </c>
      <c r="AB191" s="40" t="str">
        <f aca="false">IF($F191="","",$F191&amp;"#"&amp;COUNTIF($F$4:$F191,$F191))</f>
        <v/>
      </c>
      <c r="AC191" s="40" t="str">
        <f aca="false">IF($B191="","",IF(AND(OR(CETAK!$J$10="",$F191=CETAK!$J$10),OR(CETAK!$J$11="",$G191=CETAK!$J$11),OR(CETAK!$J$12="",$P191=CETAK!$J$12),OR(CETAK!$J$13="",$N191=CETAK!$J$13),OR(CETAK!$J$14="",$T191=CETAK!$J$14)),MAX($AC$3:AC190)+1,""))</f>
        <v/>
      </c>
      <c r="AD191" s="40" t="str">
        <f aca="false">IF($B191="","",IF(AND(OR(ABSENSI!$H$10="",$F191=ABSENSI!$H$10),OR(ABSENSI!$H$11="",$G191=ABSENSI!$H$11),OR(ABSENSI!$H$12="",$P191=ABSENSI!$H$12)),MAX($AD$3:AD190)+1,""))</f>
        <v/>
      </c>
      <c r="AE191" s="40" t="str">
        <f aca="false">IF($B191="","",IF(AND(OR(KARTU!$K$6="",$F191=KARTU!$K$6),OR(KARTU!$K$7="",$G191=KARTU!$K$7),OR(KARTU!$K$8="",$P191=KARTU!$K$8)),MAX($AE$3:AE190)+1,""))</f>
        <v/>
      </c>
    </row>
    <row r="192" customFormat="false" ht="15" hidden="false" customHeight="false" outlineLevel="0" collapsed="false">
      <c r="A192" s="35" t="str">
        <f aca="false">IF($B192="","",COUNTA($B$4:$B192))</f>
        <v/>
      </c>
      <c r="B192" s="36"/>
      <c r="C192" s="37"/>
      <c r="D192" s="37"/>
      <c r="E192" s="38"/>
      <c r="F192" s="36"/>
      <c r="G192" s="39"/>
      <c r="H192" s="39"/>
      <c r="I192" s="36"/>
      <c r="J192" s="36"/>
      <c r="K192" s="36"/>
      <c r="L192" s="36"/>
      <c r="M192" s="40" t="str">
        <f aca="false">IF($F192="","",$F192&amp;IF($G192="",""," - RT "&amp;$G192&amp;IF($H192="","","/"&amp;$H192)))</f>
        <v/>
      </c>
      <c r="N192" s="36"/>
      <c r="O192" s="37"/>
      <c r="P192" s="39"/>
      <c r="Q192" s="41"/>
      <c r="R192" s="35" t="str">
        <f aca="true">IF(OR($B192="",$Q192=""),"",DATEDIF($Q192,TODAY(),"Y"))</f>
        <v/>
      </c>
      <c r="S192" s="40" t="str">
        <f aca="false">IF($R192="","",INDEX(usia_label,MATCH($R192,usia_min,1)))</f>
        <v/>
      </c>
      <c r="T192" s="36"/>
      <c r="U192" s="41"/>
      <c r="V192" s="36"/>
      <c r="W192" s="36"/>
      <c r="X192" s="40" t="str">
        <f aca="false">IF($M192="","",$M192&amp;"#"&amp;COUNTIF($M$4:$M192,$M192))</f>
        <v/>
      </c>
      <c r="Y192" s="40" t="str">
        <f aca="false">IF($B192="","",IF($C192="","NIK kosong",IF(LEN($C192)&lt;&gt;16,"NIK bukan 16 digit",IF(COUNTIF($C$4:$C$2003,$C192&amp;"*")&gt;1,"NIK ganda",IF(AND($D192&lt;&gt;"",LEN($D192)&lt;&gt;16),"No. KK bukan 16 digit",IF(AND($F192="",$I192=""),"Alamat kosong",IF($N192="","Jabatan kosong",IF($O192="","No. HP kosong",IF(AND($R192&lt;&gt;"",$R192&lt;17),"Usia di bawah 17","")))))))))</f>
        <v/>
      </c>
      <c r="Z192" s="40" t="str">
        <f aca="false">IF($B192="","",IF(AND(OR(CARI!$C$5="",ISNUMBER(SEARCH(CARI!$C$5,$B192&amp;" "&amp;$C192&amp;" "&amp;$D192&amp;" "&amp;$O192&amp;" "&amp;$I192&amp;" "&amp;$F192&amp;" "&amp;$J192&amp;" "&amp;$K192&amp;" "&amp;$L192&amp;" "&amp;$V192))),OR(CARI!$C$6="",$F192=CARI!$C$6),OR(CARI!$C$7="",$G192=CARI!$C$7),OR(CARI!$C$8="",$T192=CARI!$C$8)),MAX($Z$3:Z191)+1,""))</f>
        <v/>
      </c>
      <c r="AA192" s="40" t="str">
        <f aca="false">IF($Y192="","",MAX($AA$3:AA191)+1)</f>
        <v/>
      </c>
      <c r="AB192" s="40" t="str">
        <f aca="false">IF($F192="","",$F192&amp;"#"&amp;COUNTIF($F$4:$F192,$F192))</f>
        <v/>
      </c>
      <c r="AC192" s="40" t="str">
        <f aca="false">IF($B192="","",IF(AND(OR(CETAK!$J$10="",$F192=CETAK!$J$10),OR(CETAK!$J$11="",$G192=CETAK!$J$11),OR(CETAK!$J$12="",$P192=CETAK!$J$12),OR(CETAK!$J$13="",$N192=CETAK!$J$13),OR(CETAK!$J$14="",$T192=CETAK!$J$14)),MAX($AC$3:AC191)+1,""))</f>
        <v/>
      </c>
      <c r="AD192" s="40" t="str">
        <f aca="false">IF($B192="","",IF(AND(OR(ABSENSI!$H$10="",$F192=ABSENSI!$H$10),OR(ABSENSI!$H$11="",$G192=ABSENSI!$H$11),OR(ABSENSI!$H$12="",$P192=ABSENSI!$H$12)),MAX($AD$3:AD191)+1,""))</f>
        <v/>
      </c>
      <c r="AE192" s="40" t="str">
        <f aca="false">IF($B192="","",IF(AND(OR(KARTU!$K$6="",$F192=KARTU!$K$6),OR(KARTU!$K$7="",$G192=KARTU!$K$7),OR(KARTU!$K$8="",$P192=KARTU!$K$8)),MAX($AE$3:AE191)+1,""))</f>
        <v/>
      </c>
    </row>
    <row r="193" customFormat="false" ht="15" hidden="false" customHeight="false" outlineLevel="0" collapsed="false">
      <c r="A193" s="35" t="str">
        <f aca="false">IF($B193="","",COUNTA($B$4:$B193))</f>
        <v/>
      </c>
      <c r="B193" s="36"/>
      <c r="C193" s="37"/>
      <c r="D193" s="37"/>
      <c r="E193" s="38"/>
      <c r="F193" s="36"/>
      <c r="G193" s="39"/>
      <c r="H193" s="39"/>
      <c r="I193" s="36"/>
      <c r="J193" s="36"/>
      <c r="K193" s="36"/>
      <c r="L193" s="36"/>
      <c r="M193" s="40" t="str">
        <f aca="false">IF($F193="","",$F193&amp;IF($G193="",""," - RT "&amp;$G193&amp;IF($H193="","","/"&amp;$H193)))</f>
        <v/>
      </c>
      <c r="N193" s="36"/>
      <c r="O193" s="37"/>
      <c r="P193" s="39"/>
      <c r="Q193" s="41"/>
      <c r="R193" s="35" t="str">
        <f aca="true">IF(OR($B193="",$Q193=""),"",DATEDIF($Q193,TODAY(),"Y"))</f>
        <v/>
      </c>
      <c r="S193" s="40" t="str">
        <f aca="false">IF($R193="","",INDEX(usia_label,MATCH($R193,usia_min,1)))</f>
        <v/>
      </c>
      <c r="T193" s="36"/>
      <c r="U193" s="41"/>
      <c r="V193" s="36"/>
      <c r="W193" s="36"/>
      <c r="X193" s="40" t="str">
        <f aca="false">IF($M193="","",$M193&amp;"#"&amp;COUNTIF($M$4:$M193,$M193))</f>
        <v/>
      </c>
      <c r="Y193" s="40" t="str">
        <f aca="false">IF($B193="","",IF($C193="","NIK kosong",IF(LEN($C193)&lt;&gt;16,"NIK bukan 16 digit",IF(COUNTIF($C$4:$C$2003,$C193&amp;"*")&gt;1,"NIK ganda",IF(AND($D193&lt;&gt;"",LEN($D193)&lt;&gt;16),"No. KK bukan 16 digit",IF(AND($F193="",$I193=""),"Alamat kosong",IF($N193="","Jabatan kosong",IF($O193="","No. HP kosong",IF(AND($R193&lt;&gt;"",$R193&lt;17),"Usia di bawah 17","")))))))))</f>
        <v/>
      </c>
      <c r="Z193" s="40" t="str">
        <f aca="false">IF($B193="","",IF(AND(OR(CARI!$C$5="",ISNUMBER(SEARCH(CARI!$C$5,$B193&amp;" "&amp;$C193&amp;" "&amp;$D193&amp;" "&amp;$O193&amp;" "&amp;$I193&amp;" "&amp;$F193&amp;" "&amp;$J193&amp;" "&amp;$K193&amp;" "&amp;$L193&amp;" "&amp;$V193))),OR(CARI!$C$6="",$F193=CARI!$C$6),OR(CARI!$C$7="",$G193=CARI!$C$7),OR(CARI!$C$8="",$T193=CARI!$C$8)),MAX($Z$3:Z192)+1,""))</f>
        <v/>
      </c>
      <c r="AA193" s="40" t="str">
        <f aca="false">IF($Y193="","",MAX($AA$3:AA192)+1)</f>
        <v/>
      </c>
      <c r="AB193" s="40" t="str">
        <f aca="false">IF($F193="","",$F193&amp;"#"&amp;COUNTIF($F$4:$F193,$F193))</f>
        <v/>
      </c>
      <c r="AC193" s="40" t="str">
        <f aca="false">IF($B193="","",IF(AND(OR(CETAK!$J$10="",$F193=CETAK!$J$10),OR(CETAK!$J$11="",$G193=CETAK!$J$11),OR(CETAK!$J$12="",$P193=CETAK!$J$12),OR(CETAK!$J$13="",$N193=CETAK!$J$13),OR(CETAK!$J$14="",$T193=CETAK!$J$14)),MAX($AC$3:AC192)+1,""))</f>
        <v/>
      </c>
      <c r="AD193" s="40" t="str">
        <f aca="false">IF($B193="","",IF(AND(OR(ABSENSI!$H$10="",$F193=ABSENSI!$H$10),OR(ABSENSI!$H$11="",$G193=ABSENSI!$H$11),OR(ABSENSI!$H$12="",$P193=ABSENSI!$H$12)),MAX($AD$3:AD192)+1,""))</f>
        <v/>
      </c>
      <c r="AE193" s="40" t="str">
        <f aca="false">IF($B193="","",IF(AND(OR(KARTU!$K$6="",$F193=KARTU!$K$6),OR(KARTU!$K$7="",$G193=KARTU!$K$7),OR(KARTU!$K$8="",$P193=KARTU!$K$8)),MAX($AE$3:AE192)+1,""))</f>
        <v/>
      </c>
    </row>
    <row r="194" customFormat="false" ht="15" hidden="false" customHeight="false" outlineLevel="0" collapsed="false">
      <c r="A194" s="35" t="str">
        <f aca="false">IF($B194="","",COUNTA($B$4:$B194))</f>
        <v/>
      </c>
      <c r="B194" s="36"/>
      <c r="C194" s="37"/>
      <c r="D194" s="37"/>
      <c r="E194" s="38"/>
      <c r="F194" s="36"/>
      <c r="G194" s="39"/>
      <c r="H194" s="39"/>
      <c r="I194" s="36"/>
      <c r="J194" s="36"/>
      <c r="K194" s="36"/>
      <c r="L194" s="36"/>
      <c r="M194" s="40" t="str">
        <f aca="false">IF($F194="","",$F194&amp;IF($G194="",""," - RT "&amp;$G194&amp;IF($H194="","","/"&amp;$H194)))</f>
        <v/>
      </c>
      <c r="N194" s="36"/>
      <c r="O194" s="37"/>
      <c r="P194" s="39"/>
      <c r="Q194" s="41"/>
      <c r="R194" s="35" t="str">
        <f aca="true">IF(OR($B194="",$Q194=""),"",DATEDIF($Q194,TODAY(),"Y"))</f>
        <v/>
      </c>
      <c r="S194" s="40" t="str">
        <f aca="false">IF($R194="","",INDEX(usia_label,MATCH($R194,usia_min,1)))</f>
        <v/>
      </c>
      <c r="T194" s="36"/>
      <c r="U194" s="41"/>
      <c r="V194" s="36"/>
      <c r="W194" s="36"/>
      <c r="X194" s="40" t="str">
        <f aca="false">IF($M194="","",$M194&amp;"#"&amp;COUNTIF($M$4:$M194,$M194))</f>
        <v/>
      </c>
      <c r="Y194" s="40" t="str">
        <f aca="false">IF($B194="","",IF($C194="","NIK kosong",IF(LEN($C194)&lt;&gt;16,"NIK bukan 16 digit",IF(COUNTIF($C$4:$C$2003,$C194&amp;"*")&gt;1,"NIK ganda",IF(AND($D194&lt;&gt;"",LEN($D194)&lt;&gt;16),"No. KK bukan 16 digit",IF(AND($F194="",$I194=""),"Alamat kosong",IF($N194="","Jabatan kosong",IF($O194="","No. HP kosong",IF(AND($R194&lt;&gt;"",$R194&lt;17),"Usia di bawah 17","")))))))))</f>
        <v/>
      </c>
      <c r="Z194" s="40" t="str">
        <f aca="false">IF($B194="","",IF(AND(OR(CARI!$C$5="",ISNUMBER(SEARCH(CARI!$C$5,$B194&amp;" "&amp;$C194&amp;" "&amp;$D194&amp;" "&amp;$O194&amp;" "&amp;$I194&amp;" "&amp;$F194&amp;" "&amp;$J194&amp;" "&amp;$K194&amp;" "&amp;$L194&amp;" "&amp;$V194))),OR(CARI!$C$6="",$F194=CARI!$C$6),OR(CARI!$C$7="",$G194=CARI!$C$7),OR(CARI!$C$8="",$T194=CARI!$C$8)),MAX($Z$3:Z193)+1,""))</f>
        <v/>
      </c>
      <c r="AA194" s="40" t="str">
        <f aca="false">IF($Y194="","",MAX($AA$3:AA193)+1)</f>
        <v/>
      </c>
      <c r="AB194" s="40" t="str">
        <f aca="false">IF($F194="","",$F194&amp;"#"&amp;COUNTIF($F$4:$F194,$F194))</f>
        <v/>
      </c>
      <c r="AC194" s="40" t="str">
        <f aca="false">IF($B194="","",IF(AND(OR(CETAK!$J$10="",$F194=CETAK!$J$10),OR(CETAK!$J$11="",$G194=CETAK!$J$11),OR(CETAK!$J$12="",$P194=CETAK!$J$12),OR(CETAK!$J$13="",$N194=CETAK!$J$13),OR(CETAK!$J$14="",$T194=CETAK!$J$14)),MAX($AC$3:AC193)+1,""))</f>
        <v/>
      </c>
      <c r="AD194" s="40" t="str">
        <f aca="false">IF($B194="","",IF(AND(OR(ABSENSI!$H$10="",$F194=ABSENSI!$H$10),OR(ABSENSI!$H$11="",$G194=ABSENSI!$H$11),OR(ABSENSI!$H$12="",$P194=ABSENSI!$H$12)),MAX($AD$3:AD193)+1,""))</f>
        <v/>
      </c>
      <c r="AE194" s="40" t="str">
        <f aca="false">IF($B194="","",IF(AND(OR(KARTU!$K$6="",$F194=KARTU!$K$6),OR(KARTU!$K$7="",$G194=KARTU!$K$7),OR(KARTU!$K$8="",$P194=KARTU!$K$8)),MAX($AE$3:AE193)+1,""))</f>
        <v/>
      </c>
    </row>
    <row r="195" customFormat="false" ht="15" hidden="false" customHeight="false" outlineLevel="0" collapsed="false">
      <c r="A195" s="35" t="str">
        <f aca="false">IF($B195="","",COUNTA($B$4:$B195))</f>
        <v/>
      </c>
      <c r="B195" s="36"/>
      <c r="C195" s="37"/>
      <c r="D195" s="37"/>
      <c r="E195" s="38"/>
      <c r="F195" s="36"/>
      <c r="G195" s="39"/>
      <c r="H195" s="39"/>
      <c r="I195" s="36"/>
      <c r="J195" s="36"/>
      <c r="K195" s="36"/>
      <c r="L195" s="36"/>
      <c r="M195" s="40" t="str">
        <f aca="false">IF($F195="","",$F195&amp;IF($G195="",""," - RT "&amp;$G195&amp;IF($H195="","","/"&amp;$H195)))</f>
        <v/>
      </c>
      <c r="N195" s="36"/>
      <c r="O195" s="37"/>
      <c r="P195" s="39"/>
      <c r="Q195" s="41"/>
      <c r="R195" s="35" t="str">
        <f aca="true">IF(OR($B195="",$Q195=""),"",DATEDIF($Q195,TODAY(),"Y"))</f>
        <v/>
      </c>
      <c r="S195" s="40" t="str">
        <f aca="false">IF($R195="","",INDEX(usia_label,MATCH($R195,usia_min,1)))</f>
        <v/>
      </c>
      <c r="T195" s="36"/>
      <c r="U195" s="41"/>
      <c r="V195" s="36"/>
      <c r="W195" s="36"/>
      <c r="X195" s="40" t="str">
        <f aca="false">IF($M195="","",$M195&amp;"#"&amp;COUNTIF($M$4:$M195,$M195))</f>
        <v/>
      </c>
      <c r="Y195" s="40" t="str">
        <f aca="false">IF($B195="","",IF($C195="","NIK kosong",IF(LEN($C195)&lt;&gt;16,"NIK bukan 16 digit",IF(COUNTIF($C$4:$C$2003,$C195&amp;"*")&gt;1,"NIK ganda",IF(AND($D195&lt;&gt;"",LEN($D195)&lt;&gt;16),"No. KK bukan 16 digit",IF(AND($F195="",$I195=""),"Alamat kosong",IF($N195="","Jabatan kosong",IF($O195="","No. HP kosong",IF(AND($R195&lt;&gt;"",$R195&lt;17),"Usia di bawah 17","")))))))))</f>
        <v/>
      </c>
      <c r="Z195" s="40" t="str">
        <f aca="false">IF($B195="","",IF(AND(OR(CARI!$C$5="",ISNUMBER(SEARCH(CARI!$C$5,$B195&amp;" "&amp;$C195&amp;" "&amp;$D195&amp;" "&amp;$O195&amp;" "&amp;$I195&amp;" "&amp;$F195&amp;" "&amp;$J195&amp;" "&amp;$K195&amp;" "&amp;$L195&amp;" "&amp;$V195))),OR(CARI!$C$6="",$F195=CARI!$C$6),OR(CARI!$C$7="",$G195=CARI!$C$7),OR(CARI!$C$8="",$T195=CARI!$C$8)),MAX($Z$3:Z194)+1,""))</f>
        <v/>
      </c>
      <c r="AA195" s="40" t="str">
        <f aca="false">IF($Y195="","",MAX($AA$3:AA194)+1)</f>
        <v/>
      </c>
      <c r="AB195" s="40" t="str">
        <f aca="false">IF($F195="","",$F195&amp;"#"&amp;COUNTIF($F$4:$F195,$F195))</f>
        <v/>
      </c>
      <c r="AC195" s="40" t="str">
        <f aca="false">IF($B195="","",IF(AND(OR(CETAK!$J$10="",$F195=CETAK!$J$10),OR(CETAK!$J$11="",$G195=CETAK!$J$11),OR(CETAK!$J$12="",$P195=CETAK!$J$12),OR(CETAK!$J$13="",$N195=CETAK!$J$13),OR(CETAK!$J$14="",$T195=CETAK!$J$14)),MAX($AC$3:AC194)+1,""))</f>
        <v/>
      </c>
      <c r="AD195" s="40" t="str">
        <f aca="false">IF($B195="","",IF(AND(OR(ABSENSI!$H$10="",$F195=ABSENSI!$H$10),OR(ABSENSI!$H$11="",$G195=ABSENSI!$H$11),OR(ABSENSI!$H$12="",$P195=ABSENSI!$H$12)),MAX($AD$3:AD194)+1,""))</f>
        <v/>
      </c>
      <c r="AE195" s="40" t="str">
        <f aca="false">IF($B195="","",IF(AND(OR(KARTU!$K$6="",$F195=KARTU!$K$6),OR(KARTU!$K$7="",$G195=KARTU!$K$7),OR(KARTU!$K$8="",$P195=KARTU!$K$8)),MAX($AE$3:AE194)+1,""))</f>
        <v/>
      </c>
    </row>
    <row r="196" customFormat="false" ht="15" hidden="false" customHeight="false" outlineLevel="0" collapsed="false">
      <c r="A196" s="35" t="str">
        <f aca="false">IF($B196="","",COUNTA($B$4:$B196))</f>
        <v/>
      </c>
      <c r="B196" s="36"/>
      <c r="C196" s="37"/>
      <c r="D196" s="37"/>
      <c r="E196" s="38"/>
      <c r="F196" s="36"/>
      <c r="G196" s="39"/>
      <c r="H196" s="39"/>
      <c r="I196" s="36"/>
      <c r="J196" s="36"/>
      <c r="K196" s="36"/>
      <c r="L196" s="36"/>
      <c r="M196" s="40" t="str">
        <f aca="false">IF($F196="","",$F196&amp;IF($G196="",""," - RT "&amp;$G196&amp;IF($H196="","","/"&amp;$H196)))</f>
        <v/>
      </c>
      <c r="N196" s="36"/>
      <c r="O196" s="37"/>
      <c r="P196" s="39"/>
      <c r="Q196" s="41"/>
      <c r="R196" s="35" t="str">
        <f aca="true">IF(OR($B196="",$Q196=""),"",DATEDIF($Q196,TODAY(),"Y"))</f>
        <v/>
      </c>
      <c r="S196" s="40" t="str">
        <f aca="false">IF($R196="","",INDEX(usia_label,MATCH($R196,usia_min,1)))</f>
        <v/>
      </c>
      <c r="T196" s="36"/>
      <c r="U196" s="41"/>
      <c r="V196" s="36"/>
      <c r="W196" s="36"/>
      <c r="X196" s="40" t="str">
        <f aca="false">IF($M196="","",$M196&amp;"#"&amp;COUNTIF($M$4:$M196,$M196))</f>
        <v/>
      </c>
      <c r="Y196" s="40" t="str">
        <f aca="false">IF($B196="","",IF($C196="","NIK kosong",IF(LEN($C196)&lt;&gt;16,"NIK bukan 16 digit",IF(COUNTIF($C$4:$C$2003,$C196&amp;"*")&gt;1,"NIK ganda",IF(AND($D196&lt;&gt;"",LEN($D196)&lt;&gt;16),"No. KK bukan 16 digit",IF(AND($F196="",$I196=""),"Alamat kosong",IF($N196="","Jabatan kosong",IF($O196="","No. HP kosong",IF(AND($R196&lt;&gt;"",$R196&lt;17),"Usia di bawah 17","")))))))))</f>
        <v/>
      </c>
      <c r="Z196" s="40" t="str">
        <f aca="false">IF($B196="","",IF(AND(OR(CARI!$C$5="",ISNUMBER(SEARCH(CARI!$C$5,$B196&amp;" "&amp;$C196&amp;" "&amp;$D196&amp;" "&amp;$O196&amp;" "&amp;$I196&amp;" "&amp;$F196&amp;" "&amp;$J196&amp;" "&amp;$K196&amp;" "&amp;$L196&amp;" "&amp;$V196))),OR(CARI!$C$6="",$F196=CARI!$C$6),OR(CARI!$C$7="",$G196=CARI!$C$7),OR(CARI!$C$8="",$T196=CARI!$C$8)),MAX($Z$3:Z195)+1,""))</f>
        <v/>
      </c>
      <c r="AA196" s="40" t="str">
        <f aca="false">IF($Y196="","",MAX($AA$3:AA195)+1)</f>
        <v/>
      </c>
      <c r="AB196" s="40" t="str">
        <f aca="false">IF($F196="","",$F196&amp;"#"&amp;COUNTIF($F$4:$F196,$F196))</f>
        <v/>
      </c>
      <c r="AC196" s="40" t="str">
        <f aca="false">IF($B196="","",IF(AND(OR(CETAK!$J$10="",$F196=CETAK!$J$10),OR(CETAK!$J$11="",$G196=CETAK!$J$11),OR(CETAK!$J$12="",$P196=CETAK!$J$12),OR(CETAK!$J$13="",$N196=CETAK!$J$13),OR(CETAK!$J$14="",$T196=CETAK!$J$14)),MAX($AC$3:AC195)+1,""))</f>
        <v/>
      </c>
      <c r="AD196" s="40" t="str">
        <f aca="false">IF($B196="","",IF(AND(OR(ABSENSI!$H$10="",$F196=ABSENSI!$H$10),OR(ABSENSI!$H$11="",$G196=ABSENSI!$H$11),OR(ABSENSI!$H$12="",$P196=ABSENSI!$H$12)),MAX($AD$3:AD195)+1,""))</f>
        <v/>
      </c>
      <c r="AE196" s="40" t="str">
        <f aca="false">IF($B196="","",IF(AND(OR(KARTU!$K$6="",$F196=KARTU!$K$6),OR(KARTU!$K$7="",$G196=KARTU!$K$7),OR(KARTU!$K$8="",$P196=KARTU!$K$8)),MAX($AE$3:AE195)+1,""))</f>
        <v/>
      </c>
    </row>
    <row r="197" customFormat="false" ht="15" hidden="false" customHeight="false" outlineLevel="0" collapsed="false">
      <c r="A197" s="35" t="str">
        <f aca="false">IF($B197="","",COUNTA($B$4:$B197))</f>
        <v/>
      </c>
      <c r="B197" s="36"/>
      <c r="C197" s="37"/>
      <c r="D197" s="37"/>
      <c r="E197" s="38"/>
      <c r="F197" s="36"/>
      <c r="G197" s="39"/>
      <c r="H197" s="39"/>
      <c r="I197" s="36"/>
      <c r="J197" s="36"/>
      <c r="K197" s="36"/>
      <c r="L197" s="36"/>
      <c r="M197" s="40" t="str">
        <f aca="false">IF($F197="","",$F197&amp;IF($G197="",""," - RT "&amp;$G197&amp;IF($H197="","","/"&amp;$H197)))</f>
        <v/>
      </c>
      <c r="N197" s="36"/>
      <c r="O197" s="37"/>
      <c r="P197" s="39"/>
      <c r="Q197" s="41"/>
      <c r="R197" s="35" t="str">
        <f aca="true">IF(OR($B197="",$Q197=""),"",DATEDIF($Q197,TODAY(),"Y"))</f>
        <v/>
      </c>
      <c r="S197" s="40" t="str">
        <f aca="false">IF($R197="","",INDEX(usia_label,MATCH($R197,usia_min,1)))</f>
        <v/>
      </c>
      <c r="T197" s="36"/>
      <c r="U197" s="41"/>
      <c r="V197" s="36"/>
      <c r="W197" s="36"/>
      <c r="X197" s="40" t="str">
        <f aca="false">IF($M197="","",$M197&amp;"#"&amp;COUNTIF($M$4:$M197,$M197))</f>
        <v/>
      </c>
      <c r="Y197" s="40" t="str">
        <f aca="false">IF($B197="","",IF($C197="","NIK kosong",IF(LEN($C197)&lt;&gt;16,"NIK bukan 16 digit",IF(COUNTIF($C$4:$C$2003,$C197&amp;"*")&gt;1,"NIK ganda",IF(AND($D197&lt;&gt;"",LEN($D197)&lt;&gt;16),"No. KK bukan 16 digit",IF(AND($F197="",$I197=""),"Alamat kosong",IF($N197="","Jabatan kosong",IF($O197="","No. HP kosong",IF(AND($R197&lt;&gt;"",$R197&lt;17),"Usia di bawah 17","")))))))))</f>
        <v/>
      </c>
      <c r="Z197" s="40" t="str">
        <f aca="false">IF($B197="","",IF(AND(OR(CARI!$C$5="",ISNUMBER(SEARCH(CARI!$C$5,$B197&amp;" "&amp;$C197&amp;" "&amp;$D197&amp;" "&amp;$O197&amp;" "&amp;$I197&amp;" "&amp;$F197&amp;" "&amp;$J197&amp;" "&amp;$K197&amp;" "&amp;$L197&amp;" "&amp;$V197))),OR(CARI!$C$6="",$F197=CARI!$C$6),OR(CARI!$C$7="",$G197=CARI!$C$7),OR(CARI!$C$8="",$T197=CARI!$C$8)),MAX($Z$3:Z196)+1,""))</f>
        <v/>
      </c>
      <c r="AA197" s="40" t="str">
        <f aca="false">IF($Y197="","",MAX($AA$3:AA196)+1)</f>
        <v/>
      </c>
      <c r="AB197" s="40" t="str">
        <f aca="false">IF($F197="","",$F197&amp;"#"&amp;COUNTIF($F$4:$F197,$F197))</f>
        <v/>
      </c>
      <c r="AC197" s="40" t="str">
        <f aca="false">IF($B197="","",IF(AND(OR(CETAK!$J$10="",$F197=CETAK!$J$10),OR(CETAK!$J$11="",$G197=CETAK!$J$11),OR(CETAK!$J$12="",$P197=CETAK!$J$12),OR(CETAK!$J$13="",$N197=CETAK!$J$13),OR(CETAK!$J$14="",$T197=CETAK!$J$14)),MAX($AC$3:AC196)+1,""))</f>
        <v/>
      </c>
      <c r="AD197" s="40" t="str">
        <f aca="false">IF($B197="","",IF(AND(OR(ABSENSI!$H$10="",$F197=ABSENSI!$H$10),OR(ABSENSI!$H$11="",$G197=ABSENSI!$H$11),OR(ABSENSI!$H$12="",$P197=ABSENSI!$H$12)),MAX($AD$3:AD196)+1,""))</f>
        <v/>
      </c>
      <c r="AE197" s="40" t="str">
        <f aca="false">IF($B197="","",IF(AND(OR(KARTU!$K$6="",$F197=KARTU!$K$6),OR(KARTU!$K$7="",$G197=KARTU!$K$7),OR(KARTU!$K$8="",$P197=KARTU!$K$8)),MAX($AE$3:AE196)+1,""))</f>
        <v/>
      </c>
    </row>
    <row r="198" customFormat="false" ht="15" hidden="false" customHeight="false" outlineLevel="0" collapsed="false">
      <c r="A198" s="35" t="str">
        <f aca="false">IF($B198="","",COUNTA($B$4:$B198))</f>
        <v/>
      </c>
      <c r="B198" s="36"/>
      <c r="C198" s="37"/>
      <c r="D198" s="37"/>
      <c r="E198" s="38"/>
      <c r="F198" s="36"/>
      <c r="G198" s="39"/>
      <c r="H198" s="39"/>
      <c r="I198" s="36"/>
      <c r="J198" s="36"/>
      <c r="K198" s="36"/>
      <c r="L198" s="36"/>
      <c r="M198" s="40" t="str">
        <f aca="false">IF($F198="","",$F198&amp;IF($G198="",""," - RT "&amp;$G198&amp;IF($H198="","","/"&amp;$H198)))</f>
        <v/>
      </c>
      <c r="N198" s="36"/>
      <c r="O198" s="37"/>
      <c r="P198" s="39"/>
      <c r="Q198" s="41"/>
      <c r="R198" s="35" t="str">
        <f aca="true">IF(OR($B198="",$Q198=""),"",DATEDIF($Q198,TODAY(),"Y"))</f>
        <v/>
      </c>
      <c r="S198" s="40" t="str">
        <f aca="false">IF($R198="","",INDEX(usia_label,MATCH($R198,usia_min,1)))</f>
        <v/>
      </c>
      <c r="T198" s="36"/>
      <c r="U198" s="41"/>
      <c r="V198" s="36"/>
      <c r="W198" s="36"/>
      <c r="X198" s="40" t="str">
        <f aca="false">IF($M198="","",$M198&amp;"#"&amp;COUNTIF($M$4:$M198,$M198))</f>
        <v/>
      </c>
      <c r="Y198" s="40" t="str">
        <f aca="false">IF($B198="","",IF($C198="","NIK kosong",IF(LEN($C198)&lt;&gt;16,"NIK bukan 16 digit",IF(COUNTIF($C$4:$C$2003,$C198&amp;"*")&gt;1,"NIK ganda",IF(AND($D198&lt;&gt;"",LEN($D198)&lt;&gt;16),"No. KK bukan 16 digit",IF(AND($F198="",$I198=""),"Alamat kosong",IF($N198="","Jabatan kosong",IF($O198="","No. HP kosong",IF(AND($R198&lt;&gt;"",$R198&lt;17),"Usia di bawah 17","")))))))))</f>
        <v/>
      </c>
      <c r="Z198" s="40" t="str">
        <f aca="false">IF($B198="","",IF(AND(OR(CARI!$C$5="",ISNUMBER(SEARCH(CARI!$C$5,$B198&amp;" "&amp;$C198&amp;" "&amp;$D198&amp;" "&amp;$O198&amp;" "&amp;$I198&amp;" "&amp;$F198&amp;" "&amp;$J198&amp;" "&amp;$K198&amp;" "&amp;$L198&amp;" "&amp;$V198))),OR(CARI!$C$6="",$F198=CARI!$C$6),OR(CARI!$C$7="",$G198=CARI!$C$7),OR(CARI!$C$8="",$T198=CARI!$C$8)),MAX($Z$3:Z197)+1,""))</f>
        <v/>
      </c>
      <c r="AA198" s="40" t="str">
        <f aca="false">IF($Y198="","",MAX($AA$3:AA197)+1)</f>
        <v/>
      </c>
      <c r="AB198" s="40" t="str">
        <f aca="false">IF($F198="","",$F198&amp;"#"&amp;COUNTIF($F$4:$F198,$F198))</f>
        <v/>
      </c>
      <c r="AC198" s="40" t="str">
        <f aca="false">IF($B198="","",IF(AND(OR(CETAK!$J$10="",$F198=CETAK!$J$10),OR(CETAK!$J$11="",$G198=CETAK!$J$11),OR(CETAK!$J$12="",$P198=CETAK!$J$12),OR(CETAK!$J$13="",$N198=CETAK!$J$13),OR(CETAK!$J$14="",$T198=CETAK!$J$14)),MAX($AC$3:AC197)+1,""))</f>
        <v/>
      </c>
      <c r="AD198" s="40" t="str">
        <f aca="false">IF($B198="","",IF(AND(OR(ABSENSI!$H$10="",$F198=ABSENSI!$H$10),OR(ABSENSI!$H$11="",$G198=ABSENSI!$H$11),OR(ABSENSI!$H$12="",$P198=ABSENSI!$H$12)),MAX($AD$3:AD197)+1,""))</f>
        <v/>
      </c>
      <c r="AE198" s="40" t="str">
        <f aca="false">IF($B198="","",IF(AND(OR(KARTU!$K$6="",$F198=KARTU!$K$6),OR(KARTU!$K$7="",$G198=KARTU!$K$7),OR(KARTU!$K$8="",$P198=KARTU!$K$8)),MAX($AE$3:AE197)+1,""))</f>
        <v/>
      </c>
    </row>
    <row r="199" customFormat="false" ht="15" hidden="false" customHeight="false" outlineLevel="0" collapsed="false">
      <c r="A199" s="35" t="str">
        <f aca="false">IF($B199="","",COUNTA($B$4:$B199))</f>
        <v/>
      </c>
      <c r="B199" s="36"/>
      <c r="C199" s="37"/>
      <c r="D199" s="37"/>
      <c r="E199" s="38"/>
      <c r="F199" s="36"/>
      <c r="G199" s="39"/>
      <c r="H199" s="39"/>
      <c r="I199" s="36"/>
      <c r="J199" s="36"/>
      <c r="K199" s="36"/>
      <c r="L199" s="36"/>
      <c r="M199" s="40" t="str">
        <f aca="false">IF($F199="","",$F199&amp;IF($G199="",""," - RT "&amp;$G199&amp;IF($H199="","","/"&amp;$H199)))</f>
        <v/>
      </c>
      <c r="N199" s="36"/>
      <c r="O199" s="37"/>
      <c r="P199" s="39"/>
      <c r="Q199" s="41"/>
      <c r="R199" s="35" t="str">
        <f aca="true">IF(OR($B199="",$Q199=""),"",DATEDIF($Q199,TODAY(),"Y"))</f>
        <v/>
      </c>
      <c r="S199" s="40" t="str">
        <f aca="false">IF($R199="","",INDEX(usia_label,MATCH($R199,usia_min,1)))</f>
        <v/>
      </c>
      <c r="T199" s="36"/>
      <c r="U199" s="41"/>
      <c r="V199" s="36"/>
      <c r="W199" s="36"/>
      <c r="X199" s="40" t="str">
        <f aca="false">IF($M199="","",$M199&amp;"#"&amp;COUNTIF($M$4:$M199,$M199))</f>
        <v/>
      </c>
      <c r="Y199" s="40" t="str">
        <f aca="false">IF($B199="","",IF($C199="","NIK kosong",IF(LEN($C199)&lt;&gt;16,"NIK bukan 16 digit",IF(COUNTIF($C$4:$C$2003,$C199&amp;"*")&gt;1,"NIK ganda",IF(AND($D199&lt;&gt;"",LEN($D199)&lt;&gt;16),"No. KK bukan 16 digit",IF(AND($F199="",$I199=""),"Alamat kosong",IF($N199="","Jabatan kosong",IF($O199="","No. HP kosong",IF(AND($R199&lt;&gt;"",$R199&lt;17),"Usia di bawah 17","")))))))))</f>
        <v/>
      </c>
      <c r="Z199" s="40" t="str">
        <f aca="false">IF($B199="","",IF(AND(OR(CARI!$C$5="",ISNUMBER(SEARCH(CARI!$C$5,$B199&amp;" "&amp;$C199&amp;" "&amp;$D199&amp;" "&amp;$O199&amp;" "&amp;$I199&amp;" "&amp;$F199&amp;" "&amp;$J199&amp;" "&amp;$K199&amp;" "&amp;$L199&amp;" "&amp;$V199))),OR(CARI!$C$6="",$F199=CARI!$C$6),OR(CARI!$C$7="",$G199=CARI!$C$7),OR(CARI!$C$8="",$T199=CARI!$C$8)),MAX($Z$3:Z198)+1,""))</f>
        <v/>
      </c>
      <c r="AA199" s="40" t="str">
        <f aca="false">IF($Y199="","",MAX($AA$3:AA198)+1)</f>
        <v/>
      </c>
      <c r="AB199" s="40" t="str">
        <f aca="false">IF($F199="","",$F199&amp;"#"&amp;COUNTIF($F$4:$F199,$F199))</f>
        <v/>
      </c>
      <c r="AC199" s="40" t="str">
        <f aca="false">IF($B199="","",IF(AND(OR(CETAK!$J$10="",$F199=CETAK!$J$10),OR(CETAK!$J$11="",$G199=CETAK!$J$11),OR(CETAK!$J$12="",$P199=CETAK!$J$12),OR(CETAK!$J$13="",$N199=CETAK!$J$13),OR(CETAK!$J$14="",$T199=CETAK!$J$14)),MAX($AC$3:AC198)+1,""))</f>
        <v/>
      </c>
      <c r="AD199" s="40" t="str">
        <f aca="false">IF($B199="","",IF(AND(OR(ABSENSI!$H$10="",$F199=ABSENSI!$H$10),OR(ABSENSI!$H$11="",$G199=ABSENSI!$H$11),OR(ABSENSI!$H$12="",$P199=ABSENSI!$H$12)),MAX($AD$3:AD198)+1,""))</f>
        <v/>
      </c>
      <c r="AE199" s="40" t="str">
        <f aca="false">IF($B199="","",IF(AND(OR(KARTU!$K$6="",$F199=KARTU!$K$6),OR(KARTU!$K$7="",$G199=KARTU!$K$7),OR(KARTU!$K$8="",$P199=KARTU!$K$8)),MAX($AE$3:AE198)+1,""))</f>
        <v/>
      </c>
    </row>
    <row r="200" customFormat="false" ht="15" hidden="false" customHeight="false" outlineLevel="0" collapsed="false">
      <c r="A200" s="35" t="str">
        <f aca="false">IF($B200="","",COUNTA($B$4:$B200))</f>
        <v/>
      </c>
      <c r="B200" s="36"/>
      <c r="C200" s="37"/>
      <c r="D200" s="37"/>
      <c r="E200" s="38"/>
      <c r="F200" s="36"/>
      <c r="G200" s="39"/>
      <c r="H200" s="39"/>
      <c r="I200" s="36"/>
      <c r="J200" s="36"/>
      <c r="K200" s="36"/>
      <c r="L200" s="36"/>
      <c r="M200" s="40" t="str">
        <f aca="false">IF($F200="","",$F200&amp;IF($G200="",""," - RT "&amp;$G200&amp;IF($H200="","","/"&amp;$H200)))</f>
        <v/>
      </c>
      <c r="N200" s="36"/>
      <c r="O200" s="37"/>
      <c r="P200" s="39"/>
      <c r="Q200" s="41"/>
      <c r="R200" s="35" t="str">
        <f aca="true">IF(OR($B200="",$Q200=""),"",DATEDIF($Q200,TODAY(),"Y"))</f>
        <v/>
      </c>
      <c r="S200" s="40" t="str">
        <f aca="false">IF($R200="","",INDEX(usia_label,MATCH($R200,usia_min,1)))</f>
        <v/>
      </c>
      <c r="T200" s="36"/>
      <c r="U200" s="41"/>
      <c r="V200" s="36"/>
      <c r="W200" s="36"/>
      <c r="X200" s="40" t="str">
        <f aca="false">IF($M200="","",$M200&amp;"#"&amp;COUNTIF($M$4:$M200,$M200))</f>
        <v/>
      </c>
      <c r="Y200" s="40" t="str">
        <f aca="false">IF($B200="","",IF($C200="","NIK kosong",IF(LEN($C200)&lt;&gt;16,"NIK bukan 16 digit",IF(COUNTIF($C$4:$C$2003,$C200&amp;"*")&gt;1,"NIK ganda",IF(AND($D200&lt;&gt;"",LEN($D200)&lt;&gt;16),"No. KK bukan 16 digit",IF(AND($F200="",$I200=""),"Alamat kosong",IF($N200="","Jabatan kosong",IF($O200="","No. HP kosong",IF(AND($R200&lt;&gt;"",$R200&lt;17),"Usia di bawah 17","")))))))))</f>
        <v/>
      </c>
      <c r="Z200" s="40" t="str">
        <f aca="false">IF($B200="","",IF(AND(OR(CARI!$C$5="",ISNUMBER(SEARCH(CARI!$C$5,$B200&amp;" "&amp;$C200&amp;" "&amp;$D200&amp;" "&amp;$O200&amp;" "&amp;$I200&amp;" "&amp;$F200&amp;" "&amp;$J200&amp;" "&amp;$K200&amp;" "&amp;$L200&amp;" "&amp;$V200))),OR(CARI!$C$6="",$F200=CARI!$C$6),OR(CARI!$C$7="",$G200=CARI!$C$7),OR(CARI!$C$8="",$T200=CARI!$C$8)),MAX($Z$3:Z199)+1,""))</f>
        <v/>
      </c>
      <c r="AA200" s="40" t="str">
        <f aca="false">IF($Y200="","",MAX($AA$3:AA199)+1)</f>
        <v/>
      </c>
      <c r="AB200" s="40" t="str">
        <f aca="false">IF($F200="","",$F200&amp;"#"&amp;COUNTIF($F$4:$F200,$F200))</f>
        <v/>
      </c>
      <c r="AC200" s="40" t="str">
        <f aca="false">IF($B200="","",IF(AND(OR(CETAK!$J$10="",$F200=CETAK!$J$10),OR(CETAK!$J$11="",$G200=CETAK!$J$11),OR(CETAK!$J$12="",$P200=CETAK!$J$12),OR(CETAK!$J$13="",$N200=CETAK!$J$13),OR(CETAK!$J$14="",$T200=CETAK!$J$14)),MAX($AC$3:AC199)+1,""))</f>
        <v/>
      </c>
      <c r="AD200" s="40" t="str">
        <f aca="false">IF($B200="","",IF(AND(OR(ABSENSI!$H$10="",$F200=ABSENSI!$H$10),OR(ABSENSI!$H$11="",$G200=ABSENSI!$H$11),OR(ABSENSI!$H$12="",$P200=ABSENSI!$H$12)),MAX($AD$3:AD199)+1,""))</f>
        <v/>
      </c>
      <c r="AE200" s="40" t="str">
        <f aca="false">IF($B200="","",IF(AND(OR(KARTU!$K$6="",$F200=KARTU!$K$6),OR(KARTU!$K$7="",$G200=KARTU!$K$7),OR(KARTU!$K$8="",$P200=KARTU!$K$8)),MAX($AE$3:AE199)+1,""))</f>
        <v/>
      </c>
    </row>
    <row r="201" customFormat="false" ht="15" hidden="false" customHeight="false" outlineLevel="0" collapsed="false">
      <c r="A201" s="35" t="str">
        <f aca="false">IF($B201="","",COUNTA($B$4:$B201))</f>
        <v/>
      </c>
      <c r="B201" s="36"/>
      <c r="C201" s="37"/>
      <c r="D201" s="37"/>
      <c r="E201" s="38"/>
      <c r="F201" s="36"/>
      <c r="G201" s="39"/>
      <c r="H201" s="39"/>
      <c r="I201" s="36"/>
      <c r="J201" s="36"/>
      <c r="K201" s="36"/>
      <c r="L201" s="36"/>
      <c r="M201" s="40" t="str">
        <f aca="false">IF($F201="","",$F201&amp;IF($G201="",""," - RT "&amp;$G201&amp;IF($H201="","","/"&amp;$H201)))</f>
        <v/>
      </c>
      <c r="N201" s="36"/>
      <c r="O201" s="37"/>
      <c r="P201" s="39"/>
      <c r="Q201" s="41"/>
      <c r="R201" s="35" t="str">
        <f aca="true">IF(OR($B201="",$Q201=""),"",DATEDIF($Q201,TODAY(),"Y"))</f>
        <v/>
      </c>
      <c r="S201" s="40" t="str">
        <f aca="false">IF($R201="","",INDEX(usia_label,MATCH($R201,usia_min,1)))</f>
        <v/>
      </c>
      <c r="T201" s="36"/>
      <c r="U201" s="41"/>
      <c r="V201" s="36"/>
      <c r="W201" s="36"/>
      <c r="X201" s="40" t="str">
        <f aca="false">IF($M201="","",$M201&amp;"#"&amp;COUNTIF($M$4:$M201,$M201))</f>
        <v/>
      </c>
      <c r="Y201" s="40" t="str">
        <f aca="false">IF($B201="","",IF($C201="","NIK kosong",IF(LEN($C201)&lt;&gt;16,"NIK bukan 16 digit",IF(COUNTIF($C$4:$C$2003,$C201&amp;"*")&gt;1,"NIK ganda",IF(AND($D201&lt;&gt;"",LEN($D201)&lt;&gt;16),"No. KK bukan 16 digit",IF(AND($F201="",$I201=""),"Alamat kosong",IF($N201="","Jabatan kosong",IF($O201="","No. HP kosong",IF(AND($R201&lt;&gt;"",$R201&lt;17),"Usia di bawah 17","")))))))))</f>
        <v/>
      </c>
      <c r="Z201" s="40" t="str">
        <f aca="false">IF($B201="","",IF(AND(OR(CARI!$C$5="",ISNUMBER(SEARCH(CARI!$C$5,$B201&amp;" "&amp;$C201&amp;" "&amp;$D201&amp;" "&amp;$O201&amp;" "&amp;$I201&amp;" "&amp;$F201&amp;" "&amp;$J201&amp;" "&amp;$K201&amp;" "&amp;$L201&amp;" "&amp;$V201))),OR(CARI!$C$6="",$F201=CARI!$C$6),OR(CARI!$C$7="",$G201=CARI!$C$7),OR(CARI!$C$8="",$T201=CARI!$C$8)),MAX($Z$3:Z200)+1,""))</f>
        <v/>
      </c>
      <c r="AA201" s="40" t="str">
        <f aca="false">IF($Y201="","",MAX($AA$3:AA200)+1)</f>
        <v/>
      </c>
      <c r="AB201" s="40" t="str">
        <f aca="false">IF($F201="","",$F201&amp;"#"&amp;COUNTIF($F$4:$F201,$F201))</f>
        <v/>
      </c>
      <c r="AC201" s="40" t="str">
        <f aca="false">IF($B201="","",IF(AND(OR(CETAK!$J$10="",$F201=CETAK!$J$10),OR(CETAK!$J$11="",$G201=CETAK!$J$11),OR(CETAK!$J$12="",$P201=CETAK!$J$12),OR(CETAK!$J$13="",$N201=CETAK!$J$13),OR(CETAK!$J$14="",$T201=CETAK!$J$14)),MAX($AC$3:AC200)+1,""))</f>
        <v/>
      </c>
      <c r="AD201" s="40" t="str">
        <f aca="false">IF($B201="","",IF(AND(OR(ABSENSI!$H$10="",$F201=ABSENSI!$H$10),OR(ABSENSI!$H$11="",$G201=ABSENSI!$H$11),OR(ABSENSI!$H$12="",$P201=ABSENSI!$H$12)),MAX($AD$3:AD200)+1,""))</f>
        <v/>
      </c>
      <c r="AE201" s="40" t="str">
        <f aca="false">IF($B201="","",IF(AND(OR(KARTU!$K$6="",$F201=KARTU!$K$6),OR(KARTU!$K$7="",$G201=KARTU!$K$7),OR(KARTU!$K$8="",$P201=KARTU!$K$8)),MAX($AE$3:AE200)+1,""))</f>
        <v/>
      </c>
    </row>
    <row r="202" customFormat="false" ht="15" hidden="false" customHeight="false" outlineLevel="0" collapsed="false">
      <c r="A202" s="35" t="str">
        <f aca="false">IF($B202="","",COUNTA($B$4:$B202))</f>
        <v/>
      </c>
      <c r="B202" s="36"/>
      <c r="C202" s="37"/>
      <c r="D202" s="37"/>
      <c r="E202" s="38"/>
      <c r="F202" s="36"/>
      <c r="G202" s="39"/>
      <c r="H202" s="39"/>
      <c r="I202" s="36"/>
      <c r="J202" s="36"/>
      <c r="K202" s="36"/>
      <c r="L202" s="36"/>
      <c r="M202" s="40" t="str">
        <f aca="false">IF($F202="","",$F202&amp;IF($G202="",""," - RT "&amp;$G202&amp;IF($H202="","","/"&amp;$H202)))</f>
        <v/>
      </c>
      <c r="N202" s="36"/>
      <c r="O202" s="37"/>
      <c r="P202" s="39"/>
      <c r="Q202" s="41"/>
      <c r="R202" s="35" t="str">
        <f aca="true">IF(OR($B202="",$Q202=""),"",DATEDIF($Q202,TODAY(),"Y"))</f>
        <v/>
      </c>
      <c r="S202" s="40" t="str">
        <f aca="false">IF($R202="","",INDEX(usia_label,MATCH($R202,usia_min,1)))</f>
        <v/>
      </c>
      <c r="T202" s="36"/>
      <c r="U202" s="41"/>
      <c r="V202" s="36"/>
      <c r="W202" s="36"/>
      <c r="X202" s="40" t="str">
        <f aca="false">IF($M202="","",$M202&amp;"#"&amp;COUNTIF($M$4:$M202,$M202))</f>
        <v/>
      </c>
      <c r="Y202" s="40" t="str">
        <f aca="false">IF($B202="","",IF($C202="","NIK kosong",IF(LEN($C202)&lt;&gt;16,"NIK bukan 16 digit",IF(COUNTIF($C$4:$C$2003,$C202&amp;"*")&gt;1,"NIK ganda",IF(AND($D202&lt;&gt;"",LEN($D202)&lt;&gt;16),"No. KK bukan 16 digit",IF(AND($F202="",$I202=""),"Alamat kosong",IF($N202="","Jabatan kosong",IF($O202="","No. HP kosong",IF(AND($R202&lt;&gt;"",$R202&lt;17),"Usia di bawah 17","")))))))))</f>
        <v/>
      </c>
      <c r="Z202" s="40" t="str">
        <f aca="false">IF($B202="","",IF(AND(OR(CARI!$C$5="",ISNUMBER(SEARCH(CARI!$C$5,$B202&amp;" "&amp;$C202&amp;" "&amp;$D202&amp;" "&amp;$O202&amp;" "&amp;$I202&amp;" "&amp;$F202&amp;" "&amp;$J202&amp;" "&amp;$K202&amp;" "&amp;$L202&amp;" "&amp;$V202))),OR(CARI!$C$6="",$F202=CARI!$C$6),OR(CARI!$C$7="",$G202=CARI!$C$7),OR(CARI!$C$8="",$T202=CARI!$C$8)),MAX($Z$3:Z201)+1,""))</f>
        <v/>
      </c>
      <c r="AA202" s="40" t="str">
        <f aca="false">IF($Y202="","",MAX($AA$3:AA201)+1)</f>
        <v/>
      </c>
      <c r="AB202" s="40" t="str">
        <f aca="false">IF($F202="","",$F202&amp;"#"&amp;COUNTIF($F$4:$F202,$F202))</f>
        <v/>
      </c>
      <c r="AC202" s="40" t="str">
        <f aca="false">IF($B202="","",IF(AND(OR(CETAK!$J$10="",$F202=CETAK!$J$10),OR(CETAK!$J$11="",$G202=CETAK!$J$11),OR(CETAK!$J$12="",$P202=CETAK!$J$12),OR(CETAK!$J$13="",$N202=CETAK!$J$13),OR(CETAK!$J$14="",$T202=CETAK!$J$14)),MAX($AC$3:AC201)+1,""))</f>
        <v/>
      </c>
      <c r="AD202" s="40" t="str">
        <f aca="false">IF($B202="","",IF(AND(OR(ABSENSI!$H$10="",$F202=ABSENSI!$H$10),OR(ABSENSI!$H$11="",$G202=ABSENSI!$H$11),OR(ABSENSI!$H$12="",$P202=ABSENSI!$H$12)),MAX($AD$3:AD201)+1,""))</f>
        <v/>
      </c>
      <c r="AE202" s="40" t="str">
        <f aca="false">IF($B202="","",IF(AND(OR(KARTU!$K$6="",$F202=KARTU!$K$6),OR(KARTU!$K$7="",$G202=KARTU!$K$7),OR(KARTU!$K$8="",$P202=KARTU!$K$8)),MAX($AE$3:AE201)+1,""))</f>
        <v/>
      </c>
    </row>
    <row r="203" customFormat="false" ht="15" hidden="false" customHeight="false" outlineLevel="0" collapsed="false">
      <c r="A203" s="35" t="str">
        <f aca="false">IF($B203="","",COUNTA($B$4:$B203))</f>
        <v/>
      </c>
      <c r="B203" s="36"/>
      <c r="C203" s="37"/>
      <c r="D203" s="37"/>
      <c r="E203" s="38"/>
      <c r="F203" s="36"/>
      <c r="G203" s="39"/>
      <c r="H203" s="39"/>
      <c r="I203" s="36"/>
      <c r="J203" s="36"/>
      <c r="K203" s="36"/>
      <c r="L203" s="36"/>
      <c r="M203" s="40" t="str">
        <f aca="false">IF($F203="","",$F203&amp;IF($G203="",""," - RT "&amp;$G203&amp;IF($H203="","","/"&amp;$H203)))</f>
        <v/>
      </c>
      <c r="N203" s="36"/>
      <c r="O203" s="37"/>
      <c r="P203" s="39"/>
      <c r="Q203" s="41"/>
      <c r="R203" s="35" t="str">
        <f aca="true">IF(OR($B203="",$Q203=""),"",DATEDIF($Q203,TODAY(),"Y"))</f>
        <v/>
      </c>
      <c r="S203" s="40" t="str">
        <f aca="false">IF($R203="","",INDEX(usia_label,MATCH($R203,usia_min,1)))</f>
        <v/>
      </c>
      <c r="T203" s="36"/>
      <c r="U203" s="41"/>
      <c r="V203" s="36"/>
      <c r="W203" s="36"/>
      <c r="X203" s="40" t="str">
        <f aca="false">IF($M203="","",$M203&amp;"#"&amp;COUNTIF($M$4:$M203,$M203))</f>
        <v/>
      </c>
      <c r="Y203" s="40" t="str">
        <f aca="false">IF($B203="","",IF($C203="","NIK kosong",IF(LEN($C203)&lt;&gt;16,"NIK bukan 16 digit",IF(COUNTIF($C$4:$C$2003,$C203&amp;"*")&gt;1,"NIK ganda",IF(AND($D203&lt;&gt;"",LEN($D203)&lt;&gt;16),"No. KK bukan 16 digit",IF(AND($F203="",$I203=""),"Alamat kosong",IF($N203="","Jabatan kosong",IF($O203="","No. HP kosong",IF(AND($R203&lt;&gt;"",$R203&lt;17),"Usia di bawah 17","")))))))))</f>
        <v/>
      </c>
      <c r="Z203" s="40" t="str">
        <f aca="false">IF($B203="","",IF(AND(OR(CARI!$C$5="",ISNUMBER(SEARCH(CARI!$C$5,$B203&amp;" "&amp;$C203&amp;" "&amp;$D203&amp;" "&amp;$O203&amp;" "&amp;$I203&amp;" "&amp;$F203&amp;" "&amp;$J203&amp;" "&amp;$K203&amp;" "&amp;$L203&amp;" "&amp;$V203))),OR(CARI!$C$6="",$F203=CARI!$C$6),OR(CARI!$C$7="",$G203=CARI!$C$7),OR(CARI!$C$8="",$T203=CARI!$C$8)),MAX($Z$3:Z202)+1,""))</f>
        <v/>
      </c>
      <c r="AA203" s="40" t="str">
        <f aca="false">IF($Y203="","",MAX($AA$3:AA202)+1)</f>
        <v/>
      </c>
      <c r="AB203" s="40" t="str">
        <f aca="false">IF($F203="","",$F203&amp;"#"&amp;COUNTIF($F$4:$F203,$F203))</f>
        <v/>
      </c>
      <c r="AC203" s="40" t="str">
        <f aca="false">IF($B203="","",IF(AND(OR(CETAK!$J$10="",$F203=CETAK!$J$10),OR(CETAK!$J$11="",$G203=CETAK!$J$11),OR(CETAK!$J$12="",$P203=CETAK!$J$12),OR(CETAK!$J$13="",$N203=CETAK!$J$13),OR(CETAK!$J$14="",$T203=CETAK!$J$14)),MAX($AC$3:AC202)+1,""))</f>
        <v/>
      </c>
      <c r="AD203" s="40" t="str">
        <f aca="false">IF($B203="","",IF(AND(OR(ABSENSI!$H$10="",$F203=ABSENSI!$H$10),OR(ABSENSI!$H$11="",$G203=ABSENSI!$H$11),OR(ABSENSI!$H$12="",$P203=ABSENSI!$H$12)),MAX($AD$3:AD202)+1,""))</f>
        <v/>
      </c>
      <c r="AE203" s="40" t="str">
        <f aca="false">IF($B203="","",IF(AND(OR(KARTU!$K$6="",$F203=KARTU!$K$6),OR(KARTU!$K$7="",$G203=KARTU!$K$7),OR(KARTU!$K$8="",$P203=KARTU!$K$8)),MAX($AE$3:AE202)+1,""))</f>
        <v/>
      </c>
    </row>
    <row r="204" customFormat="false" ht="15" hidden="false" customHeight="false" outlineLevel="0" collapsed="false">
      <c r="A204" s="35" t="str">
        <f aca="false">IF($B204="","",COUNTA($B$4:$B204))</f>
        <v/>
      </c>
      <c r="B204" s="36"/>
      <c r="C204" s="37"/>
      <c r="D204" s="37"/>
      <c r="E204" s="38"/>
      <c r="F204" s="36"/>
      <c r="G204" s="39"/>
      <c r="H204" s="39"/>
      <c r="I204" s="36"/>
      <c r="J204" s="36"/>
      <c r="K204" s="36"/>
      <c r="L204" s="36"/>
      <c r="M204" s="40" t="str">
        <f aca="false">IF($F204="","",$F204&amp;IF($G204="",""," - RT "&amp;$G204&amp;IF($H204="","","/"&amp;$H204)))</f>
        <v/>
      </c>
      <c r="N204" s="36"/>
      <c r="O204" s="37"/>
      <c r="P204" s="39"/>
      <c r="Q204" s="41"/>
      <c r="R204" s="35" t="str">
        <f aca="true">IF(OR($B204="",$Q204=""),"",DATEDIF($Q204,TODAY(),"Y"))</f>
        <v/>
      </c>
      <c r="S204" s="40" t="str">
        <f aca="false">IF($R204="","",INDEX(usia_label,MATCH($R204,usia_min,1)))</f>
        <v/>
      </c>
      <c r="T204" s="36"/>
      <c r="U204" s="41"/>
      <c r="V204" s="36"/>
      <c r="W204" s="36"/>
      <c r="X204" s="40" t="str">
        <f aca="false">IF($M204="","",$M204&amp;"#"&amp;COUNTIF($M$4:$M204,$M204))</f>
        <v/>
      </c>
      <c r="Y204" s="40" t="str">
        <f aca="false">IF($B204="","",IF($C204="","NIK kosong",IF(LEN($C204)&lt;&gt;16,"NIK bukan 16 digit",IF(COUNTIF($C$4:$C$2003,$C204&amp;"*")&gt;1,"NIK ganda",IF(AND($D204&lt;&gt;"",LEN($D204)&lt;&gt;16),"No. KK bukan 16 digit",IF(AND($F204="",$I204=""),"Alamat kosong",IF($N204="","Jabatan kosong",IF($O204="","No. HP kosong",IF(AND($R204&lt;&gt;"",$R204&lt;17),"Usia di bawah 17","")))))))))</f>
        <v/>
      </c>
      <c r="Z204" s="40" t="str">
        <f aca="false">IF($B204="","",IF(AND(OR(CARI!$C$5="",ISNUMBER(SEARCH(CARI!$C$5,$B204&amp;" "&amp;$C204&amp;" "&amp;$D204&amp;" "&amp;$O204&amp;" "&amp;$I204&amp;" "&amp;$F204&amp;" "&amp;$J204&amp;" "&amp;$K204&amp;" "&amp;$L204&amp;" "&amp;$V204))),OR(CARI!$C$6="",$F204=CARI!$C$6),OR(CARI!$C$7="",$G204=CARI!$C$7),OR(CARI!$C$8="",$T204=CARI!$C$8)),MAX($Z$3:Z203)+1,""))</f>
        <v/>
      </c>
      <c r="AA204" s="40" t="str">
        <f aca="false">IF($Y204="","",MAX($AA$3:AA203)+1)</f>
        <v/>
      </c>
      <c r="AB204" s="40" t="str">
        <f aca="false">IF($F204="","",$F204&amp;"#"&amp;COUNTIF($F$4:$F204,$F204))</f>
        <v/>
      </c>
      <c r="AC204" s="40" t="str">
        <f aca="false">IF($B204="","",IF(AND(OR(CETAK!$J$10="",$F204=CETAK!$J$10),OR(CETAK!$J$11="",$G204=CETAK!$J$11),OR(CETAK!$J$12="",$P204=CETAK!$J$12),OR(CETAK!$J$13="",$N204=CETAK!$J$13),OR(CETAK!$J$14="",$T204=CETAK!$J$14)),MAX($AC$3:AC203)+1,""))</f>
        <v/>
      </c>
      <c r="AD204" s="40" t="str">
        <f aca="false">IF($B204="","",IF(AND(OR(ABSENSI!$H$10="",$F204=ABSENSI!$H$10),OR(ABSENSI!$H$11="",$G204=ABSENSI!$H$11),OR(ABSENSI!$H$12="",$P204=ABSENSI!$H$12)),MAX($AD$3:AD203)+1,""))</f>
        <v/>
      </c>
      <c r="AE204" s="40" t="str">
        <f aca="false">IF($B204="","",IF(AND(OR(KARTU!$K$6="",$F204=KARTU!$K$6),OR(KARTU!$K$7="",$G204=KARTU!$K$7),OR(KARTU!$K$8="",$P204=KARTU!$K$8)),MAX($AE$3:AE203)+1,""))</f>
        <v/>
      </c>
    </row>
    <row r="205" customFormat="false" ht="15" hidden="false" customHeight="false" outlineLevel="0" collapsed="false">
      <c r="A205" s="35" t="str">
        <f aca="false">IF($B205="","",COUNTA($B$4:$B205))</f>
        <v/>
      </c>
      <c r="B205" s="36"/>
      <c r="C205" s="37"/>
      <c r="D205" s="37"/>
      <c r="E205" s="38"/>
      <c r="F205" s="36"/>
      <c r="G205" s="39"/>
      <c r="H205" s="39"/>
      <c r="I205" s="36"/>
      <c r="J205" s="36"/>
      <c r="K205" s="36"/>
      <c r="L205" s="36"/>
      <c r="M205" s="40" t="str">
        <f aca="false">IF($F205="","",$F205&amp;IF($G205="",""," - RT "&amp;$G205&amp;IF($H205="","","/"&amp;$H205)))</f>
        <v/>
      </c>
      <c r="N205" s="36"/>
      <c r="O205" s="37"/>
      <c r="P205" s="39"/>
      <c r="Q205" s="41"/>
      <c r="R205" s="35" t="str">
        <f aca="true">IF(OR($B205="",$Q205=""),"",DATEDIF($Q205,TODAY(),"Y"))</f>
        <v/>
      </c>
      <c r="S205" s="40" t="str">
        <f aca="false">IF($R205="","",INDEX(usia_label,MATCH($R205,usia_min,1)))</f>
        <v/>
      </c>
      <c r="T205" s="36"/>
      <c r="U205" s="41"/>
      <c r="V205" s="36"/>
      <c r="W205" s="36"/>
      <c r="X205" s="40" t="str">
        <f aca="false">IF($M205="","",$M205&amp;"#"&amp;COUNTIF($M$4:$M205,$M205))</f>
        <v/>
      </c>
      <c r="Y205" s="40" t="str">
        <f aca="false">IF($B205="","",IF($C205="","NIK kosong",IF(LEN($C205)&lt;&gt;16,"NIK bukan 16 digit",IF(COUNTIF($C$4:$C$2003,$C205&amp;"*")&gt;1,"NIK ganda",IF(AND($D205&lt;&gt;"",LEN($D205)&lt;&gt;16),"No. KK bukan 16 digit",IF(AND($F205="",$I205=""),"Alamat kosong",IF($N205="","Jabatan kosong",IF($O205="","No. HP kosong",IF(AND($R205&lt;&gt;"",$R205&lt;17),"Usia di bawah 17","")))))))))</f>
        <v/>
      </c>
      <c r="Z205" s="40" t="str">
        <f aca="false">IF($B205="","",IF(AND(OR(CARI!$C$5="",ISNUMBER(SEARCH(CARI!$C$5,$B205&amp;" "&amp;$C205&amp;" "&amp;$D205&amp;" "&amp;$O205&amp;" "&amp;$I205&amp;" "&amp;$F205&amp;" "&amp;$J205&amp;" "&amp;$K205&amp;" "&amp;$L205&amp;" "&amp;$V205))),OR(CARI!$C$6="",$F205=CARI!$C$6),OR(CARI!$C$7="",$G205=CARI!$C$7),OR(CARI!$C$8="",$T205=CARI!$C$8)),MAX($Z$3:Z204)+1,""))</f>
        <v/>
      </c>
      <c r="AA205" s="40" t="str">
        <f aca="false">IF($Y205="","",MAX($AA$3:AA204)+1)</f>
        <v/>
      </c>
      <c r="AB205" s="40" t="str">
        <f aca="false">IF($F205="","",$F205&amp;"#"&amp;COUNTIF($F$4:$F205,$F205))</f>
        <v/>
      </c>
      <c r="AC205" s="40" t="str">
        <f aca="false">IF($B205="","",IF(AND(OR(CETAK!$J$10="",$F205=CETAK!$J$10),OR(CETAK!$J$11="",$G205=CETAK!$J$11),OR(CETAK!$J$12="",$P205=CETAK!$J$12),OR(CETAK!$J$13="",$N205=CETAK!$J$13),OR(CETAK!$J$14="",$T205=CETAK!$J$14)),MAX($AC$3:AC204)+1,""))</f>
        <v/>
      </c>
      <c r="AD205" s="40" t="str">
        <f aca="false">IF($B205="","",IF(AND(OR(ABSENSI!$H$10="",$F205=ABSENSI!$H$10),OR(ABSENSI!$H$11="",$G205=ABSENSI!$H$11),OR(ABSENSI!$H$12="",$P205=ABSENSI!$H$12)),MAX($AD$3:AD204)+1,""))</f>
        <v/>
      </c>
      <c r="AE205" s="40" t="str">
        <f aca="false">IF($B205="","",IF(AND(OR(KARTU!$K$6="",$F205=KARTU!$K$6),OR(KARTU!$K$7="",$G205=KARTU!$K$7),OR(KARTU!$K$8="",$P205=KARTU!$K$8)),MAX($AE$3:AE204)+1,""))</f>
        <v/>
      </c>
    </row>
    <row r="206" customFormat="false" ht="15" hidden="false" customHeight="false" outlineLevel="0" collapsed="false">
      <c r="A206" s="35" t="str">
        <f aca="false">IF($B206="","",COUNTA($B$4:$B206))</f>
        <v/>
      </c>
      <c r="B206" s="36"/>
      <c r="C206" s="37"/>
      <c r="D206" s="37"/>
      <c r="E206" s="38"/>
      <c r="F206" s="36"/>
      <c r="G206" s="39"/>
      <c r="H206" s="39"/>
      <c r="I206" s="36"/>
      <c r="J206" s="36"/>
      <c r="K206" s="36"/>
      <c r="L206" s="36"/>
      <c r="M206" s="40" t="str">
        <f aca="false">IF($F206="","",$F206&amp;IF($G206="",""," - RT "&amp;$G206&amp;IF($H206="","","/"&amp;$H206)))</f>
        <v/>
      </c>
      <c r="N206" s="36"/>
      <c r="O206" s="37"/>
      <c r="P206" s="39"/>
      <c r="Q206" s="41"/>
      <c r="R206" s="35" t="str">
        <f aca="true">IF(OR($B206="",$Q206=""),"",DATEDIF($Q206,TODAY(),"Y"))</f>
        <v/>
      </c>
      <c r="S206" s="40" t="str">
        <f aca="false">IF($R206="","",INDEX(usia_label,MATCH($R206,usia_min,1)))</f>
        <v/>
      </c>
      <c r="T206" s="36"/>
      <c r="U206" s="41"/>
      <c r="V206" s="36"/>
      <c r="W206" s="36"/>
      <c r="X206" s="40" t="str">
        <f aca="false">IF($M206="","",$M206&amp;"#"&amp;COUNTIF($M$4:$M206,$M206))</f>
        <v/>
      </c>
      <c r="Y206" s="40" t="str">
        <f aca="false">IF($B206="","",IF($C206="","NIK kosong",IF(LEN($C206)&lt;&gt;16,"NIK bukan 16 digit",IF(COUNTIF($C$4:$C$2003,$C206&amp;"*")&gt;1,"NIK ganda",IF(AND($D206&lt;&gt;"",LEN($D206)&lt;&gt;16),"No. KK bukan 16 digit",IF(AND($F206="",$I206=""),"Alamat kosong",IF($N206="","Jabatan kosong",IF($O206="","No. HP kosong",IF(AND($R206&lt;&gt;"",$R206&lt;17),"Usia di bawah 17","")))))))))</f>
        <v/>
      </c>
      <c r="Z206" s="40" t="str">
        <f aca="false">IF($B206="","",IF(AND(OR(CARI!$C$5="",ISNUMBER(SEARCH(CARI!$C$5,$B206&amp;" "&amp;$C206&amp;" "&amp;$D206&amp;" "&amp;$O206&amp;" "&amp;$I206&amp;" "&amp;$F206&amp;" "&amp;$J206&amp;" "&amp;$K206&amp;" "&amp;$L206&amp;" "&amp;$V206))),OR(CARI!$C$6="",$F206=CARI!$C$6),OR(CARI!$C$7="",$G206=CARI!$C$7),OR(CARI!$C$8="",$T206=CARI!$C$8)),MAX($Z$3:Z205)+1,""))</f>
        <v/>
      </c>
      <c r="AA206" s="40" t="str">
        <f aca="false">IF($Y206="","",MAX($AA$3:AA205)+1)</f>
        <v/>
      </c>
      <c r="AB206" s="40" t="str">
        <f aca="false">IF($F206="","",$F206&amp;"#"&amp;COUNTIF($F$4:$F206,$F206))</f>
        <v/>
      </c>
      <c r="AC206" s="40" t="str">
        <f aca="false">IF($B206="","",IF(AND(OR(CETAK!$J$10="",$F206=CETAK!$J$10),OR(CETAK!$J$11="",$G206=CETAK!$J$11),OR(CETAK!$J$12="",$P206=CETAK!$J$12),OR(CETAK!$J$13="",$N206=CETAK!$J$13),OR(CETAK!$J$14="",$T206=CETAK!$J$14)),MAX($AC$3:AC205)+1,""))</f>
        <v/>
      </c>
      <c r="AD206" s="40" t="str">
        <f aca="false">IF($B206="","",IF(AND(OR(ABSENSI!$H$10="",$F206=ABSENSI!$H$10),OR(ABSENSI!$H$11="",$G206=ABSENSI!$H$11),OR(ABSENSI!$H$12="",$P206=ABSENSI!$H$12)),MAX($AD$3:AD205)+1,""))</f>
        <v/>
      </c>
      <c r="AE206" s="40" t="str">
        <f aca="false">IF($B206="","",IF(AND(OR(KARTU!$K$6="",$F206=KARTU!$K$6),OR(KARTU!$K$7="",$G206=KARTU!$K$7),OR(KARTU!$K$8="",$P206=KARTU!$K$8)),MAX($AE$3:AE205)+1,""))</f>
        <v/>
      </c>
    </row>
    <row r="207" customFormat="false" ht="15" hidden="false" customHeight="false" outlineLevel="0" collapsed="false">
      <c r="A207" s="35" t="str">
        <f aca="false">IF($B207="","",COUNTA($B$4:$B207))</f>
        <v/>
      </c>
      <c r="B207" s="36"/>
      <c r="C207" s="37"/>
      <c r="D207" s="37"/>
      <c r="E207" s="38"/>
      <c r="F207" s="36"/>
      <c r="G207" s="39"/>
      <c r="H207" s="39"/>
      <c r="I207" s="36"/>
      <c r="J207" s="36"/>
      <c r="K207" s="36"/>
      <c r="L207" s="36"/>
      <c r="M207" s="40" t="str">
        <f aca="false">IF($F207="","",$F207&amp;IF($G207="",""," - RT "&amp;$G207&amp;IF($H207="","","/"&amp;$H207)))</f>
        <v/>
      </c>
      <c r="N207" s="36"/>
      <c r="O207" s="37"/>
      <c r="P207" s="39"/>
      <c r="Q207" s="41"/>
      <c r="R207" s="35" t="str">
        <f aca="true">IF(OR($B207="",$Q207=""),"",DATEDIF($Q207,TODAY(),"Y"))</f>
        <v/>
      </c>
      <c r="S207" s="40" t="str">
        <f aca="false">IF($R207="","",INDEX(usia_label,MATCH($R207,usia_min,1)))</f>
        <v/>
      </c>
      <c r="T207" s="36"/>
      <c r="U207" s="41"/>
      <c r="V207" s="36"/>
      <c r="W207" s="36"/>
      <c r="X207" s="40" t="str">
        <f aca="false">IF($M207="","",$M207&amp;"#"&amp;COUNTIF($M$4:$M207,$M207))</f>
        <v/>
      </c>
      <c r="Y207" s="40" t="str">
        <f aca="false">IF($B207="","",IF($C207="","NIK kosong",IF(LEN($C207)&lt;&gt;16,"NIK bukan 16 digit",IF(COUNTIF($C$4:$C$2003,$C207&amp;"*")&gt;1,"NIK ganda",IF(AND($D207&lt;&gt;"",LEN($D207)&lt;&gt;16),"No. KK bukan 16 digit",IF(AND($F207="",$I207=""),"Alamat kosong",IF($N207="","Jabatan kosong",IF($O207="","No. HP kosong",IF(AND($R207&lt;&gt;"",$R207&lt;17),"Usia di bawah 17","")))))))))</f>
        <v/>
      </c>
      <c r="Z207" s="40" t="str">
        <f aca="false">IF($B207="","",IF(AND(OR(CARI!$C$5="",ISNUMBER(SEARCH(CARI!$C$5,$B207&amp;" "&amp;$C207&amp;" "&amp;$D207&amp;" "&amp;$O207&amp;" "&amp;$I207&amp;" "&amp;$F207&amp;" "&amp;$J207&amp;" "&amp;$K207&amp;" "&amp;$L207&amp;" "&amp;$V207))),OR(CARI!$C$6="",$F207=CARI!$C$6),OR(CARI!$C$7="",$G207=CARI!$C$7),OR(CARI!$C$8="",$T207=CARI!$C$8)),MAX($Z$3:Z206)+1,""))</f>
        <v/>
      </c>
      <c r="AA207" s="40" t="str">
        <f aca="false">IF($Y207="","",MAX($AA$3:AA206)+1)</f>
        <v/>
      </c>
      <c r="AB207" s="40" t="str">
        <f aca="false">IF($F207="","",$F207&amp;"#"&amp;COUNTIF($F$4:$F207,$F207))</f>
        <v/>
      </c>
      <c r="AC207" s="40" t="str">
        <f aca="false">IF($B207="","",IF(AND(OR(CETAK!$J$10="",$F207=CETAK!$J$10),OR(CETAK!$J$11="",$G207=CETAK!$J$11),OR(CETAK!$J$12="",$P207=CETAK!$J$12),OR(CETAK!$J$13="",$N207=CETAK!$J$13),OR(CETAK!$J$14="",$T207=CETAK!$J$14)),MAX($AC$3:AC206)+1,""))</f>
        <v/>
      </c>
      <c r="AD207" s="40" t="str">
        <f aca="false">IF($B207="","",IF(AND(OR(ABSENSI!$H$10="",$F207=ABSENSI!$H$10),OR(ABSENSI!$H$11="",$G207=ABSENSI!$H$11),OR(ABSENSI!$H$12="",$P207=ABSENSI!$H$12)),MAX($AD$3:AD206)+1,""))</f>
        <v/>
      </c>
      <c r="AE207" s="40" t="str">
        <f aca="false">IF($B207="","",IF(AND(OR(KARTU!$K$6="",$F207=KARTU!$K$6),OR(KARTU!$K$7="",$G207=KARTU!$K$7),OR(KARTU!$K$8="",$P207=KARTU!$K$8)),MAX($AE$3:AE206)+1,""))</f>
        <v/>
      </c>
    </row>
    <row r="208" customFormat="false" ht="15" hidden="false" customHeight="false" outlineLevel="0" collapsed="false">
      <c r="A208" s="35" t="str">
        <f aca="false">IF($B208="","",COUNTA($B$4:$B208))</f>
        <v/>
      </c>
      <c r="B208" s="36"/>
      <c r="C208" s="37"/>
      <c r="D208" s="37"/>
      <c r="E208" s="38"/>
      <c r="F208" s="36"/>
      <c r="G208" s="39"/>
      <c r="H208" s="39"/>
      <c r="I208" s="36"/>
      <c r="J208" s="36"/>
      <c r="K208" s="36"/>
      <c r="L208" s="36"/>
      <c r="M208" s="40" t="str">
        <f aca="false">IF($F208="","",$F208&amp;IF($G208="",""," - RT "&amp;$G208&amp;IF($H208="","","/"&amp;$H208)))</f>
        <v/>
      </c>
      <c r="N208" s="36"/>
      <c r="O208" s="37"/>
      <c r="P208" s="39"/>
      <c r="Q208" s="41"/>
      <c r="R208" s="35" t="str">
        <f aca="true">IF(OR($B208="",$Q208=""),"",DATEDIF($Q208,TODAY(),"Y"))</f>
        <v/>
      </c>
      <c r="S208" s="40" t="str">
        <f aca="false">IF($R208="","",INDEX(usia_label,MATCH($R208,usia_min,1)))</f>
        <v/>
      </c>
      <c r="T208" s="36"/>
      <c r="U208" s="41"/>
      <c r="V208" s="36"/>
      <c r="W208" s="36"/>
      <c r="X208" s="40" t="str">
        <f aca="false">IF($M208="","",$M208&amp;"#"&amp;COUNTIF($M$4:$M208,$M208))</f>
        <v/>
      </c>
      <c r="Y208" s="40" t="str">
        <f aca="false">IF($B208="","",IF($C208="","NIK kosong",IF(LEN($C208)&lt;&gt;16,"NIK bukan 16 digit",IF(COUNTIF($C$4:$C$2003,$C208&amp;"*")&gt;1,"NIK ganda",IF(AND($D208&lt;&gt;"",LEN($D208)&lt;&gt;16),"No. KK bukan 16 digit",IF(AND($F208="",$I208=""),"Alamat kosong",IF($N208="","Jabatan kosong",IF($O208="","No. HP kosong",IF(AND($R208&lt;&gt;"",$R208&lt;17),"Usia di bawah 17","")))))))))</f>
        <v/>
      </c>
      <c r="Z208" s="40" t="str">
        <f aca="false">IF($B208="","",IF(AND(OR(CARI!$C$5="",ISNUMBER(SEARCH(CARI!$C$5,$B208&amp;" "&amp;$C208&amp;" "&amp;$D208&amp;" "&amp;$O208&amp;" "&amp;$I208&amp;" "&amp;$F208&amp;" "&amp;$J208&amp;" "&amp;$K208&amp;" "&amp;$L208&amp;" "&amp;$V208))),OR(CARI!$C$6="",$F208=CARI!$C$6),OR(CARI!$C$7="",$G208=CARI!$C$7),OR(CARI!$C$8="",$T208=CARI!$C$8)),MAX($Z$3:Z207)+1,""))</f>
        <v/>
      </c>
      <c r="AA208" s="40" t="str">
        <f aca="false">IF($Y208="","",MAX($AA$3:AA207)+1)</f>
        <v/>
      </c>
      <c r="AB208" s="40" t="str">
        <f aca="false">IF($F208="","",$F208&amp;"#"&amp;COUNTIF($F$4:$F208,$F208))</f>
        <v/>
      </c>
      <c r="AC208" s="40" t="str">
        <f aca="false">IF($B208="","",IF(AND(OR(CETAK!$J$10="",$F208=CETAK!$J$10),OR(CETAK!$J$11="",$G208=CETAK!$J$11),OR(CETAK!$J$12="",$P208=CETAK!$J$12),OR(CETAK!$J$13="",$N208=CETAK!$J$13),OR(CETAK!$J$14="",$T208=CETAK!$J$14)),MAX($AC$3:AC207)+1,""))</f>
        <v/>
      </c>
      <c r="AD208" s="40" t="str">
        <f aca="false">IF($B208="","",IF(AND(OR(ABSENSI!$H$10="",$F208=ABSENSI!$H$10),OR(ABSENSI!$H$11="",$G208=ABSENSI!$H$11),OR(ABSENSI!$H$12="",$P208=ABSENSI!$H$12)),MAX($AD$3:AD207)+1,""))</f>
        <v/>
      </c>
      <c r="AE208" s="40" t="str">
        <f aca="false">IF($B208="","",IF(AND(OR(KARTU!$K$6="",$F208=KARTU!$K$6),OR(KARTU!$K$7="",$G208=KARTU!$K$7),OR(KARTU!$K$8="",$P208=KARTU!$K$8)),MAX($AE$3:AE207)+1,""))</f>
        <v/>
      </c>
    </row>
    <row r="209" customFormat="false" ht="15" hidden="false" customHeight="false" outlineLevel="0" collapsed="false">
      <c r="A209" s="35" t="str">
        <f aca="false">IF($B209="","",COUNTA($B$4:$B209))</f>
        <v/>
      </c>
      <c r="B209" s="36"/>
      <c r="C209" s="37"/>
      <c r="D209" s="37"/>
      <c r="E209" s="38"/>
      <c r="F209" s="36"/>
      <c r="G209" s="39"/>
      <c r="H209" s="39"/>
      <c r="I209" s="36"/>
      <c r="J209" s="36"/>
      <c r="K209" s="36"/>
      <c r="L209" s="36"/>
      <c r="M209" s="40" t="str">
        <f aca="false">IF($F209="","",$F209&amp;IF($G209="",""," - RT "&amp;$G209&amp;IF($H209="","","/"&amp;$H209)))</f>
        <v/>
      </c>
      <c r="N209" s="36"/>
      <c r="O209" s="37"/>
      <c r="P209" s="39"/>
      <c r="Q209" s="41"/>
      <c r="R209" s="35" t="str">
        <f aca="true">IF(OR($B209="",$Q209=""),"",DATEDIF($Q209,TODAY(),"Y"))</f>
        <v/>
      </c>
      <c r="S209" s="40" t="str">
        <f aca="false">IF($R209="","",INDEX(usia_label,MATCH($R209,usia_min,1)))</f>
        <v/>
      </c>
      <c r="T209" s="36"/>
      <c r="U209" s="41"/>
      <c r="V209" s="36"/>
      <c r="W209" s="36"/>
      <c r="X209" s="40" t="str">
        <f aca="false">IF($M209="","",$M209&amp;"#"&amp;COUNTIF($M$4:$M209,$M209))</f>
        <v/>
      </c>
      <c r="Y209" s="40" t="str">
        <f aca="false">IF($B209="","",IF($C209="","NIK kosong",IF(LEN($C209)&lt;&gt;16,"NIK bukan 16 digit",IF(COUNTIF($C$4:$C$2003,$C209&amp;"*")&gt;1,"NIK ganda",IF(AND($D209&lt;&gt;"",LEN($D209)&lt;&gt;16),"No. KK bukan 16 digit",IF(AND($F209="",$I209=""),"Alamat kosong",IF($N209="","Jabatan kosong",IF($O209="","No. HP kosong",IF(AND($R209&lt;&gt;"",$R209&lt;17),"Usia di bawah 17","")))))))))</f>
        <v/>
      </c>
      <c r="Z209" s="40" t="str">
        <f aca="false">IF($B209="","",IF(AND(OR(CARI!$C$5="",ISNUMBER(SEARCH(CARI!$C$5,$B209&amp;" "&amp;$C209&amp;" "&amp;$D209&amp;" "&amp;$O209&amp;" "&amp;$I209&amp;" "&amp;$F209&amp;" "&amp;$J209&amp;" "&amp;$K209&amp;" "&amp;$L209&amp;" "&amp;$V209))),OR(CARI!$C$6="",$F209=CARI!$C$6),OR(CARI!$C$7="",$G209=CARI!$C$7),OR(CARI!$C$8="",$T209=CARI!$C$8)),MAX($Z$3:Z208)+1,""))</f>
        <v/>
      </c>
      <c r="AA209" s="40" t="str">
        <f aca="false">IF($Y209="","",MAX($AA$3:AA208)+1)</f>
        <v/>
      </c>
      <c r="AB209" s="40" t="str">
        <f aca="false">IF($F209="","",$F209&amp;"#"&amp;COUNTIF($F$4:$F209,$F209))</f>
        <v/>
      </c>
      <c r="AC209" s="40" t="str">
        <f aca="false">IF($B209="","",IF(AND(OR(CETAK!$J$10="",$F209=CETAK!$J$10),OR(CETAK!$J$11="",$G209=CETAK!$J$11),OR(CETAK!$J$12="",$P209=CETAK!$J$12),OR(CETAK!$J$13="",$N209=CETAK!$J$13),OR(CETAK!$J$14="",$T209=CETAK!$J$14)),MAX($AC$3:AC208)+1,""))</f>
        <v/>
      </c>
      <c r="AD209" s="40" t="str">
        <f aca="false">IF($B209="","",IF(AND(OR(ABSENSI!$H$10="",$F209=ABSENSI!$H$10),OR(ABSENSI!$H$11="",$G209=ABSENSI!$H$11),OR(ABSENSI!$H$12="",$P209=ABSENSI!$H$12)),MAX($AD$3:AD208)+1,""))</f>
        <v/>
      </c>
      <c r="AE209" s="40" t="str">
        <f aca="false">IF($B209="","",IF(AND(OR(KARTU!$K$6="",$F209=KARTU!$K$6),OR(KARTU!$K$7="",$G209=KARTU!$K$7),OR(KARTU!$K$8="",$P209=KARTU!$K$8)),MAX($AE$3:AE208)+1,""))</f>
        <v/>
      </c>
    </row>
    <row r="210" customFormat="false" ht="15" hidden="false" customHeight="false" outlineLevel="0" collapsed="false">
      <c r="A210" s="35" t="str">
        <f aca="false">IF($B210="","",COUNTA($B$4:$B210))</f>
        <v/>
      </c>
      <c r="B210" s="36"/>
      <c r="C210" s="37"/>
      <c r="D210" s="37"/>
      <c r="E210" s="38"/>
      <c r="F210" s="36"/>
      <c r="G210" s="39"/>
      <c r="H210" s="39"/>
      <c r="I210" s="36"/>
      <c r="J210" s="36"/>
      <c r="K210" s="36"/>
      <c r="L210" s="36"/>
      <c r="M210" s="40" t="str">
        <f aca="false">IF($F210="","",$F210&amp;IF($G210="",""," - RT "&amp;$G210&amp;IF($H210="","","/"&amp;$H210)))</f>
        <v/>
      </c>
      <c r="N210" s="36"/>
      <c r="O210" s="37"/>
      <c r="P210" s="39"/>
      <c r="Q210" s="41"/>
      <c r="R210" s="35" t="str">
        <f aca="true">IF(OR($B210="",$Q210=""),"",DATEDIF($Q210,TODAY(),"Y"))</f>
        <v/>
      </c>
      <c r="S210" s="40" t="str">
        <f aca="false">IF($R210="","",INDEX(usia_label,MATCH($R210,usia_min,1)))</f>
        <v/>
      </c>
      <c r="T210" s="36"/>
      <c r="U210" s="41"/>
      <c r="V210" s="36"/>
      <c r="W210" s="36"/>
      <c r="X210" s="40" t="str">
        <f aca="false">IF($M210="","",$M210&amp;"#"&amp;COUNTIF($M$4:$M210,$M210))</f>
        <v/>
      </c>
      <c r="Y210" s="40" t="str">
        <f aca="false">IF($B210="","",IF($C210="","NIK kosong",IF(LEN($C210)&lt;&gt;16,"NIK bukan 16 digit",IF(COUNTIF($C$4:$C$2003,$C210&amp;"*")&gt;1,"NIK ganda",IF(AND($D210&lt;&gt;"",LEN($D210)&lt;&gt;16),"No. KK bukan 16 digit",IF(AND($F210="",$I210=""),"Alamat kosong",IF($N210="","Jabatan kosong",IF($O210="","No. HP kosong",IF(AND($R210&lt;&gt;"",$R210&lt;17),"Usia di bawah 17","")))))))))</f>
        <v/>
      </c>
      <c r="Z210" s="40" t="str">
        <f aca="false">IF($B210="","",IF(AND(OR(CARI!$C$5="",ISNUMBER(SEARCH(CARI!$C$5,$B210&amp;" "&amp;$C210&amp;" "&amp;$D210&amp;" "&amp;$O210&amp;" "&amp;$I210&amp;" "&amp;$F210&amp;" "&amp;$J210&amp;" "&amp;$K210&amp;" "&amp;$L210&amp;" "&amp;$V210))),OR(CARI!$C$6="",$F210=CARI!$C$6),OR(CARI!$C$7="",$G210=CARI!$C$7),OR(CARI!$C$8="",$T210=CARI!$C$8)),MAX($Z$3:Z209)+1,""))</f>
        <v/>
      </c>
      <c r="AA210" s="40" t="str">
        <f aca="false">IF($Y210="","",MAX($AA$3:AA209)+1)</f>
        <v/>
      </c>
      <c r="AB210" s="40" t="str">
        <f aca="false">IF($F210="","",$F210&amp;"#"&amp;COUNTIF($F$4:$F210,$F210))</f>
        <v/>
      </c>
      <c r="AC210" s="40" t="str">
        <f aca="false">IF($B210="","",IF(AND(OR(CETAK!$J$10="",$F210=CETAK!$J$10),OR(CETAK!$J$11="",$G210=CETAK!$J$11),OR(CETAK!$J$12="",$P210=CETAK!$J$12),OR(CETAK!$J$13="",$N210=CETAK!$J$13),OR(CETAK!$J$14="",$T210=CETAK!$J$14)),MAX($AC$3:AC209)+1,""))</f>
        <v/>
      </c>
      <c r="AD210" s="40" t="str">
        <f aca="false">IF($B210="","",IF(AND(OR(ABSENSI!$H$10="",$F210=ABSENSI!$H$10),OR(ABSENSI!$H$11="",$G210=ABSENSI!$H$11),OR(ABSENSI!$H$12="",$P210=ABSENSI!$H$12)),MAX($AD$3:AD209)+1,""))</f>
        <v/>
      </c>
      <c r="AE210" s="40" t="str">
        <f aca="false">IF($B210="","",IF(AND(OR(KARTU!$K$6="",$F210=KARTU!$K$6),OR(KARTU!$K$7="",$G210=KARTU!$K$7),OR(KARTU!$K$8="",$P210=KARTU!$K$8)),MAX($AE$3:AE209)+1,""))</f>
        <v/>
      </c>
    </row>
    <row r="211" customFormat="false" ht="15" hidden="false" customHeight="false" outlineLevel="0" collapsed="false">
      <c r="A211" s="35" t="str">
        <f aca="false">IF($B211="","",COUNTA($B$4:$B211))</f>
        <v/>
      </c>
      <c r="B211" s="36"/>
      <c r="C211" s="37"/>
      <c r="D211" s="37"/>
      <c r="E211" s="38"/>
      <c r="F211" s="36"/>
      <c r="G211" s="39"/>
      <c r="H211" s="39"/>
      <c r="I211" s="36"/>
      <c r="J211" s="36"/>
      <c r="K211" s="36"/>
      <c r="L211" s="36"/>
      <c r="M211" s="40" t="str">
        <f aca="false">IF($F211="","",$F211&amp;IF($G211="",""," - RT "&amp;$G211&amp;IF($H211="","","/"&amp;$H211)))</f>
        <v/>
      </c>
      <c r="N211" s="36"/>
      <c r="O211" s="37"/>
      <c r="P211" s="39"/>
      <c r="Q211" s="41"/>
      <c r="R211" s="35" t="str">
        <f aca="true">IF(OR($B211="",$Q211=""),"",DATEDIF($Q211,TODAY(),"Y"))</f>
        <v/>
      </c>
      <c r="S211" s="40" t="str">
        <f aca="false">IF($R211="","",INDEX(usia_label,MATCH($R211,usia_min,1)))</f>
        <v/>
      </c>
      <c r="T211" s="36"/>
      <c r="U211" s="41"/>
      <c r="V211" s="36"/>
      <c r="W211" s="36"/>
      <c r="X211" s="40" t="str">
        <f aca="false">IF($M211="","",$M211&amp;"#"&amp;COUNTIF($M$4:$M211,$M211))</f>
        <v/>
      </c>
      <c r="Y211" s="40" t="str">
        <f aca="false">IF($B211="","",IF($C211="","NIK kosong",IF(LEN($C211)&lt;&gt;16,"NIK bukan 16 digit",IF(COUNTIF($C$4:$C$2003,$C211&amp;"*")&gt;1,"NIK ganda",IF(AND($D211&lt;&gt;"",LEN($D211)&lt;&gt;16),"No. KK bukan 16 digit",IF(AND($F211="",$I211=""),"Alamat kosong",IF($N211="","Jabatan kosong",IF($O211="","No. HP kosong",IF(AND($R211&lt;&gt;"",$R211&lt;17),"Usia di bawah 17","")))))))))</f>
        <v/>
      </c>
      <c r="Z211" s="40" t="str">
        <f aca="false">IF($B211="","",IF(AND(OR(CARI!$C$5="",ISNUMBER(SEARCH(CARI!$C$5,$B211&amp;" "&amp;$C211&amp;" "&amp;$D211&amp;" "&amp;$O211&amp;" "&amp;$I211&amp;" "&amp;$F211&amp;" "&amp;$J211&amp;" "&amp;$K211&amp;" "&amp;$L211&amp;" "&amp;$V211))),OR(CARI!$C$6="",$F211=CARI!$C$6),OR(CARI!$C$7="",$G211=CARI!$C$7),OR(CARI!$C$8="",$T211=CARI!$C$8)),MAX($Z$3:Z210)+1,""))</f>
        <v/>
      </c>
      <c r="AA211" s="40" t="str">
        <f aca="false">IF($Y211="","",MAX($AA$3:AA210)+1)</f>
        <v/>
      </c>
      <c r="AB211" s="40" t="str">
        <f aca="false">IF($F211="","",$F211&amp;"#"&amp;COUNTIF($F$4:$F211,$F211))</f>
        <v/>
      </c>
      <c r="AC211" s="40" t="str">
        <f aca="false">IF($B211="","",IF(AND(OR(CETAK!$J$10="",$F211=CETAK!$J$10),OR(CETAK!$J$11="",$G211=CETAK!$J$11),OR(CETAK!$J$12="",$P211=CETAK!$J$12),OR(CETAK!$J$13="",$N211=CETAK!$J$13),OR(CETAK!$J$14="",$T211=CETAK!$J$14)),MAX($AC$3:AC210)+1,""))</f>
        <v/>
      </c>
      <c r="AD211" s="40" t="str">
        <f aca="false">IF($B211="","",IF(AND(OR(ABSENSI!$H$10="",$F211=ABSENSI!$H$10),OR(ABSENSI!$H$11="",$G211=ABSENSI!$H$11),OR(ABSENSI!$H$12="",$P211=ABSENSI!$H$12)),MAX($AD$3:AD210)+1,""))</f>
        <v/>
      </c>
      <c r="AE211" s="40" t="str">
        <f aca="false">IF($B211="","",IF(AND(OR(KARTU!$K$6="",$F211=KARTU!$K$6),OR(KARTU!$K$7="",$G211=KARTU!$K$7),OR(KARTU!$K$8="",$P211=KARTU!$K$8)),MAX($AE$3:AE210)+1,""))</f>
        <v/>
      </c>
    </row>
    <row r="212" customFormat="false" ht="15" hidden="false" customHeight="false" outlineLevel="0" collapsed="false">
      <c r="A212" s="35" t="str">
        <f aca="false">IF($B212="","",COUNTA($B$4:$B212))</f>
        <v/>
      </c>
      <c r="B212" s="36"/>
      <c r="C212" s="37"/>
      <c r="D212" s="37"/>
      <c r="E212" s="38"/>
      <c r="F212" s="36"/>
      <c r="G212" s="39"/>
      <c r="H212" s="39"/>
      <c r="I212" s="36"/>
      <c r="J212" s="36"/>
      <c r="K212" s="36"/>
      <c r="L212" s="36"/>
      <c r="M212" s="40" t="str">
        <f aca="false">IF($F212="","",$F212&amp;IF($G212="",""," - RT "&amp;$G212&amp;IF($H212="","","/"&amp;$H212)))</f>
        <v/>
      </c>
      <c r="N212" s="36"/>
      <c r="O212" s="37"/>
      <c r="P212" s="39"/>
      <c r="Q212" s="41"/>
      <c r="R212" s="35" t="str">
        <f aca="true">IF(OR($B212="",$Q212=""),"",DATEDIF($Q212,TODAY(),"Y"))</f>
        <v/>
      </c>
      <c r="S212" s="40" t="str">
        <f aca="false">IF($R212="","",INDEX(usia_label,MATCH($R212,usia_min,1)))</f>
        <v/>
      </c>
      <c r="T212" s="36"/>
      <c r="U212" s="41"/>
      <c r="V212" s="36"/>
      <c r="W212" s="36"/>
      <c r="X212" s="40" t="str">
        <f aca="false">IF($M212="","",$M212&amp;"#"&amp;COUNTIF($M$4:$M212,$M212))</f>
        <v/>
      </c>
      <c r="Y212" s="40" t="str">
        <f aca="false">IF($B212="","",IF($C212="","NIK kosong",IF(LEN($C212)&lt;&gt;16,"NIK bukan 16 digit",IF(COUNTIF($C$4:$C$2003,$C212&amp;"*")&gt;1,"NIK ganda",IF(AND($D212&lt;&gt;"",LEN($D212)&lt;&gt;16),"No. KK bukan 16 digit",IF(AND($F212="",$I212=""),"Alamat kosong",IF($N212="","Jabatan kosong",IF($O212="","No. HP kosong",IF(AND($R212&lt;&gt;"",$R212&lt;17),"Usia di bawah 17","")))))))))</f>
        <v/>
      </c>
      <c r="Z212" s="40" t="str">
        <f aca="false">IF($B212="","",IF(AND(OR(CARI!$C$5="",ISNUMBER(SEARCH(CARI!$C$5,$B212&amp;" "&amp;$C212&amp;" "&amp;$D212&amp;" "&amp;$O212&amp;" "&amp;$I212&amp;" "&amp;$F212&amp;" "&amp;$J212&amp;" "&amp;$K212&amp;" "&amp;$L212&amp;" "&amp;$V212))),OR(CARI!$C$6="",$F212=CARI!$C$6),OR(CARI!$C$7="",$G212=CARI!$C$7),OR(CARI!$C$8="",$T212=CARI!$C$8)),MAX($Z$3:Z211)+1,""))</f>
        <v/>
      </c>
      <c r="AA212" s="40" t="str">
        <f aca="false">IF($Y212="","",MAX($AA$3:AA211)+1)</f>
        <v/>
      </c>
      <c r="AB212" s="40" t="str">
        <f aca="false">IF($F212="","",$F212&amp;"#"&amp;COUNTIF($F$4:$F212,$F212))</f>
        <v/>
      </c>
      <c r="AC212" s="40" t="str">
        <f aca="false">IF($B212="","",IF(AND(OR(CETAK!$J$10="",$F212=CETAK!$J$10),OR(CETAK!$J$11="",$G212=CETAK!$J$11),OR(CETAK!$J$12="",$P212=CETAK!$J$12),OR(CETAK!$J$13="",$N212=CETAK!$J$13),OR(CETAK!$J$14="",$T212=CETAK!$J$14)),MAX($AC$3:AC211)+1,""))</f>
        <v/>
      </c>
      <c r="AD212" s="40" t="str">
        <f aca="false">IF($B212="","",IF(AND(OR(ABSENSI!$H$10="",$F212=ABSENSI!$H$10),OR(ABSENSI!$H$11="",$G212=ABSENSI!$H$11),OR(ABSENSI!$H$12="",$P212=ABSENSI!$H$12)),MAX($AD$3:AD211)+1,""))</f>
        <v/>
      </c>
      <c r="AE212" s="40" t="str">
        <f aca="false">IF($B212="","",IF(AND(OR(KARTU!$K$6="",$F212=KARTU!$K$6),OR(KARTU!$K$7="",$G212=KARTU!$K$7),OR(KARTU!$K$8="",$P212=KARTU!$K$8)),MAX($AE$3:AE211)+1,""))</f>
        <v/>
      </c>
    </row>
    <row r="213" customFormat="false" ht="15" hidden="false" customHeight="false" outlineLevel="0" collapsed="false">
      <c r="A213" s="35" t="str">
        <f aca="false">IF($B213="","",COUNTA($B$4:$B213))</f>
        <v/>
      </c>
      <c r="B213" s="36"/>
      <c r="C213" s="37"/>
      <c r="D213" s="37"/>
      <c r="E213" s="38"/>
      <c r="F213" s="36"/>
      <c r="G213" s="39"/>
      <c r="H213" s="39"/>
      <c r="I213" s="36"/>
      <c r="J213" s="36"/>
      <c r="K213" s="36"/>
      <c r="L213" s="36"/>
      <c r="M213" s="40" t="str">
        <f aca="false">IF($F213="","",$F213&amp;IF($G213="",""," - RT "&amp;$G213&amp;IF($H213="","","/"&amp;$H213)))</f>
        <v/>
      </c>
      <c r="N213" s="36"/>
      <c r="O213" s="37"/>
      <c r="P213" s="39"/>
      <c r="Q213" s="41"/>
      <c r="R213" s="35" t="str">
        <f aca="true">IF(OR($B213="",$Q213=""),"",DATEDIF($Q213,TODAY(),"Y"))</f>
        <v/>
      </c>
      <c r="S213" s="40" t="str">
        <f aca="false">IF($R213="","",INDEX(usia_label,MATCH($R213,usia_min,1)))</f>
        <v/>
      </c>
      <c r="T213" s="36"/>
      <c r="U213" s="41"/>
      <c r="V213" s="36"/>
      <c r="W213" s="36"/>
      <c r="X213" s="40" t="str">
        <f aca="false">IF($M213="","",$M213&amp;"#"&amp;COUNTIF($M$4:$M213,$M213))</f>
        <v/>
      </c>
      <c r="Y213" s="40" t="str">
        <f aca="false">IF($B213="","",IF($C213="","NIK kosong",IF(LEN($C213)&lt;&gt;16,"NIK bukan 16 digit",IF(COUNTIF($C$4:$C$2003,$C213&amp;"*")&gt;1,"NIK ganda",IF(AND($D213&lt;&gt;"",LEN($D213)&lt;&gt;16),"No. KK bukan 16 digit",IF(AND($F213="",$I213=""),"Alamat kosong",IF($N213="","Jabatan kosong",IF($O213="","No. HP kosong",IF(AND($R213&lt;&gt;"",$R213&lt;17),"Usia di bawah 17","")))))))))</f>
        <v/>
      </c>
      <c r="Z213" s="40" t="str">
        <f aca="false">IF($B213="","",IF(AND(OR(CARI!$C$5="",ISNUMBER(SEARCH(CARI!$C$5,$B213&amp;" "&amp;$C213&amp;" "&amp;$D213&amp;" "&amp;$O213&amp;" "&amp;$I213&amp;" "&amp;$F213&amp;" "&amp;$J213&amp;" "&amp;$K213&amp;" "&amp;$L213&amp;" "&amp;$V213))),OR(CARI!$C$6="",$F213=CARI!$C$6),OR(CARI!$C$7="",$G213=CARI!$C$7),OR(CARI!$C$8="",$T213=CARI!$C$8)),MAX($Z$3:Z212)+1,""))</f>
        <v/>
      </c>
      <c r="AA213" s="40" t="str">
        <f aca="false">IF($Y213="","",MAX($AA$3:AA212)+1)</f>
        <v/>
      </c>
      <c r="AB213" s="40" t="str">
        <f aca="false">IF($F213="","",$F213&amp;"#"&amp;COUNTIF($F$4:$F213,$F213))</f>
        <v/>
      </c>
      <c r="AC213" s="40" t="str">
        <f aca="false">IF($B213="","",IF(AND(OR(CETAK!$J$10="",$F213=CETAK!$J$10),OR(CETAK!$J$11="",$G213=CETAK!$J$11),OR(CETAK!$J$12="",$P213=CETAK!$J$12),OR(CETAK!$J$13="",$N213=CETAK!$J$13),OR(CETAK!$J$14="",$T213=CETAK!$J$14)),MAX($AC$3:AC212)+1,""))</f>
        <v/>
      </c>
      <c r="AD213" s="40" t="str">
        <f aca="false">IF($B213="","",IF(AND(OR(ABSENSI!$H$10="",$F213=ABSENSI!$H$10),OR(ABSENSI!$H$11="",$G213=ABSENSI!$H$11),OR(ABSENSI!$H$12="",$P213=ABSENSI!$H$12)),MAX($AD$3:AD212)+1,""))</f>
        <v/>
      </c>
      <c r="AE213" s="40" t="str">
        <f aca="false">IF($B213="","",IF(AND(OR(KARTU!$K$6="",$F213=KARTU!$K$6),OR(KARTU!$K$7="",$G213=KARTU!$K$7),OR(KARTU!$K$8="",$P213=KARTU!$K$8)),MAX($AE$3:AE212)+1,""))</f>
        <v/>
      </c>
    </row>
    <row r="214" customFormat="false" ht="15" hidden="false" customHeight="false" outlineLevel="0" collapsed="false">
      <c r="A214" s="35" t="str">
        <f aca="false">IF($B214="","",COUNTA($B$4:$B214))</f>
        <v/>
      </c>
      <c r="B214" s="36"/>
      <c r="C214" s="37"/>
      <c r="D214" s="37"/>
      <c r="E214" s="38"/>
      <c r="F214" s="36"/>
      <c r="G214" s="39"/>
      <c r="H214" s="39"/>
      <c r="I214" s="36"/>
      <c r="J214" s="36"/>
      <c r="K214" s="36"/>
      <c r="L214" s="36"/>
      <c r="M214" s="40" t="str">
        <f aca="false">IF($F214="","",$F214&amp;IF($G214="",""," - RT "&amp;$G214&amp;IF($H214="","","/"&amp;$H214)))</f>
        <v/>
      </c>
      <c r="N214" s="36"/>
      <c r="O214" s="37"/>
      <c r="P214" s="39"/>
      <c r="Q214" s="41"/>
      <c r="R214" s="35" t="str">
        <f aca="true">IF(OR($B214="",$Q214=""),"",DATEDIF($Q214,TODAY(),"Y"))</f>
        <v/>
      </c>
      <c r="S214" s="40" t="str">
        <f aca="false">IF($R214="","",INDEX(usia_label,MATCH($R214,usia_min,1)))</f>
        <v/>
      </c>
      <c r="T214" s="36"/>
      <c r="U214" s="41"/>
      <c r="V214" s="36"/>
      <c r="W214" s="36"/>
      <c r="X214" s="40" t="str">
        <f aca="false">IF($M214="","",$M214&amp;"#"&amp;COUNTIF($M$4:$M214,$M214))</f>
        <v/>
      </c>
      <c r="Y214" s="40" t="str">
        <f aca="false">IF($B214="","",IF($C214="","NIK kosong",IF(LEN($C214)&lt;&gt;16,"NIK bukan 16 digit",IF(COUNTIF($C$4:$C$2003,$C214&amp;"*")&gt;1,"NIK ganda",IF(AND($D214&lt;&gt;"",LEN($D214)&lt;&gt;16),"No. KK bukan 16 digit",IF(AND($F214="",$I214=""),"Alamat kosong",IF($N214="","Jabatan kosong",IF($O214="","No. HP kosong",IF(AND($R214&lt;&gt;"",$R214&lt;17),"Usia di bawah 17","")))))))))</f>
        <v/>
      </c>
      <c r="Z214" s="40" t="str">
        <f aca="false">IF($B214="","",IF(AND(OR(CARI!$C$5="",ISNUMBER(SEARCH(CARI!$C$5,$B214&amp;" "&amp;$C214&amp;" "&amp;$D214&amp;" "&amp;$O214&amp;" "&amp;$I214&amp;" "&amp;$F214&amp;" "&amp;$J214&amp;" "&amp;$K214&amp;" "&amp;$L214&amp;" "&amp;$V214))),OR(CARI!$C$6="",$F214=CARI!$C$6),OR(CARI!$C$7="",$G214=CARI!$C$7),OR(CARI!$C$8="",$T214=CARI!$C$8)),MAX($Z$3:Z213)+1,""))</f>
        <v/>
      </c>
      <c r="AA214" s="40" t="str">
        <f aca="false">IF($Y214="","",MAX($AA$3:AA213)+1)</f>
        <v/>
      </c>
      <c r="AB214" s="40" t="str">
        <f aca="false">IF($F214="","",$F214&amp;"#"&amp;COUNTIF($F$4:$F214,$F214))</f>
        <v/>
      </c>
      <c r="AC214" s="40" t="str">
        <f aca="false">IF($B214="","",IF(AND(OR(CETAK!$J$10="",$F214=CETAK!$J$10),OR(CETAK!$J$11="",$G214=CETAK!$J$11),OR(CETAK!$J$12="",$P214=CETAK!$J$12),OR(CETAK!$J$13="",$N214=CETAK!$J$13),OR(CETAK!$J$14="",$T214=CETAK!$J$14)),MAX($AC$3:AC213)+1,""))</f>
        <v/>
      </c>
      <c r="AD214" s="40" t="str">
        <f aca="false">IF($B214="","",IF(AND(OR(ABSENSI!$H$10="",$F214=ABSENSI!$H$10),OR(ABSENSI!$H$11="",$G214=ABSENSI!$H$11),OR(ABSENSI!$H$12="",$P214=ABSENSI!$H$12)),MAX($AD$3:AD213)+1,""))</f>
        <v/>
      </c>
      <c r="AE214" s="40" t="str">
        <f aca="false">IF($B214="","",IF(AND(OR(KARTU!$K$6="",$F214=KARTU!$K$6),OR(KARTU!$K$7="",$G214=KARTU!$K$7),OR(KARTU!$K$8="",$P214=KARTU!$K$8)),MAX($AE$3:AE213)+1,""))</f>
        <v/>
      </c>
    </row>
    <row r="215" customFormat="false" ht="15" hidden="false" customHeight="false" outlineLevel="0" collapsed="false">
      <c r="A215" s="35" t="str">
        <f aca="false">IF($B215="","",COUNTA($B$4:$B215))</f>
        <v/>
      </c>
      <c r="B215" s="36"/>
      <c r="C215" s="37"/>
      <c r="D215" s="37"/>
      <c r="E215" s="38"/>
      <c r="F215" s="36"/>
      <c r="G215" s="39"/>
      <c r="H215" s="39"/>
      <c r="I215" s="36"/>
      <c r="J215" s="36"/>
      <c r="K215" s="36"/>
      <c r="L215" s="36"/>
      <c r="M215" s="40" t="str">
        <f aca="false">IF($F215="","",$F215&amp;IF($G215="",""," - RT "&amp;$G215&amp;IF($H215="","","/"&amp;$H215)))</f>
        <v/>
      </c>
      <c r="N215" s="36"/>
      <c r="O215" s="37"/>
      <c r="P215" s="39"/>
      <c r="Q215" s="41"/>
      <c r="R215" s="35" t="str">
        <f aca="true">IF(OR($B215="",$Q215=""),"",DATEDIF($Q215,TODAY(),"Y"))</f>
        <v/>
      </c>
      <c r="S215" s="40" t="str">
        <f aca="false">IF($R215="","",INDEX(usia_label,MATCH($R215,usia_min,1)))</f>
        <v/>
      </c>
      <c r="T215" s="36"/>
      <c r="U215" s="41"/>
      <c r="V215" s="36"/>
      <c r="W215" s="36"/>
      <c r="X215" s="40" t="str">
        <f aca="false">IF($M215="","",$M215&amp;"#"&amp;COUNTIF($M$4:$M215,$M215))</f>
        <v/>
      </c>
      <c r="Y215" s="40" t="str">
        <f aca="false">IF($B215="","",IF($C215="","NIK kosong",IF(LEN($C215)&lt;&gt;16,"NIK bukan 16 digit",IF(COUNTIF($C$4:$C$2003,$C215&amp;"*")&gt;1,"NIK ganda",IF(AND($D215&lt;&gt;"",LEN($D215)&lt;&gt;16),"No. KK bukan 16 digit",IF(AND($F215="",$I215=""),"Alamat kosong",IF($N215="","Jabatan kosong",IF($O215="","No. HP kosong",IF(AND($R215&lt;&gt;"",$R215&lt;17),"Usia di bawah 17","")))))))))</f>
        <v/>
      </c>
      <c r="Z215" s="40" t="str">
        <f aca="false">IF($B215="","",IF(AND(OR(CARI!$C$5="",ISNUMBER(SEARCH(CARI!$C$5,$B215&amp;" "&amp;$C215&amp;" "&amp;$D215&amp;" "&amp;$O215&amp;" "&amp;$I215&amp;" "&amp;$F215&amp;" "&amp;$J215&amp;" "&amp;$K215&amp;" "&amp;$L215&amp;" "&amp;$V215))),OR(CARI!$C$6="",$F215=CARI!$C$6),OR(CARI!$C$7="",$G215=CARI!$C$7),OR(CARI!$C$8="",$T215=CARI!$C$8)),MAX($Z$3:Z214)+1,""))</f>
        <v/>
      </c>
      <c r="AA215" s="40" t="str">
        <f aca="false">IF($Y215="","",MAX($AA$3:AA214)+1)</f>
        <v/>
      </c>
      <c r="AB215" s="40" t="str">
        <f aca="false">IF($F215="","",$F215&amp;"#"&amp;COUNTIF($F$4:$F215,$F215))</f>
        <v/>
      </c>
      <c r="AC215" s="40" t="str">
        <f aca="false">IF($B215="","",IF(AND(OR(CETAK!$J$10="",$F215=CETAK!$J$10),OR(CETAK!$J$11="",$G215=CETAK!$J$11),OR(CETAK!$J$12="",$P215=CETAK!$J$12),OR(CETAK!$J$13="",$N215=CETAK!$J$13),OR(CETAK!$J$14="",$T215=CETAK!$J$14)),MAX($AC$3:AC214)+1,""))</f>
        <v/>
      </c>
      <c r="AD215" s="40" t="str">
        <f aca="false">IF($B215="","",IF(AND(OR(ABSENSI!$H$10="",$F215=ABSENSI!$H$10),OR(ABSENSI!$H$11="",$G215=ABSENSI!$H$11),OR(ABSENSI!$H$12="",$P215=ABSENSI!$H$12)),MAX($AD$3:AD214)+1,""))</f>
        <v/>
      </c>
      <c r="AE215" s="40" t="str">
        <f aca="false">IF($B215="","",IF(AND(OR(KARTU!$K$6="",$F215=KARTU!$K$6),OR(KARTU!$K$7="",$G215=KARTU!$K$7),OR(KARTU!$K$8="",$P215=KARTU!$K$8)),MAX($AE$3:AE214)+1,""))</f>
        <v/>
      </c>
    </row>
    <row r="216" customFormat="false" ht="15" hidden="false" customHeight="false" outlineLevel="0" collapsed="false">
      <c r="A216" s="35" t="str">
        <f aca="false">IF($B216="","",COUNTA($B$4:$B216))</f>
        <v/>
      </c>
      <c r="B216" s="36"/>
      <c r="C216" s="37"/>
      <c r="D216" s="37"/>
      <c r="E216" s="38"/>
      <c r="F216" s="36"/>
      <c r="G216" s="39"/>
      <c r="H216" s="39"/>
      <c r="I216" s="36"/>
      <c r="J216" s="36"/>
      <c r="K216" s="36"/>
      <c r="L216" s="36"/>
      <c r="M216" s="40" t="str">
        <f aca="false">IF($F216="","",$F216&amp;IF($G216="",""," - RT "&amp;$G216&amp;IF($H216="","","/"&amp;$H216)))</f>
        <v/>
      </c>
      <c r="N216" s="36"/>
      <c r="O216" s="37"/>
      <c r="P216" s="39"/>
      <c r="Q216" s="41"/>
      <c r="R216" s="35" t="str">
        <f aca="true">IF(OR($B216="",$Q216=""),"",DATEDIF($Q216,TODAY(),"Y"))</f>
        <v/>
      </c>
      <c r="S216" s="40" t="str">
        <f aca="false">IF($R216="","",INDEX(usia_label,MATCH($R216,usia_min,1)))</f>
        <v/>
      </c>
      <c r="T216" s="36"/>
      <c r="U216" s="41"/>
      <c r="V216" s="36"/>
      <c r="W216" s="36"/>
      <c r="X216" s="40" t="str">
        <f aca="false">IF($M216="","",$M216&amp;"#"&amp;COUNTIF($M$4:$M216,$M216))</f>
        <v/>
      </c>
      <c r="Y216" s="40" t="str">
        <f aca="false">IF($B216="","",IF($C216="","NIK kosong",IF(LEN($C216)&lt;&gt;16,"NIK bukan 16 digit",IF(COUNTIF($C$4:$C$2003,$C216&amp;"*")&gt;1,"NIK ganda",IF(AND($D216&lt;&gt;"",LEN($D216)&lt;&gt;16),"No. KK bukan 16 digit",IF(AND($F216="",$I216=""),"Alamat kosong",IF($N216="","Jabatan kosong",IF($O216="","No. HP kosong",IF(AND($R216&lt;&gt;"",$R216&lt;17),"Usia di bawah 17","")))))))))</f>
        <v/>
      </c>
      <c r="Z216" s="40" t="str">
        <f aca="false">IF($B216="","",IF(AND(OR(CARI!$C$5="",ISNUMBER(SEARCH(CARI!$C$5,$B216&amp;" "&amp;$C216&amp;" "&amp;$D216&amp;" "&amp;$O216&amp;" "&amp;$I216&amp;" "&amp;$F216&amp;" "&amp;$J216&amp;" "&amp;$K216&amp;" "&amp;$L216&amp;" "&amp;$V216))),OR(CARI!$C$6="",$F216=CARI!$C$6),OR(CARI!$C$7="",$G216=CARI!$C$7),OR(CARI!$C$8="",$T216=CARI!$C$8)),MAX($Z$3:Z215)+1,""))</f>
        <v/>
      </c>
      <c r="AA216" s="40" t="str">
        <f aca="false">IF($Y216="","",MAX($AA$3:AA215)+1)</f>
        <v/>
      </c>
      <c r="AB216" s="40" t="str">
        <f aca="false">IF($F216="","",$F216&amp;"#"&amp;COUNTIF($F$4:$F216,$F216))</f>
        <v/>
      </c>
      <c r="AC216" s="40" t="str">
        <f aca="false">IF($B216="","",IF(AND(OR(CETAK!$J$10="",$F216=CETAK!$J$10),OR(CETAK!$J$11="",$G216=CETAK!$J$11),OR(CETAK!$J$12="",$P216=CETAK!$J$12),OR(CETAK!$J$13="",$N216=CETAK!$J$13),OR(CETAK!$J$14="",$T216=CETAK!$J$14)),MAX($AC$3:AC215)+1,""))</f>
        <v/>
      </c>
      <c r="AD216" s="40" t="str">
        <f aca="false">IF($B216="","",IF(AND(OR(ABSENSI!$H$10="",$F216=ABSENSI!$H$10),OR(ABSENSI!$H$11="",$G216=ABSENSI!$H$11),OR(ABSENSI!$H$12="",$P216=ABSENSI!$H$12)),MAX($AD$3:AD215)+1,""))</f>
        <v/>
      </c>
      <c r="AE216" s="40" t="str">
        <f aca="false">IF($B216="","",IF(AND(OR(KARTU!$K$6="",$F216=KARTU!$K$6),OR(KARTU!$K$7="",$G216=KARTU!$K$7),OR(KARTU!$K$8="",$P216=KARTU!$K$8)),MAX($AE$3:AE215)+1,""))</f>
        <v/>
      </c>
    </row>
    <row r="217" customFormat="false" ht="15" hidden="false" customHeight="false" outlineLevel="0" collapsed="false">
      <c r="A217" s="35" t="str">
        <f aca="false">IF($B217="","",COUNTA($B$4:$B217))</f>
        <v/>
      </c>
      <c r="B217" s="36"/>
      <c r="C217" s="37"/>
      <c r="D217" s="37"/>
      <c r="E217" s="38"/>
      <c r="F217" s="36"/>
      <c r="G217" s="39"/>
      <c r="H217" s="39"/>
      <c r="I217" s="36"/>
      <c r="J217" s="36"/>
      <c r="K217" s="36"/>
      <c r="L217" s="36"/>
      <c r="M217" s="40" t="str">
        <f aca="false">IF($F217="","",$F217&amp;IF($G217="",""," - RT "&amp;$G217&amp;IF($H217="","","/"&amp;$H217)))</f>
        <v/>
      </c>
      <c r="N217" s="36"/>
      <c r="O217" s="37"/>
      <c r="P217" s="39"/>
      <c r="Q217" s="41"/>
      <c r="R217" s="35" t="str">
        <f aca="true">IF(OR($B217="",$Q217=""),"",DATEDIF($Q217,TODAY(),"Y"))</f>
        <v/>
      </c>
      <c r="S217" s="40" t="str">
        <f aca="false">IF($R217="","",INDEX(usia_label,MATCH($R217,usia_min,1)))</f>
        <v/>
      </c>
      <c r="T217" s="36"/>
      <c r="U217" s="41"/>
      <c r="V217" s="36"/>
      <c r="W217" s="36"/>
      <c r="X217" s="40" t="str">
        <f aca="false">IF($M217="","",$M217&amp;"#"&amp;COUNTIF($M$4:$M217,$M217))</f>
        <v/>
      </c>
      <c r="Y217" s="40" t="str">
        <f aca="false">IF($B217="","",IF($C217="","NIK kosong",IF(LEN($C217)&lt;&gt;16,"NIK bukan 16 digit",IF(COUNTIF($C$4:$C$2003,$C217&amp;"*")&gt;1,"NIK ganda",IF(AND($D217&lt;&gt;"",LEN($D217)&lt;&gt;16),"No. KK bukan 16 digit",IF(AND($F217="",$I217=""),"Alamat kosong",IF($N217="","Jabatan kosong",IF($O217="","No. HP kosong",IF(AND($R217&lt;&gt;"",$R217&lt;17),"Usia di bawah 17","")))))))))</f>
        <v/>
      </c>
      <c r="Z217" s="40" t="str">
        <f aca="false">IF($B217="","",IF(AND(OR(CARI!$C$5="",ISNUMBER(SEARCH(CARI!$C$5,$B217&amp;" "&amp;$C217&amp;" "&amp;$D217&amp;" "&amp;$O217&amp;" "&amp;$I217&amp;" "&amp;$F217&amp;" "&amp;$J217&amp;" "&amp;$K217&amp;" "&amp;$L217&amp;" "&amp;$V217))),OR(CARI!$C$6="",$F217=CARI!$C$6),OR(CARI!$C$7="",$G217=CARI!$C$7),OR(CARI!$C$8="",$T217=CARI!$C$8)),MAX($Z$3:Z216)+1,""))</f>
        <v/>
      </c>
      <c r="AA217" s="40" t="str">
        <f aca="false">IF($Y217="","",MAX($AA$3:AA216)+1)</f>
        <v/>
      </c>
      <c r="AB217" s="40" t="str">
        <f aca="false">IF($F217="","",$F217&amp;"#"&amp;COUNTIF($F$4:$F217,$F217))</f>
        <v/>
      </c>
      <c r="AC217" s="40" t="str">
        <f aca="false">IF($B217="","",IF(AND(OR(CETAK!$J$10="",$F217=CETAK!$J$10),OR(CETAK!$J$11="",$G217=CETAK!$J$11),OR(CETAK!$J$12="",$P217=CETAK!$J$12),OR(CETAK!$J$13="",$N217=CETAK!$J$13),OR(CETAK!$J$14="",$T217=CETAK!$J$14)),MAX($AC$3:AC216)+1,""))</f>
        <v/>
      </c>
      <c r="AD217" s="40" t="str">
        <f aca="false">IF($B217="","",IF(AND(OR(ABSENSI!$H$10="",$F217=ABSENSI!$H$10),OR(ABSENSI!$H$11="",$G217=ABSENSI!$H$11),OR(ABSENSI!$H$12="",$P217=ABSENSI!$H$12)),MAX($AD$3:AD216)+1,""))</f>
        <v/>
      </c>
      <c r="AE217" s="40" t="str">
        <f aca="false">IF($B217="","",IF(AND(OR(KARTU!$K$6="",$F217=KARTU!$K$6),OR(KARTU!$K$7="",$G217=KARTU!$K$7),OR(KARTU!$K$8="",$P217=KARTU!$K$8)),MAX($AE$3:AE216)+1,""))</f>
        <v/>
      </c>
    </row>
    <row r="218" customFormat="false" ht="15" hidden="false" customHeight="false" outlineLevel="0" collapsed="false">
      <c r="A218" s="35" t="str">
        <f aca="false">IF($B218="","",COUNTA($B$4:$B218))</f>
        <v/>
      </c>
      <c r="B218" s="36"/>
      <c r="C218" s="37"/>
      <c r="D218" s="37"/>
      <c r="E218" s="38"/>
      <c r="F218" s="36"/>
      <c r="G218" s="39"/>
      <c r="H218" s="39"/>
      <c r="I218" s="36"/>
      <c r="J218" s="36"/>
      <c r="K218" s="36"/>
      <c r="L218" s="36"/>
      <c r="M218" s="40" t="str">
        <f aca="false">IF($F218="","",$F218&amp;IF($G218="",""," - RT "&amp;$G218&amp;IF($H218="","","/"&amp;$H218)))</f>
        <v/>
      </c>
      <c r="N218" s="36"/>
      <c r="O218" s="37"/>
      <c r="P218" s="39"/>
      <c r="Q218" s="41"/>
      <c r="R218" s="35" t="str">
        <f aca="true">IF(OR($B218="",$Q218=""),"",DATEDIF($Q218,TODAY(),"Y"))</f>
        <v/>
      </c>
      <c r="S218" s="40" t="str">
        <f aca="false">IF($R218="","",INDEX(usia_label,MATCH($R218,usia_min,1)))</f>
        <v/>
      </c>
      <c r="T218" s="36"/>
      <c r="U218" s="41"/>
      <c r="V218" s="36"/>
      <c r="W218" s="36"/>
      <c r="X218" s="40" t="str">
        <f aca="false">IF($M218="","",$M218&amp;"#"&amp;COUNTIF($M$4:$M218,$M218))</f>
        <v/>
      </c>
      <c r="Y218" s="40" t="str">
        <f aca="false">IF($B218="","",IF($C218="","NIK kosong",IF(LEN($C218)&lt;&gt;16,"NIK bukan 16 digit",IF(COUNTIF($C$4:$C$2003,$C218&amp;"*")&gt;1,"NIK ganda",IF(AND($D218&lt;&gt;"",LEN($D218)&lt;&gt;16),"No. KK bukan 16 digit",IF(AND($F218="",$I218=""),"Alamat kosong",IF($N218="","Jabatan kosong",IF($O218="","No. HP kosong",IF(AND($R218&lt;&gt;"",$R218&lt;17),"Usia di bawah 17","")))))))))</f>
        <v/>
      </c>
      <c r="Z218" s="40" t="str">
        <f aca="false">IF($B218="","",IF(AND(OR(CARI!$C$5="",ISNUMBER(SEARCH(CARI!$C$5,$B218&amp;" "&amp;$C218&amp;" "&amp;$D218&amp;" "&amp;$O218&amp;" "&amp;$I218&amp;" "&amp;$F218&amp;" "&amp;$J218&amp;" "&amp;$K218&amp;" "&amp;$L218&amp;" "&amp;$V218))),OR(CARI!$C$6="",$F218=CARI!$C$6),OR(CARI!$C$7="",$G218=CARI!$C$7),OR(CARI!$C$8="",$T218=CARI!$C$8)),MAX($Z$3:Z217)+1,""))</f>
        <v/>
      </c>
      <c r="AA218" s="40" t="str">
        <f aca="false">IF($Y218="","",MAX($AA$3:AA217)+1)</f>
        <v/>
      </c>
      <c r="AB218" s="40" t="str">
        <f aca="false">IF($F218="","",$F218&amp;"#"&amp;COUNTIF($F$4:$F218,$F218))</f>
        <v/>
      </c>
      <c r="AC218" s="40" t="str">
        <f aca="false">IF($B218="","",IF(AND(OR(CETAK!$J$10="",$F218=CETAK!$J$10),OR(CETAK!$J$11="",$G218=CETAK!$J$11),OR(CETAK!$J$12="",$P218=CETAK!$J$12),OR(CETAK!$J$13="",$N218=CETAK!$J$13),OR(CETAK!$J$14="",$T218=CETAK!$J$14)),MAX($AC$3:AC217)+1,""))</f>
        <v/>
      </c>
      <c r="AD218" s="40" t="str">
        <f aca="false">IF($B218="","",IF(AND(OR(ABSENSI!$H$10="",$F218=ABSENSI!$H$10),OR(ABSENSI!$H$11="",$G218=ABSENSI!$H$11),OR(ABSENSI!$H$12="",$P218=ABSENSI!$H$12)),MAX($AD$3:AD217)+1,""))</f>
        <v/>
      </c>
      <c r="AE218" s="40" t="str">
        <f aca="false">IF($B218="","",IF(AND(OR(KARTU!$K$6="",$F218=KARTU!$K$6),OR(KARTU!$K$7="",$G218=KARTU!$K$7),OR(KARTU!$K$8="",$P218=KARTU!$K$8)),MAX($AE$3:AE217)+1,""))</f>
        <v/>
      </c>
    </row>
    <row r="219" customFormat="false" ht="15" hidden="false" customHeight="false" outlineLevel="0" collapsed="false">
      <c r="A219" s="35" t="str">
        <f aca="false">IF($B219="","",COUNTA($B$4:$B219))</f>
        <v/>
      </c>
      <c r="B219" s="36"/>
      <c r="C219" s="37"/>
      <c r="D219" s="37"/>
      <c r="E219" s="38"/>
      <c r="F219" s="36"/>
      <c r="G219" s="39"/>
      <c r="H219" s="39"/>
      <c r="I219" s="36"/>
      <c r="J219" s="36"/>
      <c r="K219" s="36"/>
      <c r="L219" s="36"/>
      <c r="M219" s="40" t="str">
        <f aca="false">IF($F219="","",$F219&amp;IF($G219="",""," - RT "&amp;$G219&amp;IF($H219="","","/"&amp;$H219)))</f>
        <v/>
      </c>
      <c r="N219" s="36"/>
      <c r="O219" s="37"/>
      <c r="P219" s="39"/>
      <c r="Q219" s="41"/>
      <c r="R219" s="35" t="str">
        <f aca="true">IF(OR($B219="",$Q219=""),"",DATEDIF($Q219,TODAY(),"Y"))</f>
        <v/>
      </c>
      <c r="S219" s="40" t="str">
        <f aca="false">IF($R219="","",INDEX(usia_label,MATCH($R219,usia_min,1)))</f>
        <v/>
      </c>
      <c r="T219" s="36"/>
      <c r="U219" s="41"/>
      <c r="V219" s="36"/>
      <c r="W219" s="36"/>
      <c r="X219" s="40" t="str">
        <f aca="false">IF($M219="","",$M219&amp;"#"&amp;COUNTIF($M$4:$M219,$M219))</f>
        <v/>
      </c>
      <c r="Y219" s="40" t="str">
        <f aca="false">IF($B219="","",IF($C219="","NIK kosong",IF(LEN($C219)&lt;&gt;16,"NIK bukan 16 digit",IF(COUNTIF($C$4:$C$2003,$C219&amp;"*")&gt;1,"NIK ganda",IF(AND($D219&lt;&gt;"",LEN($D219)&lt;&gt;16),"No. KK bukan 16 digit",IF(AND($F219="",$I219=""),"Alamat kosong",IF($N219="","Jabatan kosong",IF($O219="","No. HP kosong",IF(AND($R219&lt;&gt;"",$R219&lt;17),"Usia di bawah 17","")))))))))</f>
        <v/>
      </c>
      <c r="Z219" s="40" t="str">
        <f aca="false">IF($B219="","",IF(AND(OR(CARI!$C$5="",ISNUMBER(SEARCH(CARI!$C$5,$B219&amp;" "&amp;$C219&amp;" "&amp;$D219&amp;" "&amp;$O219&amp;" "&amp;$I219&amp;" "&amp;$F219&amp;" "&amp;$J219&amp;" "&amp;$K219&amp;" "&amp;$L219&amp;" "&amp;$V219))),OR(CARI!$C$6="",$F219=CARI!$C$6),OR(CARI!$C$7="",$G219=CARI!$C$7),OR(CARI!$C$8="",$T219=CARI!$C$8)),MAX($Z$3:Z218)+1,""))</f>
        <v/>
      </c>
      <c r="AA219" s="40" t="str">
        <f aca="false">IF($Y219="","",MAX($AA$3:AA218)+1)</f>
        <v/>
      </c>
      <c r="AB219" s="40" t="str">
        <f aca="false">IF($F219="","",$F219&amp;"#"&amp;COUNTIF($F$4:$F219,$F219))</f>
        <v/>
      </c>
      <c r="AC219" s="40" t="str">
        <f aca="false">IF($B219="","",IF(AND(OR(CETAK!$J$10="",$F219=CETAK!$J$10),OR(CETAK!$J$11="",$G219=CETAK!$J$11),OR(CETAK!$J$12="",$P219=CETAK!$J$12),OR(CETAK!$J$13="",$N219=CETAK!$J$13),OR(CETAK!$J$14="",$T219=CETAK!$J$14)),MAX($AC$3:AC218)+1,""))</f>
        <v/>
      </c>
      <c r="AD219" s="40" t="str">
        <f aca="false">IF($B219="","",IF(AND(OR(ABSENSI!$H$10="",$F219=ABSENSI!$H$10),OR(ABSENSI!$H$11="",$G219=ABSENSI!$H$11),OR(ABSENSI!$H$12="",$P219=ABSENSI!$H$12)),MAX($AD$3:AD218)+1,""))</f>
        <v/>
      </c>
      <c r="AE219" s="40" t="str">
        <f aca="false">IF($B219="","",IF(AND(OR(KARTU!$K$6="",$F219=KARTU!$K$6),OR(KARTU!$K$7="",$G219=KARTU!$K$7),OR(KARTU!$K$8="",$P219=KARTU!$K$8)),MAX($AE$3:AE218)+1,""))</f>
        <v/>
      </c>
    </row>
    <row r="220" customFormat="false" ht="15" hidden="false" customHeight="false" outlineLevel="0" collapsed="false">
      <c r="A220" s="35" t="str">
        <f aca="false">IF($B220="","",COUNTA($B$4:$B220))</f>
        <v/>
      </c>
      <c r="B220" s="36"/>
      <c r="C220" s="37"/>
      <c r="D220" s="37"/>
      <c r="E220" s="38"/>
      <c r="F220" s="36"/>
      <c r="G220" s="39"/>
      <c r="H220" s="39"/>
      <c r="I220" s="36"/>
      <c r="J220" s="36"/>
      <c r="K220" s="36"/>
      <c r="L220" s="36"/>
      <c r="M220" s="40" t="str">
        <f aca="false">IF($F220="","",$F220&amp;IF($G220="",""," - RT "&amp;$G220&amp;IF($H220="","","/"&amp;$H220)))</f>
        <v/>
      </c>
      <c r="N220" s="36"/>
      <c r="O220" s="37"/>
      <c r="P220" s="39"/>
      <c r="Q220" s="41"/>
      <c r="R220" s="35" t="str">
        <f aca="true">IF(OR($B220="",$Q220=""),"",DATEDIF($Q220,TODAY(),"Y"))</f>
        <v/>
      </c>
      <c r="S220" s="40" t="str">
        <f aca="false">IF($R220="","",INDEX(usia_label,MATCH($R220,usia_min,1)))</f>
        <v/>
      </c>
      <c r="T220" s="36"/>
      <c r="U220" s="41"/>
      <c r="V220" s="36"/>
      <c r="W220" s="36"/>
      <c r="X220" s="40" t="str">
        <f aca="false">IF($M220="","",$M220&amp;"#"&amp;COUNTIF($M$4:$M220,$M220))</f>
        <v/>
      </c>
      <c r="Y220" s="40" t="str">
        <f aca="false">IF($B220="","",IF($C220="","NIK kosong",IF(LEN($C220)&lt;&gt;16,"NIK bukan 16 digit",IF(COUNTIF($C$4:$C$2003,$C220&amp;"*")&gt;1,"NIK ganda",IF(AND($D220&lt;&gt;"",LEN($D220)&lt;&gt;16),"No. KK bukan 16 digit",IF(AND($F220="",$I220=""),"Alamat kosong",IF($N220="","Jabatan kosong",IF($O220="","No. HP kosong",IF(AND($R220&lt;&gt;"",$R220&lt;17),"Usia di bawah 17","")))))))))</f>
        <v/>
      </c>
      <c r="Z220" s="40" t="str">
        <f aca="false">IF($B220="","",IF(AND(OR(CARI!$C$5="",ISNUMBER(SEARCH(CARI!$C$5,$B220&amp;" "&amp;$C220&amp;" "&amp;$D220&amp;" "&amp;$O220&amp;" "&amp;$I220&amp;" "&amp;$F220&amp;" "&amp;$J220&amp;" "&amp;$K220&amp;" "&amp;$L220&amp;" "&amp;$V220))),OR(CARI!$C$6="",$F220=CARI!$C$6),OR(CARI!$C$7="",$G220=CARI!$C$7),OR(CARI!$C$8="",$T220=CARI!$C$8)),MAX($Z$3:Z219)+1,""))</f>
        <v/>
      </c>
      <c r="AA220" s="40" t="str">
        <f aca="false">IF($Y220="","",MAX($AA$3:AA219)+1)</f>
        <v/>
      </c>
      <c r="AB220" s="40" t="str">
        <f aca="false">IF($F220="","",$F220&amp;"#"&amp;COUNTIF($F$4:$F220,$F220))</f>
        <v/>
      </c>
      <c r="AC220" s="40" t="str">
        <f aca="false">IF($B220="","",IF(AND(OR(CETAK!$J$10="",$F220=CETAK!$J$10),OR(CETAK!$J$11="",$G220=CETAK!$J$11),OR(CETAK!$J$12="",$P220=CETAK!$J$12),OR(CETAK!$J$13="",$N220=CETAK!$J$13),OR(CETAK!$J$14="",$T220=CETAK!$J$14)),MAX($AC$3:AC219)+1,""))</f>
        <v/>
      </c>
      <c r="AD220" s="40" t="str">
        <f aca="false">IF($B220="","",IF(AND(OR(ABSENSI!$H$10="",$F220=ABSENSI!$H$10),OR(ABSENSI!$H$11="",$G220=ABSENSI!$H$11),OR(ABSENSI!$H$12="",$P220=ABSENSI!$H$12)),MAX($AD$3:AD219)+1,""))</f>
        <v/>
      </c>
      <c r="AE220" s="40" t="str">
        <f aca="false">IF($B220="","",IF(AND(OR(KARTU!$K$6="",$F220=KARTU!$K$6),OR(KARTU!$K$7="",$G220=KARTU!$K$7),OR(KARTU!$K$8="",$P220=KARTU!$K$8)),MAX($AE$3:AE219)+1,""))</f>
        <v/>
      </c>
    </row>
    <row r="221" customFormat="false" ht="15" hidden="false" customHeight="false" outlineLevel="0" collapsed="false">
      <c r="A221" s="35" t="str">
        <f aca="false">IF($B221="","",COUNTA($B$4:$B221))</f>
        <v/>
      </c>
      <c r="B221" s="36"/>
      <c r="C221" s="37"/>
      <c r="D221" s="37"/>
      <c r="E221" s="38"/>
      <c r="F221" s="36"/>
      <c r="G221" s="39"/>
      <c r="H221" s="39"/>
      <c r="I221" s="36"/>
      <c r="J221" s="36"/>
      <c r="K221" s="36"/>
      <c r="L221" s="36"/>
      <c r="M221" s="40" t="str">
        <f aca="false">IF($F221="","",$F221&amp;IF($G221="",""," - RT "&amp;$G221&amp;IF($H221="","","/"&amp;$H221)))</f>
        <v/>
      </c>
      <c r="N221" s="36"/>
      <c r="O221" s="37"/>
      <c r="P221" s="39"/>
      <c r="Q221" s="41"/>
      <c r="R221" s="35" t="str">
        <f aca="true">IF(OR($B221="",$Q221=""),"",DATEDIF($Q221,TODAY(),"Y"))</f>
        <v/>
      </c>
      <c r="S221" s="40" t="str">
        <f aca="false">IF($R221="","",INDEX(usia_label,MATCH($R221,usia_min,1)))</f>
        <v/>
      </c>
      <c r="T221" s="36"/>
      <c r="U221" s="41"/>
      <c r="V221" s="36"/>
      <c r="W221" s="36"/>
      <c r="X221" s="40" t="str">
        <f aca="false">IF($M221="","",$M221&amp;"#"&amp;COUNTIF($M$4:$M221,$M221))</f>
        <v/>
      </c>
      <c r="Y221" s="40" t="str">
        <f aca="false">IF($B221="","",IF($C221="","NIK kosong",IF(LEN($C221)&lt;&gt;16,"NIK bukan 16 digit",IF(COUNTIF($C$4:$C$2003,$C221&amp;"*")&gt;1,"NIK ganda",IF(AND($D221&lt;&gt;"",LEN($D221)&lt;&gt;16),"No. KK bukan 16 digit",IF(AND($F221="",$I221=""),"Alamat kosong",IF($N221="","Jabatan kosong",IF($O221="","No. HP kosong",IF(AND($R221&lt;&gt;"",$R221&lt;17),"Usia di bawah 17","")))))))))</f>
        <v/>
      </c>
      <c r="Z221" s="40" t="str">
        <f aca="false">IF($B221="","",IF(AND(OR(CARI!$C$5="",ISNUMBER(SEARCH(CARI!$C$5,$B221&amp;" "&amp;$C221&amp;" "&amp;$D221&amp;" "&amp;$O221&amp;" "&amp;$I221&amp;" "&amp;$F221&amp;" "&amp;$J221&amp;" "&amp;$K221&amp;" "&amp;$L221&amp;" "&amp;$V221))),OR(CARI!$C$6="",$F221=CARI!$C$6),OR(CARI!$C$7="",$G221=CARI!$C$7),OR(CARI!$C$8="",$T221=CARI!$C$8)),MAX($Z$3:Z220)+1,""))</f>
        <v/>
      </c>
      <c r="AA221" s="40" t="str">
        <f aca="false">IF($Y221="","",MAX($AA$3:AA220)+1)</f>
        <v/>
      </c>
      <c r="AB221" s="40" t="str">
        <f aca="false">IF($F221="","",$F221&amp;"#"&amp;COUNTIF($F$4:$F221,$F221))</f>
        <v/>
      </c>
      <c r="AC221" s="40" t="str">
        <f aca="false">IF($B221="","",IF(AND(OR(CETAK!$J$10="",$F221=CETAK!$J$10),OR(CETAK!$J$11="",$G221=CETAK!$J$11),OR(CETAK!$J$12="",$P221=CETAK!$J$12),OR(CETAK!$J$13="",$N221=CETAK!$J$13),OR(CETAK!$J$14="",$T221=CETAK!$J$14)),MAX($AC$3:AC220)+1,""))</f>
        <v/>
      </c>
      <c r="AD221" s="40" t="str">
        <f aca="false">IF($B221="","",IF(AND(OR(ABSENSI!$H$10="",$F221=ABSENSI!$H$10),OR(ABSENSI!$H$11="",$G221=ABSENSI!$H$11),OR(ABSENSI!$H$12="",$P221=ABSENSI!$H$12)),MAX($AD$3:AD220)+1,""))</f>
        <v/>
      </c>
      <c r="AE221" s="40" t="str">
        <f aca="false">IF($B221="","",IF(AND(OR(KARTU!$K$6="",$F221=KARTU!$K$6),OR(KARTU!$K$7="",$G221=KARTU!$K$7),OR(KARTU!$K$8="",$P221=KARTU!$K$8)),MAX($AE$3:AE220)+1,""))</f>
        <v/>
      </c>
    </row>
    <row r="222" customFormat="false" ht="15" hidden="false" customHeight="false" outlineLevel="0" collapsed="false">
      <c r="A222" s="35" t="str">
        <f aca="false">IF($B222="","",COUNTA($B$4:$B222))</f>
        <v/>
      </c>
      <c r="B222" s="36"/>
      <c r="C222" s="37"/>
      <c r="D222" s="37"/>
      <c r="E222" s="38"/>
      <c r="F222" s="36"/>
      <c r="G222" s="39"/>
      <c r="H222" s="39"/>
      <c r="I222" s="36"/>
      <c r="J222" s="36"/>
      <c r="K222" s="36"/>
      <c r="L222" s="36"/>
      <c r="M222" s="40" t="str">
        <f aca="false">IF($F222="","",$F222&amp;IF($G222="",""," - RT "&amp;$G222&amp;IF($H222="","","/"&amp;$H222)))</f>
        <v/>
      </c>
      <c r="N222" s="36"/>
      <c r="O222" s="37"/>
      <c r="P222" s="39"/>
      <c r="Q222" s="41"/>
      <c r="R222" s="35" t="str">
        <f aca="true">IF(OR($B222="",$Q222=""),"",DATEDIF($Q222,TODAY(),"Y"))</f>
        <v/>
      </c>
      <c r="S222" s="40" t="str">
        <f aca="false">IF($R222="","",INDEX(usia_label,MATCH($R222,usia_min,1)))</f>
        <v/>
      </c>
      <c r="T222" s="36"/>
      <c r="U222" s="41"/>
      <c r="V222" s="36"/>
      <c r="W222" s="36"/>
      <c r="X222" s="40" t="str">
        <f aca="false">IF($M222="","",$M222&amp;"#"&amp;COUNTIF($M$4:$M222,$M222))</f>
        <v/>
      </c>
      <c r="Y222" s="40" t="str">
        <f aca="false">IF($B222="","",IF($C222="","NIK kosong",IF(LEN($C222)&lt;&gt;16,"NIK bukan 16 digit",IF(COUNTIF($C$4:$C$2003,$C222&amp;"*")&gt;1,"NIK ganda",IF(AND($D222&lt;&gt;"",LEN($D222)&lt;&gt;16),"No. KK bukan 16 digit",IF(AND($F222="",$I222=""),"Alamat kosong",IF($N222="","Jabatan kosong",IF($O222="","No. HP kosong",IF(AND($R222&lt;&gt;"",$R222&lt;17),"Usia di bawah 17","")))))))))</f>
        <v/>
      </c>
      <c r="Z222" s="40" t="str">
        <f aca="false">IF($B222="","",IF(AND(OR(CARI!$C$5="",ISNUMBER(SEARCH(CARI!$C$5,$B222&amp;" "&amp;$C222&amp;" "&amp;$D222&amp;" "&amp;$O222&amp;" "&amp;$I222&amp;" "&amp;$F222&amp;" "&amp;$J222&amp;" "&amp;$K222&amp;" "&amp;$L222&amp;" "&amp;$V222))),OR(CARI!$C$6="",$F222=CARI!$C$6),OR(CARI!$C$7="",$G222=CARI!$C$7),OR(CARI!$C$8="",$T222=CARI!$C$8)),MAX($Z$3:Z221)+1,""))</f>
        <v/>
      </c>
      <c r="AA222" s="40" t="str">
        <f aca="false">IF($Y222="","",MAX($AA$3:AA221)+1)</f>
        <v/>
      </c>
      <c r="AB222" s="40" t="str">
        <f aca="false">IF($F222="","",$F222&amp;"#"&amp;COUNTIF($F$4:$F222,$F222))</f>
        <v/>
      </c>
      <c r="AC222" s="40" t="str">
        <f aca="false">IF($B222="","",IF(AND(OR(CETAK!$J$10="",$F222=CETAK!$J$10),OR(CETAK!$J$11="",$G222=CETAK!$J$11),OR(CETAK!$J$12="",$P222=CETAK!$J$12),OR(CETAK!$J$13="",$N222=CETAK!$J$13),OR(CETAK!$J$14="",$T222=CETAK!$J$14)),MAX($AC$3:AC221)+1,""))</f>
        <v/>
      </c>
      <c r="AD222" s="40" t="str">
        <f aca="false">IF($B222="","",IF(AND(OR(ABSENSI!$H$10="",$F222=ABSENSI!$H$10),OR(ABSENSI!$H$11="",$G222=ABSENSI!$H$11),OR(ABSENSI!$H$12="",$P222=ABSENSI!$H$12)),MAX($AD$3:AD221)+1,""))</f>
        <v/>
      </c>
      <c r="AE222" s="40" t="str">
        <f aca="false">IF($B222="","",IF(AND(OR(KARTU!$K$6="",$F222=KARTU!$K$6),OR(KARTU!$K$7="",$G222=KARTU!$K$7),OR(KARTU!$K$8="",$P222=KARTU!$K$8)),MAX($AE$3:AE221)+1,""))</f>
        <v/>
      </c>
    </row>
    <row r="223" customFormat="false" ht="15" hidden="false" customHeight="false" outlineLevel="0" collapsed="false">
      <c r="A223" s="35" t="str">
        <f aca="false">IF($B223="","",COUNTA($B$4:$B223))</f>
        <v/>
      </c>
      <c r="B223" s="36"/>
      <c r="C223" s="37"/>
      <c r="D223" s="37"/>
      <c r="E223" s="38"/>
      <c r="F223" s="36"/>
      <c r="G223" s="39"/>
      <c r="H223" s="39"/>
      <c r="I223" s="36"/>
      <c r="J223" s="36"/>
      <c r="K223" s="36"/>
      <c r="L223" s="36"/>
      <c r="M223" s="40" t="str">
        <f aca="false">IF($F223="","",$F223&amp;IF($G223="",""," - RT "&amp;$G223&amp;IF($H223="","","/"&amp;$H223)))</f>
        <v/>
      </c>
      <c r="N223" s="36"/>
      <c r="O223" s="37"/>
      <c r="P223" s="39"/>
      <c r="Q223" s="41"/>
      <c r="R223" s="35" t="str">
        <f aca="true">IF(OR($B223="",$Q223=""),"",DATEDIF($Q223,TODAY(),"Y"))</f>
        <v/>
      </c>
      <c r="S223" s="40" t="str">
        <f aca="false">IF($R223="","",INDEX(usia_label,MATCH($R223,usia_min,1)))</f>
        <v/>
      </c>
      <c r="T223" s="36"/>
      <c r="U223" s="41"/>
      <c r="V223" s="36"/>
      <c r="W223" s="36"/>
      <c r="X223" s="40" t="str">
        <f aca="false">IF($M223="","",$M223&amp;"#"&amp;COUNTIF($M$4:$M223,$M223))</f>
        <v/>
      </c>
      <c r="Y223" s="40" t="str">
        <f aca="false">IF($B223="","",IF($C223="","NIK kosong",IF(LEN($C223)&lt;&gt;16,"NIK bukan 16 digit",IF(COUNTIF($C$4:$C$2003,$C223&amp;"*")&gt;1,"NIK ganda",IF(AND($D223&lt;&gt;"",LEN($D223)&lt;&gt;16),"No. KK bukan 16 digit",IF(AND($F223="",$I223=""),"Alamat kosong",IF($N223="","Jabatan kosong",IF($O223="","No. HP kosong",IF(AND($R223&lt;&gt;"",$R223&lt;17),"Usia di bawah 17","")))))))))</f>
        <v/>
      </c>
      <c r="Z223" s="40" t="str">
        <f aca="false">IF($B223="","",IF(AND(OR(CARI!$C$5="",ISNUMBER(SEARCH(CARI!$C$5,$B223&amp;" "&amp;$C223&amp;" "&amp;$D223&amp;" "&amp;$O223&amp;" "&amp;$I223&amp;" "&amp;$F223&amp;" "&amp;$J223&amp;" "&amp;$K223&amp;" "&amp;$L223&amp;" "&amp;$V223))),OR(CARI!$C$6="",$F223=CARI!$C$6),OR(CARI!$C$7="",$G223=CARI!$C$7),OR(CARI!$C$8="",$T223=CARI!$C$8)),MAX($Z$3:Z222)+1,""))</f>
        <v/>
      </c>
      <c r="AA223" s="40" t="str">
        <f aca="false">IF($Y223="","",MAX($AA$3:AA222)+1)</f>
        <v/>
      </c>
      <c r="AB223" s="40" t="str">
        <f aca="false">IF($F223="","",$F223&amp;"#"&amp;COUNTIF($F$4:$F223,$F223))</f>
        <v/>
      </c>
      <c r="AC223" s="40" t="str">
        <f aca="false">IF($B223="","",IF(AND(OR(CETAK!$J$10="",$F223=CETAK!$J$10),OR(CETAK!$J$11="",$G223=CETAK!$J$11),OR(CETAK!$J$12="",$P223=CETAK!$J$12),OR(CETAK!$J$13="",$N223=CETAK!$J$13),OR(CETAK!$J$14="",$T223=CETAK!$J$14)),MAX($AC$3:AC222)+1,""))</f>
        <v/>
      </c>
      <c r="AD223" s="40" t="str">
        <f aca="false">IF($B223="","",IF(AND(OR(ABSENSI!$H$10="",$F223=ABSENSI!$H$10),OR(ABSENSI!$H$11="",$G223=ABSENSI!$H$11),OR(ABSENSI!$H$12="",$P223=ABSENSI!$H$12)),MAX($AD$3:AD222)+1,""))</f>
        <v/>
      </c>
      <c r="AE223" s="40" t="str">
        <f aca="false">IF($B223="","",IF(AND(OR(KARTU!$K$6="",$F223=KARTU!$K$6),OR(KARTU!$K$7="",$G223=KARTU!$K$7),OR(KARTU!$K$8="",$P223=KARTU!$K$8)),MAX($AE$3:AE222)+1,""))</f>
        <v/>
      </c>
    </row>
    <row r="224" customFormat="false" ht="15" hidden="false" customHeight="false" outlineLevel="0" collapsed="false">
      <c r="A224" s="35" t="str">
        <f aca="false">IF($B224="","",COUNTA($B$4:$B224))</f>
        <v/>
      </c>
      <c r="B224" s="36"/>
      <c r="C224" s="37"/>
      <c r="D224" s="37"/>
      <c r="E224" s="38"/>
      <c r="F224" s="36"/>
      <c r="G224" s="39"/>
      <c r="H224" s="39"/>
      <c r="I224" s="36"/>
      <c r="J224" s="36"/>
      <c r="K224" s="36"/>
      <c r="L224" s="36"/>
      <c r="M224" s="40" t="str">
        <f aca="false">IF($F224="","",$F224&amp;IF($G224="",""," - RT "&amp;$G224&amp;IF($H224="","","/"&amp;$H224)))</f>
        <v/>
      </c>
      <c r="N224" s="36"/>
      <c r="O224" s="37"/>
      <c r="P224" s="39"/>
      <c r="Q224" s="41"/>
      <c r="R224" s="35" t="str">
        <f aca="true">IF(OR($B224="",$Q224=""),"",DATEDIF($Q224,TODAY(),"Y"))</f>
        <v/>
      </c>
      <c r="S224" s="40" t="str">
        <f aca="false">IF($R224="","",INDEX(usia_label,MATCH($R224,usia_min,1)))</f>
        <v/>
      </c>
      <c r="T224" s="36"/>
      <c r="U224" s="41"/>
      <c r="V224" s="36"/>
      <c r="W224" s="36"/>
      <c r="X224" s="40" t="str">
        <f aca="false">IF($M224="","",$M224&amp;"#"&amp;COUNTIF($M$4:$M224,$M224))</f>
        <v/>
      </c>
      <c r="Y224" s="40" t="str">
        <f aca="false">IF($B224="","",IF($C224="","NIK kosong",IF(LEN($C224)&lt;&gt;16,"NIK bukan 16 digit",IF(COUNTIF($C$4:$C$2003,$C224&amp;"*")&gt;1,"NIK ganda",IF(AND($D224&lt;&gt;"",LEN($D224)&lt;&gt;16),"No. KK bukan 16 digit",IF(AND($F224="",$I224=""),"Alamat kosong",IF($N224="","Jabatan kosong",IF($O224="","No. HP kosong",IF(AND($R224&lt;&gt;"",$R224&lt;17),"Usia di bawah 17","")))))))))</f>
        <v/>
      </c>
      <c r="Z224" s="40" t="str">
        <f aca="false">IF($B224="","",IF(AND(OR(CARI!$C$5="",ISNUMBER(SEARCH(CARI!$C$5,$B224&amp;" "&amp;$C224&amp;" "&amp;$D224&amp;" "&amp;$O224&amp;" "&amp;$I224&amp;" "&amp;$F224&amp;" "&amp;$J224&amp;" "&amp;$K224&amp;" "&amp;$L224&amp;" "&amp;$V224))),OR(CARI!$C$6="",$F224=CARI!$C$6),OR(CARI!$C$7="",$G224=CARI!$C$7),OR(CARI!$C$8="",$T224=CARI!$C$8)),MAX($Z$3:Z223)+1,""))</f>
        <v/>
      </c>
      <c r="AA224" s="40" t="str">
        <f aca="false">IF($Y224="","",MAX($AA$3:AA223)+1)</f>
        <v/>
      </c>
      <c r="AB224" s="40" t="str">
        <f aca="false">IF($F224="","",$F224&amp;"#"&amp;COUNTIF($F$4:$F224,$F224))</f>
        <v/>
      </c>
      <c r="AC224" s="40" t="str">
        <f aca="false">IF($B224="","",IF(AND(OR(CETAK!$J$10="",$F224=CETAK!$J$10),OR(CETAK!$J$11="",$G224=CETAK!$J$11),OR(CETAK!$J$12="",$P224=CETAK!$J$12),OR(CETAK!$J$13="",$N224=CETAK!$J$13),OR(CETAK!$J$14="",$T224=CETAK!$J$14)),MAX($AC$3:AC223)+1,""))</f>
        <v/>
      </c>
      <c r="AD224" s="40" t="str">
        <f aca="false">IF($B224="","",IF(AND(OR(ABSENSI!$H$10="",$F224=ABSENSI!$H$10),OR(ABSENSI!$H$11="",$G224=ABSENSI!$H$11),OR(ABSENSI!$H$12="",$P224=ABSENSI!$H$12)),MAX($AD$3:AD223)+1,""))</f>
        <v/>
      </c>
      <c r="AE224" s="40" t="str">
        <f aca="false">IF($B224="","",IF(AND(OR(KARTU!$K$6="",$F224=KARTU!$K$6),OR(KARTU!$K$7="",$G224=KARTU!$K$7),OR(KARTU!$K$8="",$P224=KARTU!$K$8)),MAX($AE$3:AE223)+1,""))</f>
        <v/>
      </c>
    </row>
    <row r="225" customFormat="false" ht="15" hidden="false" customHeight="false" outlineLevel="0" collapsed="false">
      <c r="A225" s="35" t="str">
        <f aca="false">IF($B225="","",COUNTA($B$4:$B225))</f>
        <v/>
      </c>
      <c r="B225" s="36"/>
      <c r="C225" s="37"/>
      <c r="D225" s="37"/>
      <c r="E225" s="38"/>
      <c r="F225" s="36"/>
      <c r="G225" s="39"/>
      <c r="H225" s="39"/>
      <c r="I225" s="36"/>
      <c r="J225" s="36"/>
      <c r="K225" s="36"/>
      <c r="L225" s="36"/>
      <c r="M225" s="40" t="str">
        <f aca="false">IF($F225="","",$F225&amp;IF($G225="",""," - RT "&amp;$G225&amp;IF($H225="","","/"&amp;$H225)))</f>
        <v/>
      </c>
      <c r="N225" s="36"/>
      <c r="O225" s="37"/>
      <c r="P225" s="39"/>
      <c r="Q225" s="41"/>
      <c r="R225" s="35" t="str">
        <f aca="true">IF(OR($B225="",$Q225=""),"",DATEDIF($Q225,TODAY(),"Y"))</f>
        <v/>
      </c>
      <c r="S225" s="40" t="str">
        <f aca="false">IF($R225="","",INDEX(usia_label,MATCH($R225,usia_min,1)))</f>
        <v/>
      </c>
      <c r="T225" s="36"/>
      <c r="U225" s="41"/>
      <c r="V225" s="36"/>
      <c r="W225" s="36"/>
      <c r="X225" s="40" t="str">
        <f aca="false">IF($M225="","",$M225&amp;"#"&amp;COUNTIF($M$4:$M225,$M225))</f>
        <v/>
      </c>
      <c r="Y225" s="40" t="str">
        <f aca="false">IF($B225="","",IF($C225="","NIK kosong",IF(LEN($C225)&lt;&gt;16,"NIK bukan 16 digit",IF(COUNTIF($C$4:$C$2003,$C225&amp;"*")&gt;1,"NIK ganda",IF(AND($D225&lt;&gt;"",LEN($D225)&lt;&gt;16),"No. KK bukan 16 digit",IF(AND($F225="",$I225=""),"Alamat kosong",IF($N225="","Jabatan kosong",IF($O225="","No. HP kosong",IF(AND($R225&lt;&gt;"",$R225&lt;17),"Usia di bawah 17","")))))))))</f>
        <v/>
      </c>
      <c r="Z225" s="40" t="str">
        <f aca="false">IF($B225="","",IF(AND(OR(CARI!$C$5="",ISNUMBER(SEARCH(CARI!$C$5,$B225&amp;" "&amp;$C225&amp;" "&amp;$D225&amp;" "&amp;$O225&amp;" "&amp;$I225&amp;" "&amp;$F225&amp;" "&amp;$J225&amp;" "&amp;$K225&amp;" "&amp;$L225&amp;" "&amp;$V225))),OR(CARI!$C$6="",$F225=CARI!$C$6),OR(CARI!$C$7="",$G225=CARI!$C$7),OR(CARI!$C$8="",$T225=CARI!$C$8)),MAX($Z$3:Z224)+1,""))</f>
        <v/>
      </c>
      <c r="AA225" s="40" t="str">
        <f aca="false">IF($Y225="","",MAX($AA$3:AA224)+1)</f>
        <v/>
      </c>
      <c r="AB225" s="40" t="str">
        <f aca="false">IF($F225="","",$F225&amp;"#"&amp;COUNTIF($F$4:$F225,$F225))</f>
        <v/>
      </c>
      <c r="AC225" s="40" t="str">
        <f aca="false">IF($B225="","",IF(AND(OR(CETAK!$J$10="",$F225=CETAK!$J$10),OR(CETAK!$J$11="",$G225=CETAK!$J$11),OR(CETAK!$J$12="",$P225=CETAK!$J$12),OR(CETAK!$J$13="",$N225=CETAK!$J$13),OR(CETAK!$J$14="",$T225=CETAK!$J$14)),MAX($AC$3:AC224)+1,""))</f>
        <v/>
      </c>
      <c r="AD225" s="40" t="str">
        <f aca="false">IF($B225="","",IF(AND(OR(ABSENSI!$H$10="",$F225=ABSENSI!$H$10),OR(ABSENSI!$H$11="",$G225=ABSENSI!$H$11),OR(ABSENSI!$H$12="",$P225=ABSENSI!$H$12)),MAX($AD$3:AD224)+1,""))</f>
        <v/>
      </c>
      <c r="AE225" s="40" t="str">
        <f aca="false">IF($B225="","",IF(AND(OR(KARTU!$K$6="",$F225=KARTU!$K$6),OR(KARTU!$K$7="",$G225=KARTU!$K$7),OR(KARTU!$K$8="",$P225=KARTU!$K$8)),MAX($AE$3:AE224)+1,""))</f>
        <v/>
      </c>
    </row>
    <row r="226" customFormat="false" ht="15" hidden="false" customHeight="false" outlineLevel="0" collapsed="false">
      <c r="A226" s="35" t="str">
        <f aca="false">IF($B226="","",COUNTA($B$4:$B226))</f>
        <v/>
      </c>
      <c r="B226" s="36"/>
      <c r="C226" s="37"/>
      <c r="D226" s="37"/>
      <c r="E226" s="38"/>
      <c r="F226" s="36"/>
      <c r="G226" s="39"/>
      <c r="H226" s="39"/>
      <c r="I226" s="36"/>
      <c r="J226" s="36"/>
      <c r="K226" s="36"/>
      <c r="L226" s="36"/>
      <c r="M226" s="40" t="str">
        <f aca="false">IF($F226="","",$F226&amp;IF($G226="",""," - RT "&amp;$G226&amp;IF($H226="","","/"&amp;$H226)))</f>
        <v/>
      </c>
      <c r="N226" s="36"/>
      <c r="O226" s="37"/>
      <c r="P226" s="39"/>
      <c r="Q226" s="41"/>
      <c r="R226" s="35" t="str">
        <f aca="true">IF(OR($B226="",$Q226=""),"",DATEDIF($Q226,TODAY(),"Y"))</f>
        <v/>
      </c>
      <c r="S226" s="40" t="str">
        <f aca="false">IF($R226="","",INDEX(usia_label,MATCH($R226,usia_min,1)))</f>
        <v/>
      </c>
      <c r="T226" s="36"/>
      <c r="U226" s="41"/>
      <c r="V226" s="36"/>
      <c r="W226" s="36"/>
      <c r="X226" s="40" t="str">
        <f aca="false">IF($M226="","",$M226&amp;"#"&amp;COUNTIF($M$4:$M226,$M226))</f>
        <v/>
      </c>
      <c r="Y226" s="40" t="str">
        <f aca="false">IF($B226="","",IF($C226="","NIK kosong",IF(LEN($C226)&lt;&gt;16,"NIK bukan 16 digit",IF(COUNTIF($C$4:$C$2003,$C226&amp;"*")&gt;1,"NIK ganda",IF(AND($D226&lt;&gt;"",LEN($D226)&lt;&gt;16),"No. KK bukan 16 digit",IF(AND($F226="",$I226=""),"Alamat kosong",IF($N226="","Jabatan kosong",IF($O226="","No. HP kosong",IF(AND($R226&lt;&gt;"",$R226&lt;17),"Usia di bawah 17","")))))))))</f>
        <v/>
      </c>
      <c r="Z226" s="40" t="str">
        <f aca="false">IF($B226="","",IF(AND(OR(CARI!$C$5="",ISNUMBER(SEARCH(CARI!$C$5,$B226&amp;" "&amp;$C226&amp;" "&amp;$D226&amp;" "&amp;$O226&amp;" "&amp;$I226&amp;" "&amp;$F226&amp;" "&amp;$J226&amp;" "&amp;$K226&amp;" "&amp;$L226&amp;" "&amp;$V226))),OR(CARI!$C$6="",$F226=CARI!$C$6),OR(CARI!$C$7="",$G226=CARI!$C$7),OR(CARI!$C$8="",$T226=CARI!$C$8)),MAX($Z$3:Z225)+1,""))</f>
        <v/>
      </c>
      <c r="AA226" s="40" t="str">
        <f aca="false">IF($Y226="","",MAX($AA$3:AA225)+1)</f>
        <v/>
      </c>
      <c r="AB226" s="40" t="str">
        <f aca="false">IF($F226="","",$F226&amp;"#"&amp;COUNTIF($F$4:$F226,$F226))</f>
        <v/>
      </c>
      <c r="AC226" s="40" t="str">
        <f aca="false">IF($B226="","",IF(AND(OR(CETAK!$J$10="",$F226=CETAK!$J$10),OR(CETAK!$J$11="",$G226=CETAK!$J$11),OR(CETAK!$J$12="",$P226=CETAK!$J$12),OR(CETAK!$J$13="",$N226=CETAK!$J$13),OR(CETAK!$J$14="",$T226=CETAK!$J$14)),MAX($AC$3:AC225)+1,""))</f>
        <v/>
      </c>
      <c r="AD226" s="40" t="str">
        <f aca="false">IF($B226="","",IF(AND(OR(ABSENSI!$H$10="",$F226=ABSENSI!$H$10),OR(ABSENSI!$H$11="",$G226=ABSENSI!$H$11),OR(ABSENSI!$H$12="",$P226=ABSENSI!$H$12)),MAX($AD$3:AD225)+1,""))</f>
        <v/>
      </c>
      <c r="AE226" s="40" t="str">
        <f aca="false">IF($B226="","",IF(AND(OR(KARTU!$K$6="",$F226=KARTU!$K$6),OR(KARTU!$K$7="",$G226=KARTU!$K$7),OR(KARTU!$K$8="",$P226=KARTU!$K$8)),MAX($AE$3:AE225)+1,""))</f>
        <v/>
      </c>
    </row>
    <row r="227" customFormat="false" ht="15" hidden="false" customHeight="false" outlineLevel="0" collapsed="false">
      <c r="A227" s="35" t="str">
        <f aca="false">IF($B227="","",COUNTA($B$4:$B227))</f>
        <v/>
      </c>
      <c r="B227" s="36"/>
      <c r="C227" s="37"/>
      <c r="D227" s="37"/>
      <c r="E227" s="38"/>
      <c r="F227" s="36"/>
      <c r="G227" s="39"/>
      <c r="H227" s="39"/>
      <c r="I227" s="36"/>
      <c r="J227" s="36"/>
      <c r="K227" s="36"/>
      <c r="L227" s="36"/>
      <c r="M227" s="40" t="str">
        <f aca="false">IF($F227="","",$F227&amp;IF($G227="",""," - RT "&amp;$G227&amp;IF($H227="","","/"&amp;$H227)))</f>
        <v/>
      </c>
      <c r="N227" s="36"/>
      <c r="O227" s="37"/>
      <c r="P227" s="39"/>
      <c r="Q227" s="41"/>
      <c r="R227" s="35" t="str">
        <f aca="true">IF(OR($B227="",$Q227=""),"",DATEDIF($Q227,TODAY(),"Y"))</f>
        <v/>
      </c>
      <c r="S227" s="40" t="str">
        <f aca="false">IF($R227="","",INDEX(usia_label,MATCH($R227,usia_min,1)))</f>
        <v/>
      </c>
      <c r="T227" s="36"/>
      <c r="U227" s="41"/>
      <c r="V227" s="36"/>
      <c r="W227" s="36"/>
      <c r="X227" s="40" t="str">
        <f aca="false">IF($M227="","",$M227&amp;"#"&amp;COUNTIF($M$4:$M227,$M227))</f>
        <v/>
      </c>
      <c r="Y227" s="40" t="str">
        <f aca="false">IF($B227="","",IF($C227="","NIK kosong",IF(LEN($C227)&lt;&gt;16,"NIK bukan 16 digit",IF(COUNTIF($C$4:$C$2003,$C227&amp;"*")&gt;1,"NIK ganda",IF(AND($D227&lt;&gt;"",LEN($D227)&lt;&gt;16),"No. KK bukan 16 digit",IF(AND($F227="",$I227=""),"Alamat kosong",IF($N227="","Jabatan kosong",IF($O227="","No. HP kosong",IF(AND($R227&lt;&gt;"",$R227&lt;17),"Usia di bawah 17","")))))))))</f>
        <v/>
      </c>
      <c r="Z227" s="40" t="str">
        <f aca="false">IF($B227="","",IF(AND(OR(CARI!$C$5="",ISNUMBER(SEARCH(CARI!$C$5,$B227&amp;" "&amp;$C227&amp;" "&amp;$D227&amp;" "&amp;$O227&amp;" "&amp;$I227&amp;" "&amp;$F227&amp;" "&amp;$J227&amp;" "&amp;$K227&amp;" "&amp;$L227&amp;" "&amp;$V227))),OR(CARI!$C$6="",$F227=CARI!$C$6),OR(CARI!$C$7="",$G227=CARI!$C$7),OR(CARI!$C$8="",$T227=CARI!$C$8)),MAX($Z$3:Z226)+1,""))</f>
        <v/>
      </c>
      <c r="AA227" s="40" t="str">
        <f aca="false">IF($Y227="","",MAX($AA$3:AA226)+1)</f>
        <v/>
      </c>
      <c r="AB227" s="40" t="str">
        <f aca="false">IF($F227="","",$F227&amp;"#"&amp;COUNTIF($F$4:$F227,$F227))</f>
        <v/>
      </c>
      <c r="AC227" s="40" t="str">
        <f aca="false">IF($B227="","",IF(AND(OR(CETAK!$J$10="",$F227=CETAK!$J$10),OR(CETAK!$J$11="",$G227=CETAK!$J$11),OR(CETAK!$J$12="",$P227=CETAK!$J$12),OR(CETAK!$J$13="",$N227=CETAK!$J$13),OR(CETAK!$J$14="",$T227=CETAK!$J$14)),MAX($AC$3:AC226)+1,""))</f>
        <v/>
      </c>
      <c r="AD227" s="40" t="str">
        <f aca="false">IF($B227="","",IF(AND(OR(ABSENSI!$H$10="",$F227=ABSENSI!$H$10),OR(ABSENSI!$H$11="",$G227=ABSENSI!$H$11),OR(ABSENSI!$H$12="",$P227=ABSENSI!$H$12)),MAX($AD$3:AD226)+1,""))</f>
        <v/>
      </c>
      <c r="AE227" s="40" t="str">
        <f aca="false">IF($B227="","",IF(AND(OR(KARTU!$K$6="",$F227=KARTU!$K$6),OR(KARTU!$K$7="",$G227=KARTU!$K$7),OR(KARTU!$K$8="",$P227=KARTU!$K$8)),MAX($AE$3:AE226)+1,""))</f>
        <v/>
      </c>
    </row>
    <row r="228" customFormat="false" ht="15" hidden="false" customHeight="false" outlineLevel="0" collapsed="false">
      <c r="A228" s="35" t="str">
        <f aca="false">IF($B228="","",COUNTA($B$4:$B228))</f>
        <v/>
      </c>
      <c r="B228" s="36"/>
      <c r="C228" s="37"/>
      <c r="D228" s="37"/>
      <c r="E228" s="38"/>
      <c r="F228" s="36"/>
      <c r="G228" s="39"/>
      <c r="H228" s="39"/>
      <c r="I228" s="36"/>
      <c r="J228" s="36"/>
      <c r="K228" s="36"/>
      <c r="L228" s="36"/>
      <c r="M228" s="40" t="str">
        <f aca="false">IF($F228="","",$F228&amp;IF($G228="",""," - RT "&amp;$G228&amp;IF($H228="","","/"&amp;$H228)))</f>
        <v/>
      </c>
      <c r="N228" s="36"/>
      <c r="O228" s="37"/>
      <c r="P228" s="39"/>
      <c r="Q228" s="41"/>
      <c r="R228" s="35" t="str">
        <f aca="true">IF(OR($B228="",$Q228=""),"",DATEDIF($Q228,TODAY(),"Y"))</f>
        <v/>
      </c>
      <c r="S228" s="40" t="str">
        <f aca="false">IF($R228="","",INDEX(usia_label,MATCH($R228,usia_min,1)))</f>
        <v/>
      </c>
      <c r="T228" s="36"/>
      <c r="U228" s="41"/>
      <c r="V228" s="36"/>
      <c r="W228" s="36"/>
      <c r="X228" s="40" t="str">
        <f aca="false">IF($M228="","",$M228&amp;"#"&amp;COUNTIF($M$4:$M228,$M228))</f>
        <v/>
      </c>
      <c r="Y228" s="40" t="str">
        <f aca="false">IF($B228="","",IF($C228="","NIK kosong",IF(LEN($C228)&lt;&gt;16,"NIK bukan 16 digit",IF(COUNTIF($C$4:$C$2003,$C228&amp;"*")&gt;1,"NIK ganda",IF(AND($D228&lt;&gt;"",LEN($D228)&lt;&gt;16),"No. KK bukan 16 digit",IF(AND($F228="",$I228=""),"Alamat kosong",IF($N228="","Jabatan kosong",IF($O228="","No. HP kosong",IF(AND($R228&lt;&gt;"",$R228&lt;17),"Usia di bawah 17","")))))))))</f>
        <v/>
      </c>
      <c r="Z228" s="40" t="str">
        <f aca="false">IF($B228="","",IF(AND(OR(CARI!$C$5="",ISNUMBER(SEARCH(CARI!$C$5,$B228&amp;" "&amp;$C228&amp;" "&amp;$D228&amp;" "&amp;$O228&amp;" "&amp;$I228&amp;" "&amp;$F228&amp;" "&amp;$J228&amp;" "&amp;$K228&amp;" "&amp;$L228&amp;" "&amp;$V228))),OR(CARI!$C$6="",$F228=CARI!$C$6),OR(CARI!$C$7="",$G228=CARI!$C$7),OR(CARI!$C$8="",$T228=CARI!$C$8)),MAX($Z$3:Z227)+1,""))</f>
        <v/>
      </c>
      <c r="AA228" s="40" t="str">
        <f aca="false">IF($Y228="","",MAX($AA$3:AA227)+1)</f>
        <v/>
      </c>
      <c r="AB228" s="40" t="str">
        <f aca="false">IF($F228="","",$F228&amp;"#"&amp;COUNTIF($F$4:$F228,$F228))</f>
        <v/>
      </c>
      <c r="AC228" s="40" t="str">
        <f aca="false">IF($B228="","",IF(AND(OR(CETAK!$J$10="",$F228=CETAK!$J$10),OR(CETAK!$J$11="",$G228=CETAK!$J$11),OR(CETAK!$J$12="",$P228=CETAK!$J$12),OR(CETAK!$J$13="",$N228=CETAK!$J$13),OR(CETAK!$J$14="",$T228=CETAK!$J$14)),MAX($AC$3:AC227)+1,""))</f>
        <v/>
      </c>
      <c r="AD228" s="40" t="str">
        <f aca="false">IF($B228="","",IF(AND(OR(ABSENSI!$H$10="",$F228=ABSENSI!$H$10),OR(ABSENSI!$H$11="",$G228=ABSENSI!$H$11),OR(ABSENSI!$H$12="",$P228=ABSENSI!$H$12)),MAX($AD$3:AD227)+1,""))</f>
        <v/>
      </c>
      <c r="AE228" s="40" t="str">
        <f aca="false">IF($B228="","",IF(AND(OR(KARTU!$K$6="",$F228=KARTU!$K$6),OR(KARTU!$K$7="",$G228=KARTU!$K$7),OR(KARTU!$K$8="",$P228=KARTU!$K$8)),MAX($AE$3:AE227)+1,""))</f>
        <v/>
      </c>
    </row>
    <row r="229" customFormat="false" ht="15" hidden="false" customHeight="false" outlineLevel="0" collapsed="false">
      <c r="A229" s="35" t="str">
        <f aca="false">IF($B229="","",COUNTA($B$4:$B229))</f>
        <v/>
      </c>
      <c r="B229" s="36"/>
      <c r="C229" s="37"/>
      <c r="D229" s="37"/>
      <c r="E229" s="38"/>
      <c r="F229" s="36"/>
      <c r="G229" s="39"/>
      <c r="H229" s="39"/>
      <c r="I229" s="36"/>
      <c r="J229" s="36"/>
      <c r="K229" s="36"/>
      <c r="L229" s="36"/>
      <c r="M229" s="40" t="str">
        <f aca="false">IF($F229="","",$F229&amp;IF($G229="",""," - RT "&amp;$G229&amp;IF($H229="","","/"&amp;$H229)))</f>
        <v/>
      </c>
      <c r="N229" s="36"/>
      <c r="O229" s="37"/>
      <c r="P229" s="39"/>
      <c r="Q229" s="41"/>
      <c r="R229" s="35" t="str">
        <f aca="true">IF(OR($B229="",$Q229=""),"",DATEDIF($Q229,TODAY(),"Y"))</f>
        <v/>
      </c>
      <c r="S229" s="40" t="str">
        <f aca="false">IF($R229="","",INDEX(usia_label,MATCH($R229,usia_min,1)))</f>
        <v/>
      </c>
      <c r="T229" s="36"/>
      <c r="U229" s="41"/>
      <c r="V229" s="36"/>
      <c r="W229" s="36"/>
      <c r="X229" s="40" t="str">
        <f aca="false">IF($M229="","",$M229&amp;"#"&amp;COUNTIF($M$4:$M229,$M229))</f>
        <v/>
      </c>
      <c r="Y229" s="40" t="str">
        <f aca="false">IF($B229="","",IF($C229="","NIK kosong",IF(LEN($C229)&lt;&gt;16,"NIK bukan 16 digit",IF(COUNTIF($C$4:$C$2003,$C229&amp;"*")&gt;1,"NIK ganda",IF(AND($D229&lt;&gt;"",LEN($D229)&lt;&gt;16),"No. KK bukan 16 digit",IF(AND($F229="",$I229=""),"Alamat kosong",IF($N229="","Jabatan kosong",IF($O229="","No. HP kosong",IF(AND($R229&lt;&gt;"",$R229&lt;17),"Usia di bawah 17","")))))))))</f>
        <v/>
      </c>
      <c r="Z229" s="40" t="str">
        <f aca="false">IF($B229="","",IF(AND(OR(CARI!$C$5="",ISNUMBER(SEARCH(CARI!$C$5,$B229&amp;" "&amp;$C229&amp;" "&amp;$D229&amp;" "&amp;$O229&amp;" "&amp;$I229&amp;" "&amp;$F229&amp;" "&amp;$J229&amp;" "&amp;$K229&amp;" "&amp;$L229&amp;" "&amp;$V229))),OR(CARI!$C$6="",$F229=CARI!$C$6),OR(CARI!$C$7="",$G229=CARI!$C$7),OR(CARI!$C$8="",$T229=CARI!$C$8)),MAX($Z$3:Z228)+1,""))</f>
        <v/>
      </c>
      <c r="AA229" s="40" t="str">
        <f aca="false">IF($Y229="","",MAX($AA$3:AA228)+1)</f>
        <v/>
      </c>
      <c r="AB229" s="40" t="str">
        <f aca="false">IF($F229="","",$F229&amp;"#"&amp;COUNTIF($F$4:$F229,$F229))</f>
        <v/>
      </c>
      <c r="AC229" s="40" t="str">
        <f aca="false">IF($B229="","",IF(AND(OR(CETAK!$J$10="",$F229=CETAK!$J$10),OR(CETAK!$J$11="",$G229=CETAK!$J$11),OR(CETAK!$J$12="",$P229=CETAK!$J$12),OR(CETAK!$J$13="",$N229=CETAK!$J$13),OR(CETAK!$J$14="",$T229=CETAK!$J$14)),MAX($AC$3:AC228)+1,""))</f>
        <v/>
      </c>
      <c r="AD229" s="40" t="str">
        <f aca="false">IF($B229="","",IF(AND(OR(ABSENSI!$H$10="",$F229=ABSENSI!$H$10),OR(ABSENSI!$H$11="",$G229=ABSENSI!$H$11),OR(ABSENSI!$H$12="",$P229=ABSENSI!$H$12)),MAX($AD$3:AD228)+1,""))</f>
        <v/>
      </c>
      <c r="AE229" s="40" t="str">
        <f aca="false">IF($B229="","",IF(AND(OR(KARTU!$K$6="",$F229=KARTU!$K$6),OR(KARTU!$K$7="",$G229=KARTU!$K$7),OR(KARTU!$K$8="",$P229=KARTU!$K$8)),MAX($AE$3:AE228)+1,""))</f>
        <v/>
      </c>
    </row>
    <row r="230" customFormat="false" ht="15" hidden="false" customHeight="false" outlineLevel="0" collapsed="false">
      <c r="A230" s="35" t="str">
        <f aca="false">IF($B230="","",COUNTA($B$4:$B230))</f>
        <v/>
      </c>
      <c r="B230" s="36"/>
      <c r="C230" s="37"/>
      <c r="D230" s="37"/>
      <c r="E230" s="38"/>
      <c r="F230" s="36"/>
      <c r="G230" s="39"/>
      <c r="H230" s="39"/>
      <c r="I230" s="36"/>
      <c r="J230" s="36"/>
      <c r="K230" s="36"/>
      <c r="L230" s="36"/>
      <c r="M230" s="40" t="str">
        <f aca="false">IF($F230="","",$F230&amp;IF($G230="",""," - RT "&amp;$G230&amp;IF($H230="","","/"&amp;$H230)))</f>
        <v/>
      </c>
      <c r="N230" s="36"/>
      <c r="O230" s="37"/>
      <c r="P230" s="39"/>
      <c r="Q230" s="41"/>
      <c r="R230" s="35" t="str">
        <f aca="true">IF(OR($B230="",$Q230=""),"",DATEDIF($Q230,TODAY(),"Y"))</f>
        <v/>
      </c>
      <c r="S230" s="40" t="str">
        <f aca="false">IF($R230="","",INDEX(usia_label,MATCH($R230,usia_min,1)))</f>
        <v/>
      </c>
      <c r="T230" s="36"/>
      <c r="U230" s="41"/>
      <c r="V230" s="36"/>
      <c r="W230" s="36"/>
      <c r="X230" s="40" t="str">
        <f aca="false">IF($M230="","",$M230&amp;"#"&amp;COUNTIF($M$4:$M230,$M230))</f>
        <v/>
      </c>
      <c r="Y230" s="40" t="str">
        <f aca="false">IF($B230="","",IF($C230="","NIK kosong",IF(LEN($C230)&lt;&gt;16,"NIK bukan 16 digit",IF(COUNTIF($C$4:$C$2003,$C230&amp;"*")&gt;1,"NIK ganda",IF(AND($D230&lt;&gt;"",LEN($D230)&lt;&gt;16),"No. KK bukan 16 digit",IF(AND($F230="",$I230=""),"Alamat kosong",IF($N230="","Jabatan kosong",IF($O230="","No. HP kosong",IF(AND($R230&lt;&gt;"",$R230&lt;17),"Usia di bawah 17","")))))))))</f>
        <v/>
      </c>
      <c r="Z230" s="40" t="str">
        <f aca="false">IF($B230="","",IF(AND(OR(CARI!$C$5="",ISNUMBER(SEARCH(CARI!$C$5,$B230&amp;" "&amp;$C230&amp;" "&amp;$D230&amp;" "&amp;$O230&amp;" "&amp;$I230&amp;" "&amp;$F230&amp;" "&amp;$J230&amp;" "&amp;$K230&amp;" "&amp;$L230&amp;" "&amp;$V230))),OR(CARI!$C$6="",$F230=CARI!$C$6),OR(CARI!$C$7="",$G230=CARI!$C$7),OR(CARI!$C$8="",$T230=CARI!$C$8)),MAX($Z$3:Z229)+1,""))</f>
        <v/>
      </c>
      <c r="AA230" s="40" t="str">
        <f aca="false">IF($Y230="","",MAX($AA$3:AA229)+1)</f>
        <v/>
      </c>
      <c r="AB230" s="40" t="str">
        <f aca="false">IF($F230="","",$F230&amp;"#"&amp;COUNTIF($F$4:$F230,$F230))</f>
        <v/>
      </c>
      <c r="AC230" s="40" t="str">
        <f aca="false">IF($B230="","",IF(AND(OR(CETAK!$J$10="",$F230=CETAK!$J$10),OR(CETAK!$J$11="",$G230=CETAK!$J$11),OR(CETAK!$J$12="",$P230=CETAK!$J$12),OR(CETAK!$J$13="",$N230=CETAK!$J$13),OR(CETAK!$J$14="",$T230=CETAK!$J$14)),MAX($AC$3:AC229)+1,""))</f>
        <v/>
      </c>
      <c r="AD230" s="40" t="str">
        <f aca="false">IF($B230="","",IF(AND(OR(ABSENSI!$H$10="",$F230=ABSENSI!$H$10),OR(ABSENSI!$H$11="",$G230=ABSENSI!$H$11),OR(ABSENSI!$H$12="",$P230=ABSENSI!$H$12)),MAX($AD$3:AD229)+1,""))</f>
        <v/>
      </c>
      <c r="AE230" s="40" t="str">
        <f aca="false">IF($B230="","",IF(AND(OR(KARTU!$K$6="",$F230=KARTU!$K$6),OR(KARTU!$K$7="",$G230=KARTU!$K$7),OR(KARTU!$K$8="",$P230=KARTU!$K$8)),MAX($AE$3:AE229)+1,""))</f>
        <v/>
      </c>
    </row>
    <row r="231" customFormat="false" ht="15" hidden="false" customHeight="false" outlineLevel="0" collapsed="false">
      <c r="A231" s="35" t="str">
        <f aca="false">IF($B231="","",COUNTA($B$4:$B231))</f>
        <v/>
      </c>
      <c r="B231" s="36"/>
      <c r="C231" s="37"/>
      <c r="D231" s="37"/>
      <c r="E231" s="38"/>
      <c r="F231" s="36"/>
      <c r="G231" s="39"/>
      <c r="H231" s="39"/>
      <c r="I231" s="36"/>
      <c r="J231" s="36"/>
      <c r="K231" s="36"/>
      <c r="L231" s="36"/>
      <c r="M231" s="40" t="str">
        <f aca="false">IF($F231="","",$F231&amp;IF($G231="",""," - RT "&amp;$G231&amp;IF($H231="","","/"&amp;$H231)))</f>
        <v/>
      </c>
      <c r="N231" s="36"/>
      <c r="O231" s="37"/>
      <c r="P231" s="39"/>
      <c r="Q231" s="41"/>
      <c r="R231" s="35" t="str">
        <f aca="true">IF(OR($B231="",$Q231=""),"",DATEDIF($Q231,TODAY(),"Y"))</f>
        <v/>
      </c>
      <c r="S231" s="40" t="str">
        <f aca="false">IF($R231="","",INDEX(usia_label,MATCH($R231,usia_min,1)))</f>
        <v/>
      </c>
      <c r="T231" s="36"/>
      <c r="U231" s="41"/>
      <c r="V231" s="36"/>
      <c r="W231" s="36"/>
      <c r="X231" s="40" t="str">
        <f aca="false">IF($M231="","",$M231&amp;"#"&amp;COUNTIF($M$4:$M231,$M231))</f>
        <v/>
      </c>
      <c r="Y231" s="40" t="str">
        <f aca="false">IF($B231="","",IF($C231="","NIK kosong",IF(LEN($C231)&lt;&gt;16,"NIK bukan 16 digit",IF(COUNTIF($C$4:$C$2003,$C231&amp;"*")&gt;1,"NIK ganda",IF(AND($D231&lt;&gt;"",LEN($D231)&lt;&gt;16),"No. KK bukan 16 digit",IF(AND($F231="",$I231=""),"Alamat kosong",IF($N231="","Jabatan kosong",IF($O231="","No. HP kosong",IF(AND($R231&lt;&gt;"",$R231&lt;17),"Usia di bawah 17","")))))))))</f>
        <v/>
      </c>
      <c r="Z231" s="40" t="str">
        <f aca="false">IF($B231="","",IF(AND(OR(CARI!$C$5="",ISNUMBER(SEARCH(CARI!$C$5,$B231&amp;" "&amp;$C231&amp;" "&amp;$D231&amp;" "&amp;$O231&amp;" "&amp;$I231&amp;" "&amp;$F231&amp;" "&amp;$J231&amp;" "&amp;$K231&amp;" "&amp;$L231&amp;" "&amp;$V231))),OR(CARI!$C$6="",$F231=CARI!$C$6),OR(CARI!$C$7="",$G231=CARI!$C$7),OR(CARI!$C$8="",$T231=CARI!$C$8)),MAX($Z$3:Z230)+1,""))</f>
        <v/>
      </c>
      <c r="AA231" s="40" t="str">
        <f aca="false">IF($Y231="","",MAX($AA$3:AA230)+1)</f>
        <v/>
      </c>
      <c r="AB231" s="40" t="str">
        <f aca="false">IF($F231="","",$F231&amp;"#"&amp;COUNTIF($F$4:$F231,$F231))</f>
        <v/>
      </c>
      <c r="AC231" s="40" t="str">
        <f aca="false">IF($B231="","",IF(AND(OR(CETAK!$J$10="",$F231=CETAK!$J$10),OR(CETAK!$J$11="",$G231=CETAK!$J$11),OR(CETAK!$J$12="",$P231=CETAK!$J$12),OR(CETAK!$J$13="",$N231=CETAK!$J$13),OR(CETAK!$J$14="",$T231=CETAK!$J$14)),MAX($AC$3:AC230)+1,""))</f>
        <v/>
      </c>
      <c r="AD231" s="40" t="str">
        <f aca="false">IF($B231="","",IF(AND(OR(ABSENSI!$H$10="",$F231=ABSENSI!$H$10),OR(ABSENSI!$H$11="",$G231=ABSENSI!$H$11),OR(ABSENSI!$H$12="",$P231=ABSENSI!$H$12)),MAX($AD$3:AD230)+1,""))</f>
        <v/>
      </c>
      <c r="AE231" s="40" t="str">
        <f aca="false">IF($B231="","",IF(AND(OR(KARTU!$K$6="",$F231=KARTU!$K$6),OR(KARTU!$K$7="",$G231=KARTU!$K$7),OR(KARTU!$K$8="",$P231=KARTU!$K$8)),MAX($AE$3:AE230)+1,""))</f>
        <v/>
      </c>
    </row>
    <row r="232" customFormat="false" ht="15" hidden="false" customHeight="false" outlineLevel="0" collapsed="false">
      <c r="A232" s="35" t="str">
        <f aca="false">IF($B232="","",COUNTA($B$4:$B232))</f>
        <v/>
      </c>
      <c r="B232" s="36"/>
      <c r="C232" s="37"/>
      <c r="D232" s="37"/>
      <c r="E232" s="38"/>
      <c r="F232" s="36"/>
      <c r="G232" s="39"/>
      <c r="H232" s="39"/>
      <c r="I232" s="36"/>
      <c r="J232" s="36"/>
      <c r="K232" s="36"/>
      <c r="L232" s="36"/>
      <c r="M232" s="40" t="str">
        <f aca="false">IF($F232="","",$F232&amp;IF($G232="",""," - RT "&amp;$G232&amp;IF($H232="","","/"&amp;$H232)))</f>
        <v/>
      </c>
      <c r="N232" s="36"/>
      <c r="O232" s="37"/>
      <c r="P232" s="39"/>
      <c r="Q232" s="41"/>
      <c r="R232" s="35" t="str">
        <f aca="true">IF(OR($B232="",$Q232=""),"",DATEDIF($Q232,TODAY(),"Y"))</f>
        <v/>
      </c>
      <c r="S232" s="40" t="str">
        <f aca="false">IF($R232="","",INDEX(usia_label,MATCH($R232,usia_min,1)))</f>
        <v/>
      </c>
      <c r="T232" s="36"/>
      <c r="U232" s="41"/>
      <c r="V232" s="36"/>
      <c r="W232" s="36"/>
      <c r="X232" s="40" t="str">
        <f aca="false">IF($M232="","",$M232&amp;"#"&amp;COUNTIF($M$4:$M232,$M232))</f>
        <v/>
      </c>
      <c r="Y232" s="40" t="str">
        <f aca="false">IF($B232="","",IF($C232="","NIK kosong",IF(LEN($C232)&lt;&gt;16,"NIK bukan 16 digit",IF(COUNTIF($C$4:$C$2003,$C232&amp;"*")&gt;1,"NIK ganda",IF(AND($D232&lt;&gt;"",LEN($D232)&lt;&gt;16),"No. KK bukan 16 digit",IF(AND($F232="",$I232=""),"Alamat kosong",IF($N232="","Jabatan kosong",IF($O232="","No. HP kosong",IF(AND($R232&lt;&gt;"",$R232&lt;17),"Usia di bawah 17","")))))))))</f>
        <v/>
      </c>
      <c r="Z232" s="40" t="str">
        <f aca="false">IF($B232="","",IF(AND(OR(CARI!$C$5="",ISNUMBER(SEARCH(CARI!$C$5,$B232&amp;" "&amp;$C232&amp;" "&amp;$D232&amp;" "&amp;$O232&amp;" "&amp;$I232&amp;" "&amp;$F232&amp;" "&amp;$J232&amp;" "&amp;$K232&amp;" "&amp;$L232&amp;" "&amp;$V232))),OR(CARI!$C$6="",$F232=CARI!$C$6),OR(CARI!$C$7="",$G232=CARI!$C$7),OR(CARI!$C$8="",$T232=CARI!$C$8)),MAX($Z$3:Z231)+1,""))</f>
        <v/>
      </c>
      <c r="AA232" s="40" t="str">
        <f aca="false">IF($Y232="","",MAX($AA$3:AA231)+1)</f>
        <v/>
      </c>
      <c r="AB232" s="40" t="str">
        <f aca="false">IF($F232="","",$F232&amp;"#"&amp;COUNTIF($F$4:$F232,$F232))</f>
        <v/>
      </c>
      <c r="AC232" s="40" t="str">
        <f aca="false">IF($B232="","",IF(AND(OR(CETAK!$J$10="",$F232=CETAK!$J$10),OR(CETAK!$J$11="",$G232=CETAK!$J$11),OR(CETAK!$J$12="",$P232=CETAK!$J$12),OR(CETAK!$J$13="",$N232=CETAK!$J$13),OR(CETAK!$J$14="",$T232=CETAK!$J$14)),MAX($AC$3:AC231)+1,""))</f>
        <v/>
      </c>
      <c r="AD232" s="40" t="str">
        <f aca="false">IF($B232="","",IF(AND(OR(ABSENSI!$H$10="",$F232=ABSENSI!$H$10),OR(ABSENSI!$H$11="",$G232=ABSENSI!$H$11),OR(ABSENSI!$H$12="",$P232=ABSENSI!$H$12)),MAX($AD$3:AD231)+1,""))</f>
        <v/>
      </c>
      <c r="AE232" s="40" t="str">
        <f aca="false">IF($B232="","",IF(AND(OR(KARTU!$K$6="",$F232=KARTU!$K$6),OR(KARTU!$K$7="",$G232=KARTU!$K$7),OR(KARTU!$K$8="",$P232=KARTU!$K$8)),MAX($AE$3:AE231)+1,""))</f>
        <v/>
      </c>
    </row>
    <row r="233" customFormat="false" ht="15" hidden="false" customHeight="false" outlineLevel="0" collapsed="false">
      <c r="A233" s="35" t="str">
        <f aca="false">IF($B233="","",COUNTA($B$4:$B233))</f>
        <v/>
      </c>
      <c r="B233" s="36"/>
      <c r="C233" s="37"/>
      <c r="D233" s="37"/>
      <c r="E233" s="38"/>
      <c r="F233" s="36"/>
      <c r="G233" s="39"/>
      <c r="H233" s="39"/>
      <c r="I233" s="36"/>
      <c r="J233" s="36"/>
      <c r="K233" s="36"/>
      <c r="L233" s="36"/>
      <c r="M233" s="40" t="str">
        <f aca="false">IF($F233="","",$F233&amp;IF($G233="",""," - RT "&amp;$G233&amp;IF($H233="","","/"&amp;$H233)))</f>
        <v/>
      </c>
      <c r="N233" s="36"/>
      <c r="O233" s="37"/>
      <c r="P233" s="39"/>
      <c r="Q233" s="41"/>
      <c r="R233" s="35" t="str">
        <f aca="true">IF(OR($B233="",$Q233=""),"",DATEDIF($Q233,TODAY(),"Y"))</f>
        <v/>
      </c>
      <c r="S233" s="40" t="str">
        <f aca="false">IF($R233="","",INDEX(usia_label,MATCH($R233,usia_min,1)))</f>
        <v/>
      </c>
      <c r="T233" s="36"/>
      <c r="U233" s="41"/>
      <c r="V233" s="36"/>
      <c r="W233" s="36"/>
      <c r="X233" s="40" t="str">
        <f aca="false">IF($M233="","",$M233&amp;"#"&amp;COUNTIF($M$4:$M233,$M233))</f>
        <v/>
      </c>
      <c r="Y233" s="40" t="str">
        <f aca="false">IF($B233="","",IF($C233="","NIK kosong",IF(LEN($C233)&lt;&gt;16,"NIK bukan 16 digit",IF(COUNTIF($C$4:$C$2003,$C233&amp;"*")&gt;1,"NIK ganda",IF(AND($D233&lt;&gt;"",LEN($D233)&lt;&gt;16),"No. KK bukan 16 digit",IF(AND($F233="",$I233=""),"Alamat kosong",IF($N233="","Jabatan kosong",IF($O233="","No. HP kosong",IF(AND($R233&lt;&gt;"",$R233&lt;17),"Usia di bawah 17","")))))))))</f>
        <v/>
      </c>
      <c r="Z233" s="40" t="str">
        <f aca="false">IF($B233="","",IF(AND(OR(CARI!$C$5="",ISNUMBER(SEARCH(CARI!$C$5,$B233&amp;" "&amp;$C233&amp;" "&amp;$D233&amp;" "&amp;$O233&amp;" "&amp;$I233&amp;" "&amp;$F233&amp;" "&amp;$J233&amp;" "&amp;$K233&amp;" "&amp;$L233&amp;" "&amp;$V233))),OR(CARI!$C$6="",$F233=CARI!$C$6),OR(CARI!$C$7="",$G233=CARI!$C$7),OR(CARI!$C$8="",$T233=CARI!$C$8)),MAX($Z$3:Z232)+1,""))</f>
        <v/>
      </c>
      <c r="AA233" s="40" t="str">
        <f aca="false">IF($Y233="","",MAX($AA$3:AA232)+1)</f>
        <v/>
      </c>
      <c r="AB233" s="40" t="str">
        <f aca="false">IF($F233="","",$F233&amp;"#"&amp;COUNTIF($F$4:$F233,$F233))</f>
        <v/>
      </c>
      <c r="AC233" s="40" t="str">
        <f aca="false">IF($B233="","",IF(AND(OR(CETAK!$J$10="",$F233=CETAK!$J$10),OR(CETAK!$J$11="",$G233=CETAK!$J$11),OR(CETAK!$J$12="",$P233=CETAK!$J$12),OR(CETAK!$J$13="",$N233=CETAK!$J$13),OR(CETAK!$J$14="",$T233=CETAK!$J$14)),MAX($AC$3:AC232)+1,""))</f>
        <v/>
      </c>
      <c r="AD233" s="40" t="str">
        <f aca="false">IF($B233="","",IF(AND(OR(ABSENSI!$H$10="",$F233=ABSENSI!$H$10),OR(ABSENSI!$H$11="",$G233=ABSENSI!$H$11),OR(ABSENSI!$H$12="",$P233=ABSENSI!$H$12)),MAX($AD$3:AD232)+1,""))</f>
        <v/>
      </c>
      <c r="AE233" s="40" t="str">
        <f aca="false">IF($B233="","",IF(AND(OR(KARTU!$K$6="",$F233=KARTU!$K$6),OR(KARTU!$K$7="",$G233=KARTU!$K$7),OR(KARTU!$K$8="",$P233=KARTU!$K$8)),MAX($AE$3:AE232)+1,""))</f>
        <v/>
      </c>
    </row>
    <row r="234" customFormat="false" ht="15" hidden="false" customHeight="false" outlineLevel="0" collapsed="false">
      <c r="A234" s="35" t="str">
        <f aca="false">IF($B234="","",COUNTA($B$4:$B234))</f>
        <v/>
      </c>
      <c r="B234" s="36"/>
      <c r="C234" s="37"/>
      <c r="D234" s="37"/>
      <c r="E234" s="38"/>
      <c r="F234" s="36"/>
      <c r="G234" s="39"/>
      <c r="H234" s="39"/>
      <c r="I234" s="36"/>
      <c r="J234" s="36"/>
      <c r="K234" s="36"/>
      <c r="L234" s="36"/>
      <c r="M234" s="40" t="str">
        <f aca="false">IF($F234="","",$F234&amp;IF($G234="",""," - RT "&amp;$G234&amp;IF($H234="","","/"&amp;$H234)))</f>
        <v/>
      </c>
      <c r="N234" s="36"/>
      <c r="O234" s="37"/>
      <c r="P234" s="39"/>
      <c r="Q234" s="41"/>
      <c r="R234" s="35" t="str">
        <f aca="true">IF(OR($B234="",$Q234=""),"",DATEDIF($Q234,TODAY(),"Y"))</f>
        <v/>
      </c>
      <c r="S234" s="40" t="str">
        <f aca="false">IF($R234="","",INDEX(usia_label,MATCH($R234,usia_min,1)))</f>
        <v/>
      </c>
      <c r="T234" s="36"/>
      <c r="U234" s="41"/>
      <c r="V234" s="36"/>
      <c r="W234" s="36"/>
      <c r="X234" s="40" t="str">
        <f aca="false">IF($M234="","",$M234&amp;"#"&amp;COUNTIF($M$4:$M234,$M234))</f>
        <v/>
      </c>
      <c r="Y234" s="40" t="str">
        <f aca="false">IF($B234="","",IF($C234="","NIK kosong",IF(LEN($C234)&lt;&gt;16,"NIK bukan 16 digit",IF(COUNTIF($C$4:$C$2003,$C234&amp;"*")&gt;1,"NIK ganda",IF(AND($D234&lt;&gt;"",LEN($D234)&lt;&gt;16),"No. KK bukan 16 digit",IF(AND($F234="",$I234=""),"Alamat kosong",IF($N234="","Jabatan kosong",IF($O234="","No. HP kosong",IF(AND($R234&lt;&gt;"",$R234&lt;17),"Usia di bawah 17","")))))))))</f>
        <v/>
      </c>
      <c r="Z234" s="40" t="str">
        <f aca="false">IF($B234="","",IF(AND(OR(CARI!$C$5="",ISNUMBER(SEARCH(CARI!$C$5,$B234&amp;" "&amp;$C234&amp;" "&amp;$D234&amp;" "&amp;$O234&amp;" "&amp;$I234&amp;" "&amp;$F234&amp;" "&amp;$J234&amp;" "&amp;$K234&amp;" "&amp;$L234&amp;" "&amp;$V234))),OR(CARI!$C$6="",$F234=CARI!$C$6),OR(CARI!$C$7="",$G234=CARI!$C$7),OR(CARI!$C$8="",$T234=CARI!$C$8)),MAX($Z$3:Z233)+1,""))</f>
        <v/>
      </c>
      <c r="AA234" s="40" t="str">
        <f aca="false">IF($Y234="","",MAX($AA$3:AA233)+1)</f>
        <v/>
      </c>
      <c r="AB234" s="40" t="str">
        <f aca="false">IF($F234="","",$F234&amp;"#"&amp;COUNTIF($F$4:$F234,$F234))</f>
        <v/>
      </c>
      <c r="AC234" s="40" t="str">
        <f aca="false">IF($B234="","",IF(AND(OR(CETAK!$J$10="",$F234=CETAK!$J$10),OR(CETAK!$J$11="",$G234=CETAK!$J$11),OR(CETAK!$J$12="",$P234=CETAK!$J$12),OR(CETAK!$J$13="",$N234=CETAK!$J$13),OR(CETAK!$J$14="",$T234=CETAK!$J$14)),MAX($AC$3:AC233)+1,""))</f>
        <v/>
      </c>
      <c r="AD234" s="40" t="str">
        <f aca="false">IF($B234="","",IF(AND(OR(ABSENSI!$H$10="",$F234=ABSENSI!$H$10),OR(ABSENSI!$H$11="",$G234=ABSENSI!$H$11),OR(ABSENSI!$H$12="",$P234=ABSENSI!$H$12)),MAX($AD$3:AD233)+1,""))</f>
        <v/>
      </c>
      <c r="AE234" s="40" t="str">
        <f aca="false">IF($B234="","",IF(AND(OR(KARTU!$K$6="",$F234=KARTU!$K$6),OR(KARTU!$K$7="",$G234=KARTU!$K$7),OR(KARTU!$K$8="",$P234=KARTU!$K$8)),MAX($AE$3:AE233)+1,""))</f>
        <v/>
      </c>
    </row>
    <row r="235" customFormat="false" ht="15" hidden="false" customHeight="false" outlineLevel="0" collapsed="false">
      <c r="A235" s="35" t="str">
        <f aca="false">IF($B235="","",COUNTA($B$4:$B235))</f>
        <v/>
      </c>
      <c r="B235" s="36"/>
      <c r="C235" s="37"/>
      <c r="D235" s="37"/>
      <c r="E235" s="38"/>
      <c r="F235" s="36"/>
      <c r="G235" s="39"/>
      <c r="H235" s="39"/>
      <c r="I235" s="36"/>
      <c r="J235" s="36"/>
      <c r="K235" s="36"/>
      <c r="L235" s="36"/>
      <c r="M235" s="40" t="str">
        <f aca="false">IF($F235="","",$F235&amp;IF($G235="",""," - RT "&amp;$G235&amp;IF($H235="","","/"&amp;$H235)))</f>
        <v/>
      </c>
      <c r="N235" s="36"/>
      <c r="O235" s="37"/>
      <c r="P235" s="39"/>
      <c r="Q235" s="41"/>
      <c r="R235" s="35" t="str">
        <f aca="true">IF(OR($B235="",$Q235=""),"",DATEDIF($Q235,TODAY(),"Y"))</f>
        <v/>
      </c>
      <c r="S235" s="40" t="str">
        <f aca="false">IF($R235="","",INDEX(usia_label,MATCH($R235,usia_min,1)))</f>
        <v/>
      </c>
      <c r="T235" s="36"/>
      <c r="U235" s="41"/>
      <c r="V235" s="36"/>
      <c r="W235" s="36"/>
      <c r="X235" s="40" t="str">
        <f aca="false">IF($M235="","",$M235&amp;"#"&amp;COUNTIF($M$4:$M235,$M235))</f>
        <v/>
      </c>
      <c r="Y235" s="40" t="str">
        <f aca="false">IF($B235="","",IF($C235="","NIK kosong",IF(LEN($C235)&lt;&gt;16,"NIK bukan 16 digit",IF(COUNTIF($C$4:$C$2003,$C235&amp;"*")&gt;1,"NIK ganda",IF(AND($D235&lt;&gt;"",LEN($D235)&lt;&gt;16),"No. KK bukan 16 digit",IF(AND($F235="",$I235=""),"Alamat kosong",IF($N235="","Jabatan kosong",IF($O235="","No. HP kosong",IF(AND($R235&lt;&gt;"",$R235&lt;17),"Usia di bawah 17","")))))))))</f>
        <v/>
      </c>
      <c r="Z235" s="40" t="str">
        <f aca="false">IF($B235="","",IF(AND(OR(CARI!$C$5="",ISNUMBER(SEARCH(CARI!$C$5,$B235&amp;" "&amp;$C235&amp;" "&amp;$D235&amp;" "&amp;$O235&amp;" "&amp;$I235&amp;" "&amp;$F235&amp;" "&amp;$J235&amp;" "&amp;$K235&amp;" "&amp;$L235&amp;" "&amp;$V235))),OR(CARI!$C$6="",$F235=CARI!$C$6),OR(CARI!$C$7="",$G235=CARI!$C$7),OR(CARI!$C$8="",$T235=CARI!$C$8)),MAX($Z$3:Z234)+1,""))</f>
        <v/>
      </c>
      <c r="AA235" s="40" t="str">
        <f aca="false">IF($Y235="","",MAX($AA$3:AA234)+1)</f>
        <v/>
      </c>
      <c r="AB235" s="40" t="str">
        <f aca="false">IF($F235="","",$F235&amp;"#"&amp;COUNTIF($F$4:$F235,$F235))</f>
        <v/>
      </c>
      <c r="AC235" s="40" t="str">
        <f aca="false">IF($B235="","",IF(AND(OR(CETAK!$J$10="",$F235=CETAK!$J$10),OR(CETAK!$J$11="",$G235=CETAK!$J$11),OR(CETAK!$J$12="",$P235=CETAK!$J$12),OR(CETAK!$J$13="",$N235=CETAK!$J$13),OR(CETAK!$J$14="",$T235=CETAK!$J$14)),MAX($AC$3:AC234)+1,""))</f>
        <v/>
      </c>
      <c r="AD235" s="40" t="str">
        <f aca="false">IF($B235="","",IF(AND(OR(ABSENSI!$H$10="",$F235=ABSENSI!$H$10),OR(ABSENSI!$H$11="",$G235=ABSENSI!$H$11),OR(ABSENSI!$H$12="",$P235=ABSENSI!$H$12)),MAX($AD$3:AD234)+1,""))</f>
        <v/>
      </c>
      <c r="AE235" s="40" t="str">
        <f aca="false">IF($B235="","",IF(AND(OR(KARTU!$K$6="",$F235=KARTU!$K$6),OR(KARTU!$K$7="",$G235=KARTU!$K$7),OR(KARTU!$K$8="",$P235=KARTU!$K$8)),MAX($AE$3:AE234)+1,""))</f>
        <v/>
      </c>
    </row>
    <row r="236" customFormat="false" ht="15" hidden="false" customHeight="false" outlineLevel="0" collapsed="false">
      <c r="A236" s="35" t="str">
        <f aca="false">IF($B236="","",COUNTA($B$4:$B236))</f>
        <v/>
      </c>
      <c r="B236" s="36"/>
      <c r="C236" s="37"/>
      <c r="D236" s="37"/>
      <c r="E236" s="38"/>
      <c r="F236" s="36"/>
      <c r="G236" s="39"/>
      <c r="H236" s="39"/>
      <c r="I236" s="36"/>
      <c r="J236" s="36"/>
      <c r="K236" s="36"/>
      <c r="L236" s="36"/>
      <c r="M236" s="40" t="str">
        <f aca="false">IF($F236="","",$F236&amp;IF($G236="",""," - RT "&amp;$G236&amp;IF($H236="","","/"&amp;$H236)))</f>
        <v/>
      </c>
      <c r="N236" s="36"/>
      <c r="O236" s="37"/>
      <c r="P236" s="39"/>
      <c r="Q236" s="41"/>
      <c r="R236" s="35" t="str">
        <f aca="true">IF(OR($B236="",$Q236=""),"",DATEDIF($Q236,TODAY(),"Y"))</f>
        <v/>
      </c>
      <c r="S236" s="40" t="str">
        <f aca="false">IF($R236="","",INDEX(usia_label,MATCH($R236,usia_min,1)))</f>
        <v/>
      </c>
      <c r="T236" s="36"/>
      <c r="U236" s="41"/>
      <c r="V236" s="36"/>
      <c r="W236" s="36"/>
      <c r="X236" s="40" t="str">
        <f aca="false">IF($M236="","",$M236&amp;"#"&amp;COUNTIF($M$4:$M236,$M236))</f>
        <v/>
      </c>
      <c r="Y236" s="40" t="str">
        <f aca="false">IF($B236="","",IF($C236="","NIK kosong",IF(LEN($C236)&lt;&gt;16,"NIK bukan 16 digit",IF(COUNTIF($C$4:$C$2003,$C236&amp;"*")&gt;1,"NIK ganda",IF(AND($D236&lt;&gt;"",LEN($D236)&lt;&gt;16),"No. KK bukan 16 digit",IF(AND($F236="",$I236=""),"Alamat kosong",IF($N236="","Jabatan kosong",IF($O236="","No. HP kosong",IF(AND($R236&lt;&gt;"",$R236&lt;17),"Usia di bawah 17","")))))))))</f>
        <v/>
      </c>
      <c r="Z236" s="40" t="str">
        <f aca="false">IF($B236="","",IF(AND(OR(CARI!$C$5="",ISNUMBER(SEARCH(CARI!$C$5,$B236&amp;" "&amp;$C236&amp;" "&amp;$D236&amp;" "&amp;$O236&amp;" "&amp;$I236&amp;" "&amp;$F236&amp;" "&amp;$J236&amp;" "&amp;$K236&amp;" "&amp;$L236&amp;" "&amp;$V236))),OR(CARI!$C$6="",$F236=CARI!$C$6),OR(CARI!$C$7="",$G236=CARI!$C$7),OR(CARI!$C$8="",$T236=CARI!$C$8)),MAX($Z$3:Z235)+1,""))</f>
        <v/>
      </c>
      <c r="AA236" s="40" t="str">
        <f aca="false">IF($Y236="","",MAX($AA$3:AA235)+1)</f>
        <v/>
      </c>
      <c r="AB236" s="40" t="str">
        <f aca="false">IF($F236="","",$F236&amp;"#"&amp;COUNTIF($F$4:$F236,$F236))</f>
        <v/>
      </c>
      <c r="AC236" s="40" t="str">
        <f aca="false">IF($B236="","",IF(AND(OR(CETAK!$J$10="",$F236=CETAK!$J$10),OR(CETAK!$J$11="",$G236=CETAK!$J$11),OR(CETAK!$J$12="",$P236=CETAK!$J$12),OR(CETAK!$J$13="",$N236=CETAK!$J$13),OR(CETAK!$J$14="",$T236=CETAK!$J$14)),MAX($AC$3:AC235)+1,""))</f>
        <v/>
      </c>
      <c r="AD236" s="40" t="str">
        <f aca="false">IF($B236="","",IF(AND(OR(ABSENSI!$H$10="",$F236=ABSENSI!$H$10),OR(ABSENSI!$H$11="",$G236=ABSENSI!$H$11),OR(ABSENSI!$H$12="",$P236=ABSENSI!$H$12)),MAX($AD$3:AD235)+1,""))</f>
        <v/>
      </c>
      <c r="AE236" s="40" t="str">
        <f aca="false">IF($B236="","",IF(AND(OR(KARTU!$K$6="",$F236=KARTU!$K$6),OR(KARTU!$K$7="",$G236=KARTU!$K$7),OR(KARTU!$K$8="",$P236=KARTU!$K$8)),MAX($AE$3:AE235)+1,""))</f>
        <v/>
      </c>
    </row>
    <row r="237" customFormat="false" ht="15" hidden="false" customHeight="false" outlineLevel="0" collapsed="false">
      <c r="A237" s="35" t="str">
        <f aca="false">IF($B237="","",COUNTA($B$4:$B237))</f>
        <v/>
      </c>
      <c r="B237" s="36"/>
      <c r="C237" s="37"/>
      <c r="D237" s="37"/>
      <c r="E237" s="38"/>
      <c r="F237" s="36"/>
      <c r="G237" s="39"/>
      <c r="H237" s="39"/>
      <c r="I237" s="36"/>
      <c r="J237" s="36"/>
      <c r="K237" s="36"/>
      <c r="L237" s="36"/>
      <c r="M237" s="40" t="str">
        <f aca="false">IF($F237="","",$F237&amp;IF($G237="",""," - RT "&amp;$G237&amp;IF($H237="","","/"&amp;$H237)))</f>
        <v/>
      </c>
      <c r="N237" s="36"/>
      <c r="O237" s="37"/>
      <c r="P237" s="39"/>
      <c r="Q237" s="41"/>
      <c r="R237" s="35" t="str">
        <f aca="true">IF(OR($B237="",$Q237=""),"",DATEDIF($Q237,TODAY(),"Y"))</f>
        <v/>
      </c>
      <c r="S237" s="40" t="str">
        <f aca="false">IF($R237="","",INDEX(usia_label,MATCH($R237,usia_min,1)))</f>
        <v/>
      </c>
      <c r="T237" s="36"/>
      <c r="U237" s="41"/>
      <c r="V237" s="36"/>
      <c r="W237" s="36"/>
      <c r="X237" s="40" t="str">
        <f aca="false">IF($M237="","",$M237&amp;"#"&amp;COUNTIF($M$4:$M237,$M237))</f>
        <v/>
      </c>
      <c r="Y237" s="40" t="str">
        <f aca="false">IF($B237="","",IF($C237="","NIK kosong",IF(LEN($C237)&lt;&gt;16,"NIK bukan 16 digit",IF(COUNTIF($C$4:$C$2003,$C237&amp;"*")&gt;1,"NIK ganda",IF(AND($D237&lt;&gt;"",LEN($D237)&lt;&gt;16),"No. KK bukan 16 digit",IF(AND($F237="",$I237=""),"Alamat kosong",IF($N237="","Jabatan kosong",IF($O237="","No. HP kosong",IF(AND($R237&lt;&gt;"",$R237&lt;17),"Usia di bawah 17","")))))))))</f>
        <v/>
      </c>
      <c r="Z237" s="40" t="str">
        <f aca="false">IF($B237="","",IF(AND(OR(CARI!$C$5="",ISNUMBER(SEARCH(CARI!$C$5,$B237&amp;" "&amp;$C237&amp;" "&amp;$D237&amp;" "&amp;$O237&amp;" "&amp;$I237&amp;" "&amp;$F237&amp;" "&amp;$J237&amp;" "&amp;$K237&amp;" "&amp;$L237&amp;" "&amp;$V237))),OR(CARI!$C$6="",$F237=CARI!$C$6),OR(CARI!$C$7="",$G237=CARI!$C$7),OR(CARI!$C$8="",$T237=CARI!$C$8)),MAX($Z$3:Z236)+1,""))</f>
        <v/>
      </c>
      <c r="AA237" s="40" t="str">
        <f aca="false">IF($Y237="","",MAX($AA$3:AA236)+1)</f>
        <v/>
      </c>
      <c r="AB237" s="40" t="str">
        <f aca="false">IF($F237="","",$F237&amp;"#"&amp;COUNTIF($F$4:$F237,$F237))</f>
        <v/>
      </c>
      <c r="AC237" s="40" t="str">
        <f aca="false">IF($B237="","",IF(AND(OR(CETAK!$J$10="",$F237=CETAK!$J$10),OR(CETAK!$J$11="",$G237=CETAK!$J$11),OR(CETAK!$J$12="",$P237=CETAK!$J$12),OR(CETAK!$J$13="",$N237=CETAK!$J$13),OR(CETAK!$J$14="",$T237=CETAK!$J$14)),MAX($AC$3:AC236)+1,""))</f>
        <v/>
      </c>
      <c r="AD237" s="40" t="str">
        <f aca="false">IF($B237="","",IF(AND(OR(ABSENSI!$H$10="",$F237=ABSENSI!$H$10),OR(ABSENSI!$H$11="",$G237=ABSENSI!$H$11),OR(ABSENSI!$H$12="",$P237=ABSENSI!$H$12)),MAX($AD$3:AD236)+1,""))</f>
        <v/>
      </c>
      <c r="AE237" s="40" t="str">
        <f aca="false">IF($B237="","",IF(AND(OR(KARTU!$K$6="",$F237=KARTU!$K$6),OR(KARTU!$K$7="",$G237=KARTU!$K$7),OR(KARTU!$K$8="",$P237=KARTU!$K$8)),MAX($AE$3:AE236)+1,""))</f>
        <v/>
      </c>
    </row>
    <row r="238" customFormat="false" ht="15" hidden="false" customHeight="false" outlineLevel="0" collapsed="false">
      <c r="A238" s="35" t="str">
        <f aca="false">IF($B238="","",COUNTA($B$4:$B238))</f>
        <v/>
      </c>
      <c r="B238" s="36"/>
      <c r="C238" s="37"/>
      <c r="D238" s="37"/>
      <c r="E238" s="38"/>
      <c r="F238" s="36"/>
      <c r="G238" s="39"/>
      <c r="H238" s="39"/>
      <c r="I238" s="36"/>
      <c r="J238" s="36"/>
      <c r="K238" s="36"/>
      <c r="L238" s="36"/>
      <c r="M238" s="40" t="str">
        <f aca="false">IF($F238="","",$F238&amp;IF($G238="",""," - RT "&amp;$G238&amp;IF($H238="","","/"&amp;$H238)))</f>
        <v/>
      </c>
      <c r="N238" s="36"/>
      <c r="O238" s="37"/>
      <c r="P238" s="39"/>
      <c r="Q238" s="41"/>
      <c r="R238" s="35" t="str">
        <f aca="true">IF(OR($B238="",$Q238=""),"",DATEDIF($Q238,TODAY(),"Y"))</f>
        <v/>
      </c>
      <c r="S238" s="40" t="str">
        <f aca="false">IF($R238="","",INDEX(usia_label,MATCH($R238,usia_min,1)))</f>
        <v/>
      </c>
      <c r="T238" s="36"/>
      <c r="U238" s="41"/>
      <c r="V238" s="36"/>
      <c r="W238" s="36"/>
      <c r="X238" s="40" t="str">
        <f aca="false">IF($M238="","",$M238&amp;"#"&amp;COUNTIF($M$4:$M238,$M238))</f>
        <v/>
      </c>
      <c r="Y238" s="40" t="str">
        <f aca="false">IF($B238="","",IF($C238="","NIK kosong",IF(LEN($C238)&lt;&gt;16,"NIK bukan 16 digit",IF(COUNTIF($C$4:$C$2003,$C238&amp;"*")&gt;1,"NIK ganda",IF(AND($D238&lt;&gt;"",LEN($D238)&lt;&gt;16),"No. KK bukan 16 digit",IF(AND($F238="",$I238=""),"Alamat kosong",IF($N238="","Jabatan kosong",IF($O238="","No. HP kosong",IF(AND($R238&lt;&gt;"",$R238&lt;17),"Usia di bawah 17","")))))))))</f>
        <v/>
      </c>
      <c r="Z238" s="40" t="str">
        <f aca="false">IF($B238="","",IF(AND(OR(CARI!$C$5="",ISNUMBER(SEARCH(CARI!$C$5,$B238&amp;" "&amp;$C238&amp;" "&amp;$D238&amp;" "&amp;$O238&amp;" "&amp;$I238&amp;" "&amp;$F238&amp;" "&amp;$J238&amp;" "&amp;$K238&amp;" "&amp;$L238&amp;" "&amp;$V238))),OR(CARI!$C$6="",$F238=CARI!$C$6),OR(CARI!$C$7="",$G238=CARI!$C$7),OR(CARI!$C$8="",$T238=CARI!$C$8)),MAX($Z$3:Z237)+1,""))</f>
        <v/>
      </c>
      <c r="AA238" s="40" t="str">
        <f aca="false">IF($Y238="","",MAX($AA$3:AA237)+1)</f>
        <v/>
      </c>
      <c r="AB238" s="40" t="str">
        <f aca="false">IF($F238="","",$F238&amp;"#"&amp;COUNTIF($F$4:$F238,$F238))</f>
        <v/>
      </c>
      <c r="AC238" s="40" t="str">
        <f aca="false">IF($B238="","",IF(AND(OR(CETAK!$J$10="",$F238=CETAK!$J$10),OR(CETAK!$J$11="",$G238=CETAK!$J$11),OR(CETAK!$J$12="",$P238=CETAK!$J$12),OR(CETAK!$J$13="",$N238=CETAK!$J$13),OR(CETAK!$J$14="",$T238=CETAK!$J$14)),MAX($AC$3:AC237)+1,""))</f>
        <v/>
      </c>
      <c r="AD238" s="40" t="str">
        <f aca="false">IF($B238="","",IF(AND(OR(ABSENSI!$H$10="",$F238=ABSENSI!$H$10),OR(ABSENSI!$H$11="",$G238=ABSENSI!$H$11),OR(ABSENSI!$H$12="",$P238=ABSENSI!$H$12)),MAX($AD$3:AD237)+1,""))</f>
        <v/>
      </c>
      <c r="AE238" s="40" t="str">
        <f aca="false">IF($B238="","",IF(AND(OR(KARTU!$K$6="",$F238=KARTU!$K$6),OR(KARTU!$K$7="",$G238=KARTU!$K$7),OR(KARTU!$K$8="",$P238=KARTU!$K$8)),MAX($AE$3:AE237)+1,""))</f>
        <v/>
      </c>
    </row>
    <row r="239" customFormat="false" ht="15" hidden="false" customHeight="false" outlineLevel="0" collapsed="false">
      <c r="A239" s="35" t="str">
        <f aca="false">IF($B239="","",COUNTA($B$4:$B239))</f>
        <v/>
      </c>
      <c r="B239" s="36"/>
      <c r="C239" s="37"/>
      <c r="D239" s="37"/>
      <c r="E239" s="38"/>
      <c r="F239" s="36"/>
      <c r="G239" s="39"/>
      <c r="H239" s="39"/>
      <c r="I239" s="36"/>
      <c r="J239" s="36"/>
      <c r="K239" s="36"/>
      <c r="L239" s="36"/>
      <c r="M239" s="40" t="str">
        <f aca="false">IF($F239="","",$F239&amp;IF($G239="",""," - RT "&amp;$G239&amp;IF($H239="","","/"&amp;$H239)))</f>
        <v/>
      </c>
      <c r="N239" s="36"/>
      <c r="O239" s="37"/>
      <c r="P239" s="39"/>
      <c r="Q239" s="41"/>
      <c r="R239" s="35" t="str">
        <f aca="true">IF(OR($B239="",$Q239=""),"",DATEDIF($Q239,TODAY(),"Y"))</f>
        <v/>
      </c>
      <c r="S239" s="40" t="str">
        <f aca="false">IF($R239="","",INDEX(usia_label,MATCH($R239,usia_min,1)))</f>
        <v/>
      </c>
      <c r="T239" s="36"/>
      <c r="U239" s="41"/>
      <c r="V239" s="36"/>
      <c r="W239" s="36"/>
      <c r="X239" s="40" t="str">
        <f aca="false">IF($M239="","",$M239&amp;"#"&amp;COUNTIF($M$4:$M239,$M239))</f>
        <v/>
      </c>
      <c r="Y239" s="40" t="str">
        <f aca="false">IF($B239="","",IF($C239="","NIK kosong",IF(LEN($C239)&lt;&gt;16,"NIK bukan 16 digit",IF(COUNTIF($C$4:$C$2003,$C239&amp;"*")&gt;1,"NIK ganda",IF(AND($D239&lt;&gt;"",LEN($D239)&lt;&gt;16),"No. KK bukan 16 digit",IF(AND($F239="",$I239=""),"Alamat kosong",IF($N239="","Jabatan kosong",IF($O239="","No. HP kosong",IF(AND($R239&lt;&gt;"",$R239&lt;17),"Usia di bawah 17","")))))))))</f>
        <v/>
      </c>
      <c r="Z239" s="40" t="str">
        <f aca="false">IF($B239="","",IF(AND(OR(CARI!$C$5="",ISNUMBER(SEARCH(CARI!$C$5,$B239&amp;" "&amp;$C239&amp;" "&amp;$D239&amp;" "&amp;$O239&amp;" "&amp;$I239&amp;" "&amp;$F239&amp;" "&amp;$J239&amp;" "&amp;$K239&amp;" "&amp;$L239&amp;" "&amp;$V239))),OR(CARI!$C$6="",$F239=CARI!$C$6),OR(CARI!$C$7="",$G239=CARI!$C$7),OR(CARI!$C$8="",$T239=CARI!$C$8)),MAX($Z$3:Z238)+1,""))</f>
        <v/>
      </c>
      <c r="AA239" s="40" t="str">
        <f aca="false">IF($Y239="","",MAX($AA$3:AA238)+1)</f>
        <v/>
      </c>
      <c r="AB239" s="40" t="str">
        <f aca="false">IF($F239="","",$F239&amp;"#"&amp;COUNTIF($F$4:$F239,$F239))</f>
        <v/>
      </c>
      <c r="AC239" s="40" t="str">
        <f aca="false">IF($B239="","",IF(AND(OR(CETAK!$J$10="",$F239=CETAK!$J$10),OR(CETAK!$J$11="",$G239=CETAK!$J$11),OR(CETAK!$J$12="",$P239=CETAK!$J$12),OR(CETAK!$J$13="",$N239=CETAK!$J$13),OR(CETAK!$J$14="",$T239=CETAK!$J$14)),MAX($AC$3:AC238)+1,""))</f>
        <v/>
      </c>
      <c r="AD239" s="40" t="str">
        <f aca="false">IF($B239="","",IF(AND(OR(ABSENSI!$H$10="",$F239=ABSENSI!$H$10),OR(ABSENSI!$H$11="",$G239=ABSENSI!$H$11),OR(ABSENSI!$H$12="",$P239=ABSENSI!$H$12)),MAX($AD$3:AD238)+1,""))</f>
        <v/>
      </c>
      <c r="AE239" s="40" t="str">
        <f aca="false">IF($B239="","",IF(AND(OR(KARTU!$K$6="",$F239=KARTU!$K$6),OR(KARTU!$K$7="",$G239=KARTU!$K$7),OR(KARTU!$K$8="",$P239=KARTU!$K$8)),MAX($AE$3:AE238)+1,""))</f>
        <v/>
      </c>
    </row>
    <row r="240" customFormat="false" ht="15" hidden="false" customHeight="false" outlineLevel="0" collapsed="false">
      <c r="A240" s="35" t="str">
        <f aca="false">IF($B240="","",COUNTA($B$4:$B240))</f>
        <v/>
      </c>
      <c r="B240" s="36"/>
      <c r="C240" s="37"/>
      <c r="D240" s="37"/>
      <c r="E240" s="38"/>
      <c r="F240" s="36"/>
      <c r="G240" s="39"/>
      <c r="H240" s="39"/>
      <c r="I240" s="36"/>
      <c r="J240" s="36"/>
      <c r="K240" s="36"/>
      <c r="L240" s="36"/>
      <c r="M240" s="40" t="str">
        <f aca="false">IF($F240="","",$F240&amp;IF($G240="",""," - RT "&amp;$G240&amp;IF($H240="","","/"&amp;$H240)))</f>
        <v/>
      </c>
      <c r="N240" s="36"/>
      <c r="O240" s="37"/>
      <c r="P240" s="39"/>
      <c r="Q240" s="41"/>
      <c r="R240" s="35" t="str">
        <f aca="true">IF(OR($B240="",$Q240=""),"",DATEDIF($Q240,TODAY(),"Y"))</f>
        <v/>
      </c>
      <c r="S240" s="40" t="str">
        <f aca="false">IF($R240="","",INDEX(usia_label,MATCH($R240,usia_min,1)))</f>
        <v/>
      </c>
      <c r="T240" s="36"/>
      <c r="U240" s="41"/>
      <c r="V240" s="36"/>
      <c r="W240" s="36"/>
      <c r="X240" s="40" t="str">
        <f aca="false">IF($M240="","",$M240&amp;"#"&amp;COUNTIF($M$4:$M240,$M240))</f>
        <v/>
      </c>
      <c r="Y240" s="40" t="str">
        <f aca="false">IF($B240="","",IF($C240="","NIK kosong",IF(LEN($C240)&lt;&gt;16,"NIK bukan 16 digit",IF(COUNTIF($C$4:$C$2003,$C240&amp;"*")&gt;1,"NIK ganda",IF(AND($D240&lt;&gt;"",LEN($D240)&lt;&gt;16),"No. KK bukan 16 digit",IF(AND($F240="",$I240=""),"Alamat kosong",IF($N240="","Jabatan kosong",IF($O240="","No. HP kosong",IF(AND($R240&lt;&gt;"",$R240&lt;17),"Usia di bawah 17","")))))))))</f>
        <v/>
      </c>
      <c r="Z240" s="40" t="str">
        <f aca="false">IF($B240="","",IF(AND(OR(CARI!$C$5="",ISNUMBER(SEARCH(CARI!$C$5,$B240&amp;" "&amp;$C240&amp;" "&amp;$D240&amp;" "&amp;$O240&amp;" "&amp;$I240&amp;" "&amp;$F240&amp;" "&amp;$J240&amp;" "&amp;$K240&amp;" "&amp;$L240&amp;" "&amp;$V240))),OR(CARI!$C$6="",$F240=CARI!$C$6),OR(CARI!$C$7="",$G240=CARI!$C$7),OR(CARI!$C$8="",$T240=CARI!$C$8)),MAX($Z$3:Z239)+1,""))</f>
        <v/>
      </c>
      <c r="AA240" s="40" t="str">
        <f aca="false">IF($Y240="","",MAX($AA$3:AA239)+1)</f>
        <v/>
      </c>
      <c r="AB240" s="40" t="str">
        <f aca="false">IF($F240="","",$F240&amp;"#"&amp;COUNTIF($F$4:$F240,$F240))</f>
        <v/>
      </c>
      <c r="AC240" s="40" t="str">
        <f aca="false">IF($B240="","",IF(AND(OR(CETAK!$J$10="",$F240=CETAK!$J$10),OR(CETAK!$J$11="",$G240=CETAK!$J$11),OR(CETAK!$J$12="",$P240=CETAK!$J$12),OR(CETAK!$J$13="",$N240=CETAK!$J$13),OR(CETAK!$J$14="",$T240=CETAK!$J$14)),MAX($AC$3:AC239)+1,""))</f>
        <v/>
      </c>
      <c r="AD240" s="40" t="str">
        <f aca="false">IF($B240="","",IF(AND(OR(ABSENSI!$H$10="",$F240=ABSENSI!$H$10),OR(ABSENSI!$H$11="",$G240=ABSENSI!$H$11),OR(ABSENSI!$H$12="",$P240=ABSENSI!$H$12)),MAX($AD$3:AD239)+1,""))</f>
        <v/>
      </c>
      <c r="AE240" s="40" t="str">
        <f aca="false">IF($B240="","",IF(AND(OR(KARTU!$K$6="",$F240=KARTU!$K$6),OR(KARTU!$K$7="",$G240=KARTU!$K$7),OR(KARTU!$K$8="",$P240=KARTU!$K$8)),MAX($AE$3:AE239)+1,""))</f>
        <v/>
      </c>
    </row>
    <row r="241" customFormat="false" ht="15" hidden="false" customHeight="false" outlineLevel="0" collapsed="false">
      <c r="A241" s="35" t="str">
        <f aca="false">IF($B241="","",COUNTA($B$4:$B241))</f>
        <v/>
      </c>
      <c r="B241" s="36"/>
      <c r="C241" s="37"/>
      <c r="D241" s="37"/>
      <c r="E241" s="38"/>
      <c r="F241" s="36"/>
      <c r="G241" s="39"/>
      <c r="H241" s="39"/>
      <c r="I241" s="36"/>
      <c r="J241" s="36"/>
      <c r="K241" s="36"/>
      <c r="L241" s="36"/>
      <c r="M241" s="40" t="str">
        <f aca="false">IF($F241="","",$F241&amp;IF($G241="",""," - RT "&amp;$G241&amp;IF($H241="","","/"&amp;$H241)))</f>
        <v/>
      </c>
      <c r="N241" s="36"/>
      <c r="O241" s="37"/>
      <c r="P241" s="39"/>
      <c r="Q241" s="41"/>
      <c r="R241" s="35" t="str">
        <f aca="true">IF(OR($B241="",$Q241=""),"",DATEDIF($Q241,TODAY(),"Y"))</f>
        <v/>
      </c>
      <c r="S241" s="40" t="str">
        <f aca="false">IF($R241="","",INDEX(usia_label,MATCH($R241,usia_min,1)))</f>
        <v/>
      </c>
      <c r="T241" s="36"/>
      <c r="U241" s="41"/>
      <c r="V241" s="36"/>
      <c r="W241" s="36"/>
      <c r="X241" s="40" t="str">
        <f aca="false">IF($M241="","",$M241&amp;"#"&amp;COUNTIF($M$4:$M241,$M241))</f>
        <v/>
      </c>
      <c r="Y241" s="40" t="str">
        <f aca="false">IF($B241="","",IF($C241="","NIK kosong",IF(LEN($C241)&lt;&gt;16,"NIK bukan 16 digit",IF(COUNTIF($C$4:$C$2003,$C241&amp;"*")&gt;1,"NIK ganda",IF(AND($D241&lt;&gt;"",LEN($D241)&lt;&gt;16),"No. KK bukan 16 digit",IF(AND($F241="",$I241=""),"Alamat kosong",IF($N241="","Jabatan kosong",IF($O241="","No. HP kosong",IF(AND($R241&lt;&gt;"",$R241&lt;17),"Usia di bawah 17","")))))))))</f>
        <v/>
      </c>
      <c r="Z241" s="40" t="str">
        <f aca="false">IF($B241="","",IF(AND(OR(CARI!$C$5="",ISNUMBER(SEARCH(CARI!$C$5,$B241&amp;" "&amp;$C241&amp;" "&amp;$D241&amp;" "&amp;$O241&amp;" "&amp;$I241&amp;" "&amp;$F241&amp;" "&amp;$J241&amp;" "&amp;$K241&amp;" "&amp;$L241&amp;" "&amp;$V241))),OR(CARI!$C$6="",$F241=CARI!$C$6),OR(CARI!$C$7="",$G241=CARI!$C$7),OR(CARI!$C$8="",$T241=CARI!$C$8)),MAX($Z$3:Z240)+1,""))</f>
        <v/>
      </c>
      <c r="AA241" s="40" t="str">
        <f aca="false">IF($Y241="","",MAX($AA$3:AA240)+1)</f>
        <v/>
      </c>
      <c r="AB241" s="40" t="str">
        <f aca="false">IF($F241="","",$F241&amp;"#"&amp;COUNTIF($F$4:$F241,$F241))</f>
        <v/>
      </c>
      <c r="AC241" s="40" t="str">
        <f aca="false">IF($B241="","",IF(AND(OR(CETAK!$J$10="",$F241=CETAK!$J$10),OR(CETAK!$J$11="",$G241=CETAK!$J$11),OR(CETAK!$J$12="",$P241=CETAK!$J$12),OR(CETAK!$J$13="",$N241=CETAK!$J$13),OR(CETAK!$J$14="",$T241=CETAK!$J$14)),MAX($AC$3:AC240)+1,""))</f>
        <v/>
      </c>
      <c r="AD241" s="40" t="str">
        <f aca="false">IF($B241="","",IF(AND(OR(ABSENSI!$H$10="",$F241=ABSENSI!$H$10),OR(ABSENSI!$H$11="",$G241=ABSENSI!$H$11),OR(ABSENSI!$H$12="",$P241=ABSENSI!$H$12)),MAX($AD$3:AD240)+1,""))</f>
        <v/>
      </c>
      <c r="AE241" s="40" t="str">
        <f aca="false">IF($B241="","",IF(AND(OR(KARTU!$K$6="",$F241=KARTU!$K$6),OR(KARTU!$K$7="",$G241=KARTU!$K$7),OR(KARTU!$K$8="",$P241=KARTU!$K$8)),MAX($AE$3:AE240)+1,""))</f>
        <v/>
      </c>
    </row>
    <row r="242" customFormat="false" ht="15" hidden="false" customHeight="false" outlineLevel="0" collapsed="false">
      <c r="A242" s="35" t="str">
        <f aca="false">IF($B242="","",COUNTA($B$4:$B242))</f>
        <v/>
      </c>
      <c r="B242" s="36"/>
      <c r="C242" s="37"/>
      <c r="D242" s="37"/>
      <c r="E242" s="38"/>
      <c r="F242" s="36"/>
      <c r="G242" s="39"/>
      <c r="H242" s="39"/>
      <c r="I242" s="36"/>
      <c r="J242" s="36"/>
      <c r="K242" s="36"/>
      <c r="L242" s="36"/>
      <c r="M242" s="40" t="str">
        <f aca="false">IF($F242="","",$F242&amp;IF($G242="",""," - RT "&amp;$G242&amp;IF($H242="","","/"&amp;$H242)))</f>
        <v/>
      </c>
      <c r="N242" s="36"/>
      <c r="O242" s="37"/>
      <c r="P242" s="39"/>
      <c r="Q242" s="41"/>
      <c r="R242" s="35" t="str">
        <f aca="true">IF(OR($B242="",$Q242=""),"",DATEDIF($Q242,TODAY(),"Y"))</f>
        <v/>
      </c>
      <c r="S242" s="40" t="str">
        <f aca="false">IF($R242="","",INDEX(usia_label,MATCH($R242,usia_min,1)))</f>
        <v/>
      </c>
      <c r="T242" s="36"/>
      <c r="U242" s="41"/>
      <c r="V242" s="36"/>
      <c r="W242" s="36"/>
      <c r="X242" s="40" t="str">
        <f aca="false">IF($M242="","",$M242&amp;"#"&amp;COUNTIF($M$4:$M242,$M242))</f>
        <v/>
      </c>
      <c r="Y242" s="40" t="str">
        <f aca="false">IF($B242="","",IF($C242="","NIK kosong",IF(LEN($C242)&lt;&gt;16,"NIK bukan 16 digit",IF(COUNTIF($C$4:$C$2003,$C242&amp;"*")&gt;1,"NIK ganda",IF(AND($D242&lt;&gt;"",LEN($D242)&lt;&gt;16),"No. KK bukan 16 digit",IF(AND($F242="",$I242=""),"Alamat kosong",IF($N242="","Jabatan kosong",IF($O242="","No. HP kosong",IF(AND($R242&lt;&gt;"",$R242&lt;17),"Usia di bawah 17","")))))))))</f>
        <v/>
      </c>
      <c r="Z242" s="40" t="str">
        <f aca="false">IF($B242="","",IF(AND(OR(CARI!$C$5="",ISNUMBER(SEARCH(CARI!$C$5,$B242&amp;" "&amp;$C242&amp;" "&amp;$D242&amp;" "&amp;$O242&amp;" "&amp;$I242&amp;" "&amp;$F242&amp;" "&amp;$J242&amp;" "&amp;$K242&amp;" "&amp;$L242&amp;" "&amp;$V242))),OR(CARI!$C$6="",$F242=CARI!$C$6),OR(CARI!$C$7="",$G242=CARI!$C$7),OR(CARI!$C$8="",$T242=CARI!$C$8)),MAX($Z$3:Z241)+1,""))</f>
        <v/>
      </c>
      <c r="AA242" s="40" t="str">
        <f aca="false">IF($Y242="","",MAX($AA$3:AA241)+1)</f>
        <v/>
      </c>
      <c r="AB242" s="40" t="str">
        <f aca="false">IF($F242="","",$F242&amp;"#"&amp;COUNTIF($F$4:$F242,$F242))</f>
        <v/>
      </c>
      <c r="AC242" s="40" t="str">
        <f aca="false">IF($B242="","",IF(AND(OR(CETAK!$J$10="",$F242=CETAK!$J$10),OR(CETAK!$J$11="",$G242=CETAK!$J$11),OR(CETAK!$J$12="",$P242=CETAK!$J$12),OR(CETAK!$J$13="",$N242=CETAK!$J$13),OR(CETAK!$J$14="",$T242=CETAK!$J$14)),MAX($AC$3:AC241)+1,""))</f>
        <v/>
      </c>
      <c r="AD242" s="40" t="str">
        <f aca="false">IF($B242="","",IF(AND(OR(ABSENSI!$H$10="",$F242=ABSENSI!$H$10),OR(ABSENSI!$H$11="",$G242=ABSENSI!$H$11),OR(ABSENSI!$H$12="",$P242=ABSENSI!$H$12)),MAX($AD$3:AD241)+1,""))</f>
        <v/>
      </c>
      <c r="AE242" s="40" t="str">
        <f aca="false">IF($B242="","",IF(AND(OR(KARTU!$K$6="",$F242=KARTU!$K$6),OR(KARTU!$K$7="",$G242=KARTU!$K$7),OR(KARTU!$K$8="",$P242=KARTU!$K$8)),MAX($AE$3:AE241)+1,""))</f>
        <v/>
      </c>
    </row>
    <row r="243" customFormat="false" ht="15" hidden="false" customHeight="false" outlineLevel="0" collapsed="false">
      <c r="A243" s="35" t="str">
        <f aca="false">IF($B243="","",COUNTA($B$4:$B243))</f>
        <v/>
      </c>
      <c r="B243" s="36"/>
      <c r="C243" s="37"/>
      <c r="D243" s="37"/>
      <c r="E243" s="38"/>
      <c r="F243" s="36"/>
      <c r="G243" s="39"/>
      <c r="H243" s="39"/>
      <c r="I243" s="36"/>
      <c r="J243" s="36"/>
      <c r="K243" s="36"/>
      <c r="L243" s="36"/>
      <c r="M243" s="40" t="str">
        <f aca="false">IF($F243="","",$F243&amp;IF($G243="",""," - RT "&amp;$G243&amp;IF($H243="","","/"&amp;$H243)))</f>
        <v/>
      </c>
      <c r="N243" s="36"/>
      <c r="O243" s="37"/>
      <c r="P243" s="39"/>
      <c r="Q243" s="41"/>
      <c r="R243" s="35" t="str">
        <f aca="true">IF(OR($B243="",$Q243=""),"",DATEDIF($Q243,TODAY(),"Y"))</f>
        <v/>
      </c>
      <c r="S243" s="40" t="str">
        <f aca="false">IF($R243="","",INDEX(usia_label,MATCH($R243,usia_min,1)))</f>
        <v/>
      </c>
      <c r="T243" s="36"/>
      <c r="U243" s="41"/>
      <c r="V243" s="36"/>
      <c r="W243" s="36"/>
      <c r="X243" s="40" t="str">
        <f aca="false">IF($M243="","",$M243&amp;"#"&amp;COUNTIF($M$4:$M243,$M243))</f>
        <v/>
      </c>
      <c r="Y243" s="40" t="str">
        <f aca="false">IF($B243="","",IF($C243="","NIK kosong",IF(LEN($C243)&lt;&gt;16,"NIK bukan 16 digit",IF(COUNTIF($C$4:$C$2003,$C243&amp;"*")&gt;1,"NIK ganda",IF(AND($D243&lt;&gt;"",LEN($D243)&lt;&gt;16),"No. KK bukan 16 digit",IF(AND($F243="",$I243=""),"Alamat kosong",IF($N243="","Jabatan kosong",IF($O243="","No. HP kosong",IF(AND($R243&lt;&gt;"",$R243&lt;17),"Usia di bawah 17","")))))))))</f>
        <v/>
      </c>
      <c r="Z243" s="40" t="str">
        <f aca="false">IF($B243="","",IF(AND(OR(CARI!$C$5="",ISNUMBER(SEARCH(CARI!$C$5,$B243&amp;" "&amp;$C243&amp;" "&amp;$D243&amp;" "&amp;$O243&amp;" "&amp;$I243&amp;" "&amp;$F243&amp;" "&amp;$J243&amp;" "&amp;$K243&amp;" "&amp;$L243&amp;" "&amp;$V243))),OR(CARI!$C$6="",$F243=CARI!$C$6),OR(CARI!$C$7="",$G243=CARI!$C$7),OR(CARI!$C$8="",$T243=CARI!$C$8)),MAX($Z$3:Z242)+1,""))</f>
        <v/>
      </c>
      <c r="AA243" s="40" t="str">
        <f aca="false">IF($Y243="","",MAX($AA$3:AA242)+1)</f>
        <v/>
      </c>
      <c r="AB243" s="40" t="str">
        <f aca="false">IF($F243="","",$F243&amp;"#"&amp;COUNTIF($F$4:$F243,$F243))</f>
        <v/>
      </c>
      <c r="AC243" s="40" t="str">
        <f aca="false">IF($B243="","",IF(AND(OR(CETAK!$J$10="",$F243=CETAK!$J$10),OR(CETAK!$J$11="",$G243=CETAK!$J$11),OR(CETAK!$J$12="",$P243=CETAK!$J$12),OR(CETAK!$J$13="",$N243=CETAK!$J$13),OR(CETAK!$J$14="",$T243=CETAK!$J$14)),MAX($AC$3:AC242)+1,""))</f>
        <v/>
      </c>
      <c r="AD243" s="40" t="str">
        <f aca="false">IF($B243="","",IF(AND(OR(ABSENSI!$H$10="",$F243=ABSENSI!$H$10),OR(ABSENSI!$H$11="",$G243=ABSENSI!$H$11),OR(ABSENSI!$H$12="",$P243=ABSENSI!$H$12)),MAX($AD$3:AD242)+1,""))</f>
        <v/>
      </c>
      <c r="AE243" s="40" t="str">
        <f aca="false">IF($B243="","",IF(AND(OR(KARTU!$K$6="",$F243=KARTU!$K$6),OR(KARTU!$K$7="",$G243=KARTU!$K$7),OR(KARTU!$K$8="",$P243=KARTU!$K$8)),MAX($AE$3:AE242)+1,""))</f>
        <v/>
      </c>
    </row>
    <row r="244" customFormat="false" ht="15" hidden="false" customHeight="false" outlineLevel="0" collapsed="false">
      <c r="A244" s="35" t="str">
        <f aca="false">IF($B244="","",COUNTA($B$4:$B244))</f>
        <v/>
      </c>
      <c r="B244" s="36"/>
      <c r="C244" s="37"/>
      <c r="D244" s="37"/>
      <c r="E244" s="38"/>
      <c r="F244" s="36"/>
      <c r="G244" s="39"/>
      <c r="H244" s="39"/>
      <c r="I244" s="36"/>
      <c r="J244" s="36"/>
      <c r="K244" s="36"/>
      <c r="L244" s="36"/>
      <c r="M244" s="40" t="str">
        <f aca="false">IF($F244="","",$F244&amp;IF($G244="",""," - RT "&amp;$G244&amp;IF($H244="","","/"&amp;$H244)))</f>
        <v/>
      </c>
      <c r="N244" s="36"/>
      <c r="O244" s="37"/>
      <c r="P244" s="39"/>
      <c r="Q244" s="41"/>
      <c r="R244" s="35" t="str">
        <f aca="true">IF(OR($B244="",$Q244=""),"",DATEDIF($Q244,TODAY(),"Y"))</f>
        <v/>
      </c>
      <c r="S244" s="40" t="str">
        <f aca="false">IF($R244="","",INDEX(usia_label,MATCH($R244,usia_min,1)))</f>
        <v/>
      </c>
      <c r="T244" s="36"/>
      <c r="U244" s="41"/>
      <c r="V244" s="36"/>
      <c r="W244" s="36"/>
      <c r="X244" s="40" t="str">
        <f aca="false">IF($M244="","",$M244&amp;"#"&amp;COUNTIF($M$4:$M244,$M244))</f>
        <v/>
      </c>
      <c r="Y244" s="40" t="str">
        <f aca="false">IF($B244="","",IF($C244="","NIK kosong",IF(LEN($C244)&lt;&gt;16,"NIK bukan 16 digit",IF(COUNTIF($C$4:$C$2003,$C244&amp;"*")&gt;1,"NIK ganda",IF(AND($D244&lt;&gt;"",LEN($D244)&lt;&gt;16),"No. KK bukan 16 digit",IF(AND($F244="",$I244=""),"Alamat kosong",IF($N244="","Jabatan kosong",IF($O244="","No. HP kosong",IF(AND($R244&lt;&gt;"",$R244&lt;17),"Usia di bawah 17","")))))))))</f>
        <v/>
      </c>
      <c r="Z244" s="40" t="str">
        <f aca="false">IF($B244="","",IF(AND(OR(CARI!$C$5="",ISNUMBER(SEARCH(CARI!$C$5,$B244&amp;" "&amp;$C244&amp;" "&amp;$D244&amp;" "&amp;$O244&amp;" "&amp;$I244&amp;" "&amp;$F244&amp;" "&amp;$J244&amp;" "&amp;$K244&amp;" "&amp;$L244&amp;" "&amp;$V244))),OR(CARI!$C$6="",$F244=CARI!$C$6),OR(CARI!$C$7="",$G244=CARI!$C$7),OR(CARI!$C$8="",$T244=CARI!$C$8)),MAX($Z$3:Z243)+1,""))</f>
        <v/>
      </c>
      <c r="AA244" s="40" t="str">
        <f aca="false">IF($Y244="","",MAX($AA$3:AA243)+1)</f>
        <v/>
      </c>
      <c r="AB244" s="40" t="str">
        <f aca="false">IF($F244="","",$F244&amp;"#"&amp;COUNTIF($F$4:$F244,$F244))</f>
        <v/>
      </c>
      <c r="AC244" s="40" t="str">
        <f aca="false">IF($B244="","",IF(AND(OR(CETAK!$J$10="",$F244=CETAK!$J$10),OR(CETAK!$J$11="",$G244=CETAK!$J$11),OR(CETAK!$J$12="",$P244=CETAK!$J$12),OR(CETAK!$J$13="",$N244=CETAK!$J$13),OR(CETAK!$J$14="",$T244=CETAK!$J$14)),MAX($AC$3:AC243)+1,""))</f>
        <v/>
      </c>
      <c r="AD244" s="40" t="str">
        <f aca="false">IF($B244="","",IF(AND(OR(ABSENSI!$H$10="",$F244=ABSENSI!$H$10),OR(ABSENSI!$H$11="",$G244=ABSENSI!$H$11),OR(ABSENSI!$H$12="",$P244=ABSENSI!$H$12)),MAX($AD$3:AD243)+1,""))</f>
        <v/>
      </c>
      <c r="AE244" s="40" t="str">
        <f aca="false">IF($B244="","",IF(AND(OR(KARTU!$K$6="",$F244=KARTU!$K$6),OR(KARTU!$K$7="",$G244=KARTU!$K$7),OR(KARTU!$K$8="",$P244=KARTU!$K$8)),MAX($AE$3:AE243)+1,""))</f>
        <v/>
      </c>
    </row>
    <row r="245" customFormat="false" ht="15" hidden="false" customHeight="false" outlineLevel="0" collapsed="false">
      <c r="A245" s="35" t="str">
        <f aca="false">IF($B245="","",COUNTA($B$4:$B245))</f>
        <v/>
      </c>
      <c r="B245" s="36"/>
      <c r="C245" s="37"/>
      <c r="D245" s="37"/>
      <c r="E245" s="38"/>
      <c r="F245" s="36"/>
      <c r="G245" s="39"/>
      <c r="H245" s="39"/>
      <c r="I245" s="36"/>
      <c r="J245" s="36"/>
      <c r="K245" s="36"/>
      <c r="L245" s="36"/>
      <c r="M245" s="40" t="str">
        <f aca="false">IF($F245="","",$F245&amp;IF($G245="",""," - RT "&amp;$G245&amp;IF($H245="","","/"&amp;$H245)))</f>
        <v/>
      </c>
      <c r="N245" s="36"/>
      <c r="O245" s="37"/>
      <c r="P245" s="39"/>
      <c r="Q245" s="41"/>
      <c r="R245" s="35" t="str">
        <f aca="true">IF(OR($B245="",$Q245=""),"",DATEDIF($Q245,TODAY(),"Y"))</f>
        <v/>
      </c>
      <c r="S245" s="40" t="str">
        <f aca="false">IF($R245="","",INDEX(usia_label,MATCH($R245,usia_min,1)))</f>
        <v/>
      </c>
      <c r="T245" s="36"/>
      <c r="U245" s="41"/>
      <c r="V245" s="36"/>
      <c r="W245" s="36"/>
      <c r="X245" s="40" t="str">
        <f aca="false">IF($M245="","",$M245&amp;"#"&amp;COUNTIF($M$4:$M245,$M245))</f>
        <v/>
      </c>
      <c r="Y245" s="40" t="str">
        <f aca="false">IF($B245="","",IF($C245="","NIK kosong",IF(LEN($C245)&lt;&gt;16,"NIK bukan 16 digit",IF(COUNTIF($C$4:$C$2003,$C245&amp;"*")&gt;1,"NIK ganda",IF(AND($D245&lt;&gt;"",LEN($D245)&lt;&gt;16),"No. KK bukan 16 digit",IF(AND($F245="",$I245=""),"Alamat kosong",IF($N245="","Jabatan kosong",IF($O245="","No. HP kosong",IF(AND($R245&lt;&gt;"",$R245&lt;17),"Usia di bawah 17","")))))))))</f>
        <v/>
      </c>
      <c r="Z245" s="40" t="str">
        <f aca="false">IF($B245="","",IF(AND(OR(CARI!$C$5="",ISNUMBER(SEARCH(CARI!$C$5,$B245&amp;" "&amp;$C245&amp;" "&amp;$D245&amp;" "&amp;$O245&amp;" "&amp;$I245&amp;" "&amp;$F245&amp;" "&amp;$J245&amp;" "&amp;$K245&amp;" "&amp;$L245&amp;" "&amp;$V245))),OR(CARI!$C$6="",$F245=CARI!$C$6),OR(CARI!$C$7="",$G245=CARI!$C$7),OR(CARI!$C$8="",$T245=CARI!$C$8)),MAX($Z$3:Z244)+1,""))</f>
        <v/>
      </c>
      <c r="AA245" s="40" t="str">
        <f aca="false">IF($Y245="","",MAX($AA$3:AA244)+1)</f>
        <v/>
      </c>
      <c r="AB245" s="40" t="str">
        <f aca="false">IF($F245="","",$F245&amp;"#"&amp;COUNTIF($F$4:$F245,$F245))</f>
        <v/>
      </c>
      <c r="AC245" s="40" t="str">
        <f aca="false">IF($B245="","",IF(AND(OR(CETAK!$J$10="",$F245=CETAK!$J$10),OR(CETAK!$J$11="",$G245=CETAK!$J$11),OR(CETAK!$J$12="",$P245=CETAK!$J$12),OR(CETAK!$J$13="",$N245=CETAK!$J$13),OR(CETAK!$J$14="",$T245=CETAK!$J$14)),MAX($AC$3:AC244)+1,""))</f>
        <v/>
      </c>
      <c r="AD245" s="40" t="str">
        <f aca="false">IF($B245="","",IF(AND(OR(ABSENSI!$H$10="",$F245=ABSENSI!$H$10),OR(ABSENSI!$H$11="",$G245=ABSENSI!$H$11),OR(ABSENSI!$H$12="",$P245=ABSENSI!$H$12)),MAX($AD$3:AD244)+1,""))</f>
        <v/>
      </c>
      <c r="AE245" s="40" t="str">
        <f aca="false">IF($B245="","",IF(AND(OR(KARTU!$K$6="",$F245=KARTU!$K$6),OR(KARTU!$K$7="",$G245=KARTU!$K$7),OR(KARTU!$K$8="",$P245=KARTU!$K$8)),MAX($AE$3:AE244)+1,""))</f>
        <v/>
      </c>
    </row>
    <row r="246" customFormat="false" ht="15" hidden="false" customHeight="false" outlineLevel="0" collapsed="false">
      <c r="A246" s="35" t="str">
        <f aca="false">IF($B246="","",COUNTA($B$4:$B246))</f>
        <v/>
      </c>
      <c r="B246" s="36"/>
      <c r="C246" s="37"/>
      <c r="D246" s="37"/>
      <c r="E246" s="38"/>
      <c r="F246" s="36"/>
      <c r="G246" s="39"/>
      <c r="H246" s="39"/>
      <c r="I246" s="36"/>
      <c r="J246" s="36"/>
      <c r="K246" s="36"/>
      <c r="L246" s="36"/>
      <c r="M246" s="40" t="str">
        <f aca="false">IF($F246="","",$F246&amp;IF($G246="",""," - RT "&amp;$G246&amp;IF($H246="","","/"&amp;$H246)))</f>
        <v/>
      </c>
      <c r="N246" s="36"/>
      <c r="O246" s="37"/>
      <c r="P246" s="39"/>
      <c r="Q246" s="41"/>
      <c r="R246" s="35" t="str">
        <f aca="true">IF(OR($B246="",$Q246=""),"",DATEDIF($Q246,TODAY(),"Y"))</f>
        <v/>
      </c>
      <c r="S246" s="40" t="str">
        <f aca="false">IF($R246="","",INDEX(usia_label,MATCH($R246,usia_min,1)))</f>
        <v/>
      </c>
      <c r="T246" s="36"/>
      <c r="U246" s="41"/>
      <c r="V246" s="36"/>
      <c r="W246" s="36"/>
      <c r="X246" s="40" t="str">
        <f aca="false">IF($M246="","",$M246&amp;"#"&amp;COUNTIF($M$4:$M246,$M246))</f>
        <v/>
      </c>
      <c r="Y246" s="40" t="str">
        <f aca="false">IF($B246="","",IF($C246="","NIK kosong",IF(LEN($C246)&lt;&gt;16,"NIK bukan 16 digit",IF(COUNTIF($C$4:$C$2003,$C246&amp;"*")&gt;1,"NIK ganda",IF(AND($D246&lt;&gt;"",LEN($D246)&lt;&gt;16),"No. KK bukan 16 digit",IF(AND($F246="",$I246=""),"Alamat kosong",IF($N246="","Jabatan kosong",IF($O246="","No. HP kosong",IF(AND($R246&lt;&gt;"",$R246&lt;17),"Usia di bawah 17","")))))))))</f>
        <v/>
      </c>
      <c r="Z246" s="40" t="str">
        <f aca="false">IF($B246="","",IF(AND(OR(CARI!$C$5="",ISNUMBER(SEARCH(CARI!$C$5,$B246&amp;" "&amp;$C246&amp;" "&amp;$D246&amp;" "&amp;$O246&amp;" "&amp;$I246&amp;" "&amp;$F246&amp;" "&amp;$J246&amp;" "&amp;$K246&amp;" "&amp;$L246&amp;" "&amp;$V246))),OR(CARI!$C$6="",$F246=CARI!$C$6),OR(CARI!$C$7="",$G246=CARI!$C$7),OR(CARI!$C$8="",$T246=CARI!$C$8)),MAX($Z$3:Z245)+1,""))</f>
        <v/>
      </c>
      <c r="AA246" s="40" t="str">
        <f aca="false">IF($Y246="","",MAX($AA$3:AA245)+1)</f>
        <v/>
      </c>
      <c r="AB246" s="40" t="str">
        <f aca="false">IF($F246="","",$F246&amp;"#"&amp;COUNTIF($F$4:$F246,$F246))</f>
        <v/>
      </c>
      <c r="AC246" s="40" t="str">
        <f aca="false">IF($B246="","",IF(AND(OR(CETAK!$J$10="",$F246=CETAK!$J$10),OR(CETAK!$J$11="",$G246=CETAK!$J$11),OR(CETAK!$J$12="",$P246=CETAK!$J$12),OR(CETAK!$J$13="",$N246=CETAK!$J$13),OR(CETAK!$J$14="",$T246=CETAK!$J$14)),MAX($AC$3:AC245)+1,""))</f>
        <v/>
      </c>
      <c r="AD246" s="40" t="str">
        <f aca="false">IF($B246="","",IF(AND(OR(ABSENSI!$H$10="",$F246=ABSENSI!$H$10),OR(ABSENSI!$H$11="",$G246=ABSENSI!$H$11),OR(ABSENSI!$H$12="",$P246=ABSENSI!$H$12)),MAX($AD$3:AD245)+1,""))</f>
        <v/>
      </c>
      <c r="AE246" s="40" t="str">
        <f aca="false">IF($B246="","",IF(AND(OR(KARTU!$K$6="",$F246=KARTU!$K$6),OR(KARTU!$K$7="",$G246=KARTU!$K$7),OR(KARTU!$K$8="",$P246=KARTU!$K$8)),MAX($AE$3:AE245)+1,""))</f>
        <v/>
      </c>
    </row>
    <row r="247" customFormat="false" ht="15" hidden="false" customHeight="false" outlineLevel="0" collapsed="false">
      <c r="A247" s="35" t="str">
        <f aca="false">IF($B247="","",COUNTA($B$4:$B247))</f>
        <v/>
      </c>
      <c r="B247" s="36"/>
      <c r="C247" s="37"/>
      <c r="D247" s="37"/>
      <c r="E247" s="38"/>
      <c r="F247" s="36"/>
      <c r="G247" s="39"/>
      <c r="H247" s="39"/>
      <c r="I247" s="36"/>
      <c r="J247" s="36"/>
      <c r="K247" s="36"/>
      <c r="L247" s="36"/>
      <c r="M247" s="40" t="str">
        <f aca="false">IF($F247="","",$F247&amp;IF($G247="",""," - RT "&amp;$G247&amp;IF($H247="","","/"&amp;$H247)))</f>
        <v/>
      </c>
      <c r="N247" s="36"/>
      <c r="O247" s="37"/>
      <c r="P247" s="39"/>
      <c r="Q247" s="41"/>
      <c r="R247" s="35" t="str">
        <f aca="true">IF(OR($B247="",$Q247=""),"",DATEDIF($Q247,TODAY(),"Y"))</f>
        <v/>
      </c>
      <c r="S247" s="40" t="str">
        <f aca="false">IF($R247="","",INDEX(usia_label,MATCH($R247,usia_min,1)))</f>
        <v/>
      </c>
      <c r="T247" s="36"/>
      <c r="U247" s="41"/>
      <c r="V247" s="36"/>
      <c r="W247" s="36"/>
      <c r="X247" s="40" t="str">
        <f aca="false">IF($M247="","",$M247&amp;"#"&amp;COUNTIF($M$4:$M247,$M247))</f>
        <v/>
      </c>
      <c r="Y247" s="40" t="str">
        <f aca="false">IF($B247="","",IF($C247="","NIK kosong",IF(LEN($C247)&lt;&gt;16,"NIK bukan 16 digit",IF(COUNTIF($C$4:$C$2003,$C247&amp;"*")&gt;1,"NIK ganda",IF(AND($D247&lt;&gt;"",LEN($D247)&lt;&gt;16),"No. KK bukan 16 digit",IF(AND($F247="",$I247=""),"Alamat kosong",IF($N247="","Jabatan kosong",IF($O247="","No. HP kosong",IF(AND($R247&lt;&gt;"",$R247&lt;17),"Usia di bawah 17","")))))))))</f>
        <v/>
      </c>
      <c r="Z247" s="40" t="str">
        <f aca="false">IF($B247="","",IF(AND(OR(CARI!$C$5="",ISNUMBER(SEARCH(CARI!$C$5,$B247&amp;" "&amp;$C247&amp;" "&amp;$D247&amp;" "&amp;$O247&amp;" "&amp;$I247&amp;" "&amp;$F247&amp;" "&amp;$J247&amp;" "&amp;$K247&amp;" "&amp;$L247&amp;" "&amp;$V247))),OR(CARI!$C$6="",$F247=CARI!$C$6),OR(CARI!$C$7="",$G247=CARI!$C$7),OR(CARI!$C$8="",$T247=CARI!$C$8)),MAX($Z$3:Z246)+1,""))</f>
        <v/>
      </c>
      <c r="AA247" s="40" t="str">
        <f aca="false">IF($Y247="","",MAX($AA$3:AA246)+1)</f>
        <v/>
      </c>
      <c r="AB247" s="40" t="str">
        <f aca="false">IF($F247="","",$F247&amp;"#"&amp;COUNTIF($F$4:$F247,$F247))</f>
        <v/>
      </c>
      <c r="AC247" s="40" t="str">
        <f aca="false">IF($B247="","",IF(AND(OR(CETAK!$J$10="",$F247=CETAK!$J$10),OR(CETAK!$J$11="",$G247=CETAK!$J$11),OR(CETAK!$J$12="",$P247=CETAK!$J$12),OR(CETAK!$J$13="",$N247=CETAK!$J$13),OR(CETAK!$J$14="",$T247=CETAK!$J$14)),MAX($AC$3:AC246)+1,""))</f>
        <v/>
      </c>
      <c r="AD247" s="40" t="str">
        <f aca="false">IF($B247="","",IF(AND(OR(ABSENSI!$H$10="",$F247=ABSENSI!$H$10),OR(ABSENSI!$H$11="",$G247=ABSENSI!$H$11),OR(ABSENSI!$H$12="",$P247=ABSENSI!$H$12)),MAX($AD$3:AD246)+1,""))</f>
        <v/>
      </c>
      <c r="AE247" s="40" t="str">
        <f aca="false">IF($B247="","",IF(AND(OR(KARTU!$K$6="",$F247=KARTU!$K$6),OR(KARTU!$K$7="",$G247=KARTU!$K$7),OR(KARTU!$K$8="",$P247=KARTU!$K$8)),MAX($AE$3:AE246)+1,""))</f>
        <v/>
      </c>
    </row>
    <row r="248" customFormat="false" ht="15" hidden="false" customHeight="false" outlineLevel="0" collapsed="false">
      <c r="A248" s="35" t="str">
        <f aca="false">IF($B248="","",COUNTA($B$4:$B248))</f>
        <v/>
      </c>
      <c r="B248" s="36"/>
      <c r="C248" s="37"/>
      <c r="D248" s="37"/>
      <c r="E248" s="38"/>
      <c r="F248" s="36"/>
      <c r="G248" s="39"/>
      <c r="H248" s="39"/>
      <c r="I248" s="36"/>
      <c r="J248" s="36"/>
      <c r="K248" s="36"/>
      <c r="L248" s="36"/>
      <c r="M248" s="40" t="str">
        <f aca="false">IF($F248="","",$F248&amp;IF($G248="",""," - RT "&amp;$G248&amp;IF($H248="","","/"&amp;$H248)))</f>
        <v/>
      </c>
      <c r="N248" s="36"/>
      <c r="O248" s="37"/>
      <c r="P248" s="39"/>
      <c r="Q248" s="41"/>
      <c r="R248" s="35" t="str">
        <f aca="true">IF(OR($B248="",$Q248=""),"",DATEDIF($Q248,TODAY(),"Y"))</f>
        <v/>
      </c>
      <c r="S248" s="40" t="str">
        <f aca="false">IF($R248="","",INDEX(usia_label,MATCH($R248,usia_min,1)))</f>
        <v/>
      </c>
      <c r="T248" s="36"/>
      <c r="U248" s="41"/>
      <c r="V248" s="36"/>
      <c r="W248" s="36"/>
      <c r="X248" s="40" t="str">
        <f aca="false">IF($M248="","",$M248&amp;"#"&amp;COUNTIF($M$4:$M248,$M248))</f>
        <v/>
      </c>
      <c r="Y248" s="40" t="str">
        <f aca="false">IF($B248="","",IF($C248="","NIK kosong",IF(LEN($C248)&lt;&gt;16,"NIK bukan 16 digit",IF(COUNTIF($C$4:$C$2003,$C248&amp;"*")&gt;1,"NIK ganda",IF(AND($D248&lt;&gt;"",LEN($D248)&lt;&gt;16),"No. KK bukan 16 digit",IF(AND($F248="",$I248=""),"Alamat kosong",IF($N248="","Jabatan kosong",IF($O248="","No. HP kosong",IF(AND($R248&lt;&gt;"",$R248&lt;17),"Usia di bawah 17","")))))))))</f>
        <v/>
      </c>
      <c r="Z248" s="40" t="str">
        <f aca="false">IF($B248="","",IF(AND(OR(CARI!$C$5="",ISNUMBER(SEARCH(CARI!$C$5,$B248&amp;" "&amp;$C248&amp;" "&amp;$D248&amp;" "&amp;$O248&amp;" "&amp;$I248&amp;" "&amp;$F248&amp;" "&amp;$J248&amp;" "&amp;$K248&amp;" "&amp;$L248&amp;" "&amp;$V248))),OR(CARI!$C$6="",$F248=CARI!$C$6),OR(CARI!$C$7="",$G248=CARI!$C$7),OR(CARI!$C$8="",$T248=CARI!$C$8)),MAX($Z$3:Z247)+1,""))</f>
        <v/>
      </c>
      <c r="AA248" s="40" t="str">
        <f aca="false">IF($Y248="","",MAX($AA$3:AA247)+1)</f>
        <v/>
      </c>
      <c r="AB248" s="40" t="str">
        <f aca="false">IF($F248="","",$F248&amp;"#"&amp;COUNTIF($F$4:$F248,$F248))</f>
        <v/>
      </c>
      <c r="AC248" s="40" t="str">
        <f aca="false">IF($B248="","",IF(AND(OR(CETAK!$J$10="",$F248=CETAK!$J$10),OR(CETAK!$J$11="",$G248=CETAK!$J$11),OR(CETAK!$J$12="",$P248=CETAK!$J$12),OR(CETAK!$J$13="",$N248=CETAK!$J$13),OR(CETAK!$J$14="",$T248=CETAK!$J$14)),MAX($AC$3:AC247)+1,""))</f>
        <v/>
      </c>
      <c r="AD248" s="40" t="str">
        <f aca="false">IF($B248="","",IF(AND(OR(ABSENSI!$H$10="",$F248=ABSENSI!$H$10),OR(ABSENSI!$H$11="",$G248=ABSENSI!$H$11),OR(ABSENSI!$H$12="",$P248=ABSENSI!$H$12)),MAX($AD$3:AD247)+1,""))</f>
        <v/>
      </c>
      <c r="AE248" s="40" t="str">
        <f aca="false">IF($B248="","",IF(AND(OR(KARTU!$K$6="",$F248=KARTU!$K$6),OR(KARTU!$K$7="",$G248=KARTU!$K$7),OR(KARTU!$K$8="",$P248=KARTU!$K$8)),MAX($AE$3:AE247)+1,""))</f>
        <v/>
      </c>
    </row>
    <row r="249" customFormat="false" ht="15" hidden="false" customHeight="false" outlineLevel="0" collapsed="false">
      <c r="A249" s="35" t="str">
        <f aca="false">IF($B249="","",COUNTA($B$4:$B249))</f>
        <v/>
      </c>
      <c r="B249" s="36"/>
      <c r="C249" s="37"/>
      <c r="D249" s="37"/>
      <c r="E249" s="38"/>
      <c r="F249" s="36"/>
      <c r="G249" s="39"/>
      <c r="H249" s="39"/>
      <c r="I249" s="36"/>
      <c r="J249" s="36"/>
      <c r="K249" s="36"/>
      <c r="L249" s="36"/>
      <c r="M249" s="40" t="str">
        <f aca="false">IF($F249="","",$F249&amp;IF($G249="",""," - RT "&amp;$G249&amp;IF($H249="","","/"&amp;$H249)))</f>
        <v/>
      </c>
      <c r="N249" s="36"/>
      <c r="O249" s="37"/>
      <c r="P249" s="39"/>
      <c r="Q249" s="41"/>
      <c r="R249" s="35" t="str">
        <f aca="true">IF(OR($B249="",$Q249=""),"",DATEDIF($Q249,TODAY(),"Y"))</f>
        <v/>
      </c>
      <c r="S249" s="40" t="str">
        <f aca="false">IF($R249="","",INDEX(usia_label,MATCH($R249,usia_min,1)))</f>
        <v/>
      </c>
      <c r="T249" s="36"/>
      <c r="U249" s="41"/>
      <c r="V249" s="36"/>
      <c r="W249" s="36"/>
      <c r="X249" s="40" t="str">
        <f aca="false">IF($M249="","",$M249&amp;"#"&amp;COUNTIF($M$4:$M249,$M249))</f>
        <v/>
      </c>
      <c r="Y249" s="40" t="str">
        <f aca="false">IF($B249="","",IF($C249="","NIK kosong",IF(LEN($C249)&lt;&gt;16,"NIK bukan 16 digit",IF(COUNTIF($C$4:$C$2003,$C249&amp;"*")&gt;1,"NIK ganda",IF(AND($D249&lt;&gt;"",LEN($D249)&lt;&gt;16),"No. KK bukan 16 digit",IF(AND($F249="",$I249=""),"Alamat kosong",IF($N249="","Jabatan kosong",IF($O249="","No. HP kosong",IF(AND($R249&lt;&gt;"",$R249&lt;17),"Usia di bawah 17","")))))))))</f>
        <v/>
      </c>
      <c r="Z249" s="40" t="str">
        <f aca="false">IF($B249="","",IF(AND(OR(CARI!$C$5="",ISNUMBER(SEARCH(CARI!$C$5,$B249&amp;" "&amp;$C249&amp;" "&amp;$D249&amp;" "&amp;$O249&amp;" "&amp;$I249&amp;" "&amp;$F249&amp;" "&amp;$J249&amp;" "&amp;$K249&amp;" "&amp;$L249&amp;" "&amp;$V249))),OR(CARI!$C$6="",$F249=CARI!$C$6),OR(CARI!$C$7="",$G249=CARI!$C$7),OR(CARI!$C$8="",$T249=CARI!$C$8)),MAX($Z$3:Z248)+1,""))</f>
        <v/>
      </c>
      <c r="AA249" s="40" t="str">
        <f aca="false">IF($Y249="","",MAX($AA$3:AA248)+1)</f>
        <v/>
      </c>
      <c r="AB249" s="40" t="str">
        <f aca="false">IF($F249="","",$F249&amp;"#"&amp;COUNTIF($F$4:$F249,$F249))</f>
        <v/>
      </c>
      <c r="AC249" s="40" t="str">
        <f aca="false">IF($B249="","",IF(AND(OR(CETAK!$J$10="",$F249=CETAK!$J$10),OR(CETAK!$J$11="",$G249=CETAK!$J$11),OR(CETAK!$J$12="",$P249=CETAK!$J$12),OR(CETAK!$J$13="",$N249=CETAK!$J$13),OR(CETAK!$J$14="",$T249=CETAK!$J$14)),MAX($AC$3:AC248)+1,""))</f>
        <v/>
      </c>
      <c r="AD249" s="40" t="str">
        <f aca="false">IF($B249="","",IF(AND(OR(ABSENSI!$H$10="",$F249=ABSENSI!$H$10),OR(ABSENSI!$H$11="",$G249=ABSENSI!$H$11),OR(ABSENSI!$H$12="",$P249=ABSENSI!$H$12)),MAX($AD$3:AD248)+1,""))</f>
        <v/>
      </c>
      <c r="AE249" s="40" t="str">
        <f aca="false">IF($B249="","",IF(AND(OR(KARTU!$K$6="",$F249=KARTU!$K$6),OR(KARTU!$K$7="",$G249=KARTU!$K$7),OR(KARTU!$K$8="",$P249=KARTU!$K$8)),MAX($AE$3:AE248)+1,""))</f>
        <v/>
      </c>
    </row>
    <row r="250" customFormat="false" ht="15" hidden="false" customHeight="false" outlineLevel="0" collapsed="false">
      <c r="A250" s="35" t="str">
        <f aca="false">IF($B250="","",COUNTA($B$4:$B250))</f>
        <v/>
      </c>
      <c r="B250" s="36"/>
      <c r="C250" s="37"/>
      <c r="D250" s="37"/>
      <c r="E250" s="38"/>
      <c r="F250" s="36"/>
      <c r="G250" s="39"/>
      <c r="H250" s="39"/>
      <c r="I250" s="36"/>
      <c r="J250" s="36"/>
      <c r="K250" s="36"/>
      <c r="L250" s="36"/>
      <c r="M250" s="40" t="str">
        <f aca="false">IF($F250="","",$F250&amp;IF($G250="",""," - RT "&amp;$G250&amp;IF($H250="","","/"&amp;$H250)))</f>
        <v/>
      </c>
      <c r="N250" s="36"/>
      <c r="O250" s="37"/>
      <c r="P250" s="39"/>
      <c r="Q250" s="41"/>
      <c r="R250" s="35" t="str">
        <f aca="true">IF(OR($B250="",$Q250=""),"",DATEDIF($Q250,TODAY(),"Y"))</f>
        <v/>
      </c>
      <c r="S250" s="40" t="str">
        <f aca="false">IF($R250="","",INDEX(usia_label,MATCH($R250,usia_min,1)))</f>
        <v/>
      </c>
      <c r="T250" s="36"/>
      <c r="U250" s="41"/>
      <c r="V250" s="36"/>
      <c r="W250" s="36"/>
      <c r="X250" s="40" t="str">
        <f aca="false">IF($M250="","",$M250&amp;"#"&amp;COUNTIF($M$4:$M250,$M250))</f>
        <v/>
      </c>
      <c r="Y250" s="40" t="str">
        <f aca="false">IF($B250="","",IF($C250="","NIK kosong",IF(LEN($C250)&lt;&gt;16,"NIK bukan 16 digit",IF(COUNTIF($C$4:$C$2003,$C250&amp;"*")&gt;1,"NIK ganda",IF(AND($D250&lt;&gt;"",LEN($D250)&lt;&gt;16),"No. KK bukan 16 digit",IF(AND($F250="",$I250=""),"Alamat kosong",IF($N250="","Jabatan kosong",IF($O250="","No. HP kosong",IF(AND($R250&lt;&gt;"",$R250&lt;17),"Usia di bawah 17","")))))))))</f>
        <v/>
      </c>
      <c r="Z250" s="40" t="str">
        <f aca="false">IF($B250="","",IF(AND(OR(CARI!$C$5="",ISNUMBER(SEARCH(CARI!$C$5,$B250&amp;" "&amp;$C250&amp;" "&amp;$D250&amp;" "&amp;$O250&amp;" "&amp;$I250&amp;" "&amp;$F250&amp;" "&amp;$J250&amp;" "&amp;$K250&amp;" "&amp;$L250&amp;" "&amp;$V250))),OR(CARI!$C$6="",$F250=CARI!$C$6),OR(CARI!$C$7="",$G250=CARI!$C$7),OR(CARI!$C$8="",$T250=CARI!$C$8)),MAX($Z$3:Z249)+1,""))</f>
        <v/>
      </c>
      <c r="AA250" s="40" t="str">
        <f aca="false">IF($Y250="","",MAX($AA$3:AA249)+1)</f>
        <v/>
      </c>
      <c r="AB250" s="40" t="str">
        <f aca="false">IF($F250="","",$F250&amp;"#"&amp;COUNTIF($F$4:$F250,$F250))</f>
        <v/>
      </c>
      <c r="AC250" s="40" t="str">
        <f aca="false">IF($B250="","",IF(AND(OR(CETAK!$J$10="",$F250=CETAK!$J$10),OR(CETAK!$J$11="",$G250=CETAK!$J$11),OR(CETAK!$J$12="",$P250=CETAK!$J$12),OR(CETAK!$J$13="",$N250=CETAK!$J$13),OR(CETAK!$J$14="",$T250=CETAK!$J$14)),MAX($AC$3:AC249)+1,""))</f>
        <v/>
      </c>
      <c r="AD250" s="40" t="str">
        <f aca="false">IF($B250="","",IF(AND(OR(ABSENSI!$H$10="",$F250=ABSENSI!$H$10),OR(ABSENSI!$H$11="",$G250=ABSENSI!$H$11),OR(ABSENSI!$H$12="",$P250=ABSENSI!$H$12)),MAX($AD$3:AD249)+1,""))</f>
        <v/>
      </c>
      <c r="AE250" s="40" t="str">
        <f aca="false">IF($B250="","",IF(AND(OR(KARTU!$K$6="",$F250=KARTU!$K$6),OR(KARTU!$K$7="",$G250=KARTU!$K$7),OR(KARTU!$K$8="",$P250=KARTU!$K$8)),MAX($AE$3:AE249)+1,""))</f>
        <v/>
      </c>
    </row>
    <row r="251" customFormat="false" ht="15" hidden="false" customHeight="false" outlineLevel="0" collapsed="false">
      <c r="A251" s="35" t="str">
        <f aca="false">IF($B251="","",COUNTA($B$4:$B251))</f>
        <v/>
      </c>
      <c r="B251" s="36"/>
      <c r="C251" s="37"/>
      <c r="D251" s="37"/>
      <c r="E251" s="38"/>
      <c r="F251" s="36"/>
      <c r="G251" s="39"/>
      <c r="H251" s="39"/>
      <c r="I251" s="36"/>
      <c r="J251" s="36"/>
      <c r="K251" s="36"/>
      <c r="L251" s="36"/>
      <c r="M251" s="40" t="str">
        <f aca="false">IF($F251="","",$F251&amp;IF($G251="",""," - RT "&amp;$G251&amp;IF($H251="","","/"&amp;$H251)))</f>
        <v/>
      </c>
      <c r="N251" s="36"/>
      <c r="O251" s="37"/>
      <c r="P251" s="39"/>
      <c r="Q251" s="41"/>
      <c r="R251" s="35" t="str">
        <f aca="true">IF(OR($B251="",$Q251=""),"",DATEDIF($Q251,TODAY(),"Y"))</f>
        <v/>
      </c>
      <c r="S251" s="40" t="str">
        <f aca="false">IF($R251="","",INDEX(usia_label,MATCH($R251,usia_min,1)))</f>
        <v/>
      </c>
      <c r="T251" s="36"/>
      <c r="U251" s="41"/>
      <c r="V251" s="36"/>
      <c r="W251" s="36"/>
      <c r="X251" s="40" t="str">
        <f aca="false">IF($M251="","",$M251&amp;"#"&amp;COUNTIF($M$4:$M251,$M251))</f>
        <v/>
      </c>
      <c r="Y251" s="40" t="str">
        <f aca="false">IF($B251="","",IF($C251="","NIK kosong",IF(LEN($C251)&lt;&gt;16,"NIK bukan 16 digit",IF(COUNTIF($C$4:$C$2003,$C251&amp;"*")&gt;1,"NIK ganda",IF(AND($D251&lt;&gt;"",LEN($D251)&lt;&gt;16),"No. KK bukan 16 digit",IF(AND($F251="",$I251=""),"Alamat kosong",IF($N251="","Jabatan kosong",IF($O251="","No. HP kosong",IF(AND($R251&lt;&gt;"",$R251&lt;17),"Usia di bawah 17","")))))))))</f>
        <v/>
      </c>
      <c r="Z251" s="40" t="str">
        <f aca="false">IF($B251="","",IF(AND(OR(CARI!$C$5="",ISNUMBER(SEARCH(CARI!$C$5,$B251&amp;" "&amp;$C251&amp;" "&amp;$D251&amp;" "&amp;$O251&amp;" "&amp;$I251&amp;" "&amp;$F251&amp;" "&amp;$J251&amp;" "&amp;$K251&amp;" "&amp;$L251&amp;" "&amp;$V251))),OR(CARI!$C$6="",$F251=CARI!$C$6),OR(CARI!$C$7="",$G251=CARI!$C$7),OR(CARI!$C$8="",$T251=CARI!$C$8)),MAX($Z$3:Z250)+1,""))</f>
        <v/>
      </c>
      <c r="AA251" s="40" t="str">
        <f aca="false">IF($Y251="","",MAX($AA$3:AA250)+1)</f>
        <v/>
      </c>
      <c r="AB251" s="40" t="str">
        <f aca="false">IF($F251="","",$F251&amp;"#"&amp;COUNTIF($F$4:$F251,$F251))</f>
        <v/>
      </c>
      <c r="AC251" s="40" t="str">
        <f aca="false">IF($B251="","",IF(AND(OR(CETAK!$J$10="",$F251=CETAK!$J$10),OR(CETAK!$J$11="",$G251=CETAK!$J$11),OR(CETAK!$J$12="",$P251=CETAK!$J$12),OR(CETAK!$J$13="",$N251=CETAK!$J$13),OR(CETAK!$J$14="",$T251=CETAK!$J$14)),MAX($AC$3:AC250)+1,""))</f>
        <v/>
      </c>
      <c r="AD251" s="40" t="str">
        <f aca="false">IF($B251="","",IF(AND(OR(ABSENSI!$H$10="",$F251=ABSENSI!$H$10),OR(ABSENSI!$H$11="",$G251=ABSENSI!$H$11),OR(ABSENSI!$H$12="",$P251=ABSENSI!$H$12)),MAX($AD$3:AD250)+1,""))</f>
        <v/>
      </c>
      <c r="AE251" s="40" t="str">
        <f aca="false">IF($B251="","",IF(AND(OR(KARTU!$K$6="",$F251=KARTU!$K$6),OR(KARTU!$K$7="",$G251=KARTU!$K$7),OR(KARTU!$K$8="",$P251=KARTU!$K$8)),MAX($AE$3:AE250)+1,""))</f>
        <v/>
      </c>
    </row>
    <row r="252" customFormat="false" ht="15" hidden="false" customHeight="false" outlineLevel="0" collapsed="false">
      <c r="A252" s="35" t="str">
        <f aca="false">IF($B252="","",COUNTA($B$4:$B252))</f>
        <v/>
      </c>
      <c r="B252" s="36"/>
      <c r="C252" s="37"/>
      <c r="D252" s="37"/>
      <c r="E252" s="38"/>
      <c r="F252" s="36"/>
      <c r="G252" s="39"/>
      <c r="H252" s="39"/>
      <c r="I252" s="36"/>
      <c r="J252" s="36"/>
      <c r="K252" s="36"/>
      <c r="L252" s="36"/>
      <c r="M252" s="40" t="str">
        <f aca="false">IF($F252="","",$F252&amp;IF($G252="",""," - RT "&amp;$G252&amp;IF($H252="","","/"&amp;$H252)))</f>
        <v/>
      </c>
      <c r="N252" s="36"/>
      <c r="O252" s="37"/>
      <c r="P252" s="39"/>
      <c r="Q252" s="41"/>
      <c r="R252" s="35" t="str">
        <f aca="true">IF(OR($B252="",$Q252=""),"",DATEDIF($Q252,TODAY(),"Y"))</f>
        <v/>
      </c>
      <c r="S252" s="40" t="str">
        <f aca="false">IF($R252="","",INDEX(usia_label,MATCH($R252,usia_min,1)))</f>
        <v/>
      </c>
      <c r="T252" s="36"/>
      <c r="U252" s="41"/>
      <c r="V252" s="36"/>
      <c r="W252" s="36"/>
      <c r="X252" s="40" t="str">
        <f aca="false">IF($M252="","",$M252&amp;"#"&amp;COUNTIF($M$4:$M252,$M252))</f>
        <v/>
      </c>
      <c r="Y252" s="40" t="str">
        <f aca="false">IF($B252="","",IF($C252="","NIK kosong",IF(LEN($C252)&lt;&gt;16,"NIK bukan 16 digit",IF(COUNTIF($C$4:$C$2003,$C252&amp;"*")&gt;1,"NIK ganda",IF(AND($D252&lt;&gt;"",LEN($D252)&lt;&gt;16),"No. KK bukan 16 digit",IF(AND($F252="",$I252=""),"Alamat kosong",IF($N252="","Jabatan kosong",IF($O252="","No. HP kosong",IF(AND($R252&lt;&gt;"",$R252&lt;17),"Usia di bawah 17","")))))))))</f>
        <v/>
      </c>
      <c r="Z252" s="40" t="str">
        <f aca="false">IF($B252="","",IF(AND(OR(CARI!$C$5="",ISNUMBER(SEARCH(CARI!$C$5,$B252&amp;" "&amp;$C252&amp;" "&amp;$D252&amp;" "&amp;$O252&amp;" "&amp;$I252&amp;" "&amp;$F252&amp;" "&amp;$J252&amp;" "&amp;$K252&amp;" "&amp;$L252&amp;" "&amp;$V252))),OR(CARI!$C$6="",$F252=CARI!$C$6),OR(CARI!$C$7="",$G252=CARI!$C$7),OR(CARI!$C$8="",$T252=CARI!$C$8)),MAX($Z$3:Z251)+1,""))</f>
        <v/>
      </c>
      <c r="AA252" s="40" t="str">
        <f aca="false">IF($Y252="","",MAX($AA$3:AA251)+1)</f>
        <v/>
      </c>
      <c r="AB252" s="40" t="str">
        <f aca="false">IF($F252="","",$F252&amp;"#"&amp;COUNTIF($F$4:$F252,$F252))</f>
        <v/>
      </c>
      <c r="AC252" s="40" t="str">
        <f aca="false">IF($B252="","",IF(AND(OR(CETAK!$J$10="",$F252=CETAK!$J$10),OR(CETAK!$J$11="",$G252=CETAK!$J$11),OR(CETAK!$J$12="",$P252=CETAK!$J$12),OR(CETAK!$J$13="",$N252=CETAK!$J$13),OR(CETAK!$J$14="",$T252=CETAK!$J$14)),MAX($AC$3:AC251)+1,""))</f>
        <v/>
      </c>
      <c r="AD252" s="40" t="str">
        <f aca="false">IF($B252="","",IF(AND(OR(ABSENSI!$H$10="",$F252=ABSENSI!$H$10),OR(ABSENSI!$H$11="",$G252=ABSENSI!$H$11),OR(ABSENSI!$H$12="",$P252=ABSENSI!$H$12)),MAX($AD$3:AD251)+1,""))</f>
        <v/>
      </c>
      <c r="AE252" s="40" t="str">
        <f aca="false">IF($B252="","",IF(AND(OR(KARTU!$K$6="",$F252=KARTU!$K$6),OR(KARTU!$K$7="",$G252=KARTU!$K$7),OR(KARTU!$K$8="",$P252=KARTU!$K$8)),MAX($AE$3:AE251)+1,""))</f>
        <v/>
      </c>
    </row>
    <row r="253" customFormat="false" ht="15" hidden="false" customHeight="false" outlineLevel="0" collapsed="false">
      <c r="A253" s="35" t="str">
        <f aca="false">IF($B253="","",COUNTA($B$4:$B253))</f>
        <v/>
      </c>
      <c r="B253" s="36"/>
      <c r="C253" s="37"/>
      <c r="D253" s="37"/>
      <c r="E253" s="38"/>
      <c r="F253" s="36"/>
      <c r="G253" s="39"/>
      <c r="H253" s="39"/>
      <c r="I253" s="36"/>
      <c r="J253" s="36"/>
      <c r="K253" s="36"/>
      <c r="L253" s="36"/>
      <c r="M253" s="40" t="str">
        <f aca="false">IF($F253="","",$F253&amp;IF($G253="",""," - RT "&amp;$G253&amp;IF($H253="","","/"&amp;$H253)))</f>
        <v/>
      </c>
      <c r="N253" s="36"/>
      <c r="O253" s="37"/>
      <c r="P253" s="39"/>
      <c r="Q253" s="41"/>
      <c r="R253" s="35" t="str">
        <f aca="true">IF(OR($B253="",$Q253=""),"",DATEDIF($Q253,TODAY(),"Y"))</f>
        <v/>
      </c>
      <c r="S253" s="40" t="str">
        <f aca="false">IF($R253="","",INDEX(usia_label,MATCH($R253,usia_min,1)))</f>
        <v/>
      </c>
      <c r="T253" s="36"/>
      <c r="U253" s="41"/>
      <c r="V253" s="36"/>
      <c r="W253" s="36"/>
      <c r="X253" s="40" t="str">
        <f aca="false">IF($M253="","",$M253&amp;"#"&amp;COUNTIF($M$4:$M253,$M253))</f>
        <v/>
      </c>
      <c r="Y253" s="40" t="str">
        <f aca="false">IF($B253="","",IF($C253="","NIK kosong",IF(LEN($C253)&lt;&gt;16,"NIK bukan 16 digit",IF(COUNTIF($C$4:$C$2003,$C253&amp;"*")&gt;1,"NIK ganda",IF(AND($D253&lt;&gt;"",LEN($D253)&lt;&gt;16),"No. KK bukan 16 digit",IF(AND($F253="",$I253=""),"Alamat kosong",IF($N253="","Jabatan kosong",IF($O253="","No. HP kosong",IF(AND($R253&lt;&gt;"",$R253&lt;17),"Usia di bawah 17","")))))))))</f>
        <v/>
      </c>
      <c r="Z253" s="40" t="str">
        <f aca="false">IF($B253="","",IF(AND(OR(CARI!$C$5="",ISNUMBER(SEARCH(CARI!$C$5,$B253&amp;" "&amp;$C253&amp;" "&amp;$D253&amp;" "&amp;$O253&amp;" "&amp;$I253&amp;" "&amp;$F253&amp;" "&amp;$J253&amp;" "&amp;$K253&amp;" "&amp;$L253&amp;" "&amp;$V253))),OR(CARI!$C$6="",$F253=CARI!$C$6),OR(CARI!$C$7="",$G253=CARI!$C$7),OR(CARI!$C$8="",$T253=CARI!$C$8)),MAX($Z$3:Z252)+1,""))</f>
        <v/>
      </c>
      <c r="AA253" s="40" t="str">
        <f aca="false">IF($Y253="","",MAX($AA$3:AA252)+1)</f>
        <v/>
      </c>
      <c r="AB253" s="40" t="str">
        <f aca="false">IF($F253="","",$F253&amp;"#"&amp;COUNTIF($F$4:$F253,$F253))</f>
        <v/>
      </c>
      <c r="AC253" s="40" t="str">
        <f aca="false">IF($B253="","",IF(AND(OR(CETAK!$J$10="",$F253=CETAK!$J$10),OR(CETAK!$J$11="",$G253=CETAK!$J$11),OR(CETAK!$J$12="",$P253=CETAK!$J$12),OR(CETAK!$J$13="",$N253=CETAK!$J$13),OR(CETAK!$J$14="",$T253=CETAK!$J$14)),MAX($AC$3:AC252)+1,""))</f>
        <v/>
      </c>
      <c r="AD253" s="40" t="str">
        <f aca="false">IF($B253="","",IF(AND(OR(ABSENSI!$H$10="",$F253=ABSENSI!$H$10),OR(ABSENSI!$H$11="",$G253=ABSENSI!$H$11),OR(ABSENSI!$H$12="",$P253=ABSENSI!$H$12)),MAX($AD$3:AD252)+1,""))</f>
        <v/>
      </c>
      <c r="AE253" s="40" t="str">
        <f aca="false">IF($B253="","",IF(AND(OR(KARTU!$K$6="",$F253=KARTU!$K$6),OR(KARTU!$K$7="",$G253=KARTU!$K$7),OR(KARTU!$K$8="",$P253=KARTU!$K$8)),MAX($AE$3:AE252)+1,""))</f>
        <v/>
      </c>
    </row>
    <row r="254" customFormat="false" ht="15" hidden="false" customHeight="false" outlineLevel="0" collapsed="false">
      <c r="A254" s="35" t="str">
        <f aca="false">IF($B254="","",COUNTA($B$4:$B254))</f>
        <v/>
      </c>
      <c r="B254" s="36"/>
      <c r="C254" s="37"/>
      <c r="D254" s="37"/>
      <c r="E254" s="38"/>
      <c r="F254" s="36"/>
      <c r="G254" s="39"/>
      <c r="H254" s="39"/>
      <c r="I254" s="36"/>
      <c r="J254" s="36"/>
      <c r="K254" s="36"/>
      <c r="L254" s="36"/>
      <c r="M254" s="40" t="str">
        <f aca="false">IF($F254="","",$F254&amp;IF($G254="",""," - RT "&amp;$G254&amp;IF($H254="","","/"&amp;$H254)))</f>
        <v/>
      </c>
      <c r="N254" s="36"/>
      <c r="O254" s="37"/>
      <c r="P254" s="39"/>
      <c r="Q254" s="41"/>
      <c r="R254" s="35" t="str">
        <f aca="true">IF(OR($B254="",$Q254=""),"",DATEDIF($Q254,TODAY(),"Y"))</f>
        <v/>
      </c>
      <c r="S254" s="40" t="str">
        <f aca="false">IF($R254="","",INDEX(usia_label,MATCH($R254,usia_min,1)))</f>
        <v/>
      </c>
      <c r="T254" s="36"/>
      <c r="U254" s="41"/>
      <c r="V254" s="36"/>
      <c r="W254" s="36"/>
      <c r="X254" s="40" t="str">
        <f aca="false">IF($M254="","",$M254&amp;"#"&amp;COUNTIF($M$4:$M254,$M254))</f>
        <v/>
      </c>
      <c r="Y254" s="40" t="str">
        <f aca="false">IF($B254="","",IF($C254="","NIK kosong",IF(LEN($C254)&lt;&gt;16,"NIK bukan 16 digit",IF(COUNTIF($C$4:$C$2003,$C254&amp;"*")&gt;1,"NIK ganda",IF(AND($D254&lt;&gt;"",LEN($D254)&lt;&gt;16),"No. KK bukan 16 digit",IF(AND($F254="",$I254=""),"Alamat kosong",IF($N254="","Jabatan kosong",IF($O254="","No. HP kosong",IF(AND($R254&lt;&gt;"",$R254&lt;17),"Usia di bawah 17","")))))))))</f>
        <v/>
      </c>
      <c r="Z254" s="40" t="str">
        <f aca="false">IF($B254="","",IF(AND(OR(CARI!$C$5="",ISNUMBER(SEARCH(CARI!$C$5,$B254&amp;" "&amp;$C254&amp;" "&amp;$D254&amp;" "&amp;$O254&amp;" "&amp;$I254&amp;" "&amp;$F254&amp;" "&amp;$J254&amp;" "&amp;$K254&amp;" "&amp;$L254&amp;" "&amp;$V254))),OR(CARI!$C$6="",$F254=CARI!$C$6),OR(CARI!$C$7="",$G254=CARI!$C$7),OR(CARI!$C$8="",$T254=CARI!$C$8)),MAX($Z$3:Z253)+1,""))</f>
        <v/>
      </c>
      <c r="AA254" s="40" t="str">
        <f aca="false">IF($Y254="","",MAX($AA$3:AA253)+1)</f>
        <v/>
      </c>
      <c r="AB254" s="40" t="str">
        <f aca="false">IF($F254="","",$F254&amp;"#"&amp;COUNTIF($F$4:$F254,$F254))</f>
        <v/>
      </c>
      <c r="AC254" s="40" t="str">
        <f aca="false">IF($B254="","",IF(AND(OR(CETAK!$J$10="",$F254=CETAK!$J$10),OR(CETAK!$J$11="",$G254=CETAK!$J$11),OR(CETAK!$J$12="",$P254=CETAK!$J$12),OR(CETAK!$J$13="",$N254=CETAK!$J$13),OR(CETAK!$J$14="",$T254=CETAK!$J$14)),MAX($AC$3:AC253)+1,""))</f>
        <v/>
      </c>
      <c r="AD254" s="40" t="str">
        <f aca="false">IF($B254="","",IF(AND(OR(ABSENSI!$H$10="",$F254=ABSENSI!$H$10),OR(ABSENSI!$H$11="",$G254=ABSENSI!$H$11),OR(ABSENSI!$H$12="",$P254=ABSENSI!$H$12)),MAX($AD$3:AD253)+1,""))</f>
        <v/>
      </c>
      <c r="AE254" s="40" t="str">
        <f aca="false">IF($B254="","",IF(AND(OR(KARTU!$K$6="",$F254=KARTU!$K$6),OR(KARTU!$K$7="",$G254=KARTU!$K$7),OR(KARTU!$K$8="",$P254=KARTU!$K$8)),MAX($AE$3:AE253)+1,""))</f>
        <v/>
      </c>
    </row>
    <row r="255" customFormat="false" ht="15" hidden="false" customHeight="false" outlineLevel="0" collapsed="false">
      <c r="A255" s="35" t="str">
        <f aca="false">IF($B255="","",COUNTA($B$4:$B255))</f>
        <v/>
      </c>
      <c r="B255" s="36"/>
      <c r="C255" s="37"/>
      <c r="D255" s="37"/>
      <c r="E255" s="38"/>
      <c r="F255" s="36"/>
      <c r="G255" s="39"/>
      <c r="H255" s="39"/>
      <c r="I255" s="36"/>
      <c r="J255" s="36"/>
      <c r="K255" s="36"/>
      <c r="L255" s="36"/>
      <c r="M255" s="40" t="str">
        <f aca="false">IF($F255="","",$F255&amp;IF($G255="",""," - RT "&amp;$G255&amp;IF($H255="","","/"&amp;$H255)))</f>
        <v/>
      </c>
      <c r="N255" s="36"/>
      <c r="O255" s="37"/>
      <c r="P255" s="39"/>
      <c r="Q255" s="41"/>
      <c r="R255" s="35" t="str">
        <f aca="true">IF(OR($B255="",$Q255=""),"",DATEDIF($Q255,TODAY(),"Y"))</f>
        <v/>
      </c>
      <c r="S255" s="40" t="str">
        <f aca="false">IF($R255="","",INDEX(usia_label,MATCH($R255,usia_min,1)))</f>
        <v/>
      </c>
      <c r="T255" s="36"/>
      <c r="U255" s="41"/>
      <c r="V255" s="36"/>
      <c r="W255" s="36"/>
      <c r="X255" s="40" t="str">
        <f aca="false">IF($M255="","",$M255&amp;"#"&amp;COUNTIF($M$4:$M255,$M255))</f>
        <v/>
      </c>
      <c r="Y255" s="40" t="str">
        <f aca="false">IF($B255="","",IF($C255="","NIK kosong",IF(LEN($C255)&lt;&gt;16,"NIK bukan 16 digit",IF(COUNTIF($C$4:$C$2003,$C255&amp;"*")&gt;1,"NIK ganda",IF(AND($D255&lt;&gt;"",LEN($D255)&lt;&gt;16),"No. KK bukan 16 digit",IF(AND($F255="",$I255=""),"Alamat kosong",IF($N255="","Jabatan kosong",IF($O255="","No. HP kosong",IF(AND($R255&lt;&gt;"",$R255&lt;17),"Usia di bawah 17","")))))))))</f>
        <v/>
      </c>
      <c r="Z255" s="40" t="str">
        <f aca="false">IF($B255="","",IF(AND(OR(CARI!$C$5="",ISNUMBER(SEARCH(CARI!$C$5,$B255&amp;" "&amp;$C255&amp;" "&amp;$D255&amp;" "&amp;$O255&amp;" "&amp;$I255&amp;" "&amp;$F255&amp;" "&amp;$J255&amp;" "&amp;$K255&amp;" "&amp;$L255&amp;" "&amp;$V255))),OR(CARI!$C$6="",$F255=CARI!$C$6),OR(CARI!$C$7="",$G255=CARI!$C$7),OR(CARI!$C$8="",$T255=CARI!$C$8)),MAX($Z$3:Z254)+1,""))</f>
        <v/>
      </c>
      <c r="AA255" s="40" t="str">
        <f aca="false">IF($Y255="","",MAX($AA$3:AA254)+1)</f>
        <v/>
      </c>
      <c r="AB255" s="40" t="str">
        <f aca="false">IF($F255="","",$F255&amp;"#"&amp;COUNTIF($F$4:$F255,$F255))</f>
        <v/>
      </c>
      <c r="AC255" s="40" t="str">
        <f aca="false">IF($B255="","",IF(AND(OR(CETAK!$J$10="",$F255=CETAK!$J$10),OR(CETAK!$J$11="",$G255=CETAK!$J$11),OR(CETAK!$J$12="",$P255=CETAK!$J$12),OR(CETAK!$J$13="",$N255=CETAK!$J$13),OR(CETAK!$J$14="",$T255=CETAK!$J$14)),MAX($AC$3:AC254)+1,""))</f>
        <v/>
      </c>
      <c r="AD255" s="40" t="str">
        <f aca="false">IF($B255="","",IF(AND(OR(ABSENSI!$H$10="",$F255=ABSENSI!$H$10),OR(ABSENSI!$H$11="",$G255=ABSENSI!$H$11),OR(ABSENSI!$H$12="",$P255=ABSENSI!$H$12)),MAX($AD$3:AD254)+1,""))</f>
        <v/>
      </c>
      <c r="AE255" s="40" t="str">
        <f aca="false">IF($B255="","",IF(AND(OR(KARTU!$K$6="",$F255=KARTU!$K$6),OR(KARTU!$K$7="",$G255=KARTU!$K$7),OR(KARTU!$K$8="",$P255=KARTU!$K$8)),MAX($AE$3:AE254)+1,""))</f>
        <v/>
      </c>
    </row>
    <row r="256" customFormat="false" ht="15" hidden="false" customHeight="false" outlineLevel="0" collapsed="false">
      <c r="A256" s="35" t="str">
        <f aca="false">IF($B256="","",COUNTA($B$4:$B256))</f>
        <v/>
      </c>
      <c r="B256" s="36"/>
      <c r="C256" s="37"/>
      <c r="D256" s="37"/>
      <c r="E256" s="38"/>
      <c r="F256" s="36"/>
      <c r="G256" s="39"/>
      <c r="H256" s="39"/>
      <c r="I256" s="36"/>
      <c r="J256" s="36"/>
      <c r="K256" s="36"/>
      <c r="L256" s="36"/>
      <c r="M256" s="40" t="str">
        <f aca="false">IF($F256="","",$F256&amp;IF($G256="",""," - RT "&amp;$G256&amp;IF($H256="","","/"&amp;$H256)))</f>
        <v/>
      </c>
      <c r="N256" s="36"/>
      <c r="O256" s="37"/>
      <c r="P256" s="39"/>
      <c r="Q256" s="41"/>
      <c r="R256" s="35" t="str">
        <f aca="true">IF(OR($B256="",$Q256=""),"",DATEDIF($Q256,TODAY(),"Y"))</f>
        <v/>
      </c>
      <c r="S256" s="40" t="str">
        <f aca="false">IF($R256="","",INDEX(usia_label,MATCH($R256,usia_min,1)))</f>
        <v/>
      </c>
      <c r="T256" s="36"/>
      <c r="U256" s="41"/>
      <c r="V256" s="36"/>
      <c r="W256" s="36"/>
      <c r="X256" s="40" t="str">
        <f aca="false">IF($M256="","",$M256&amp;"#"&amp;COUNTIF($M$4:$M256,$M256))</f>
        <v/>
      </c>
      <c r="Y256" s="40" t="str">
        <f aca="false">IF($B256="","",IF($C256="","NIK kosong",IF(LEN($C256)&lt;&gt;16,"NIK bukan 16 digit",IF(COUNTIF($C$4:$C$2003,$C256&amp;"*")&gt;1,"NIK ganda",IF(AND($D256&lt;&gt;"",LEN($D256)&lt;&gt;16),"No. KK bukan 16 digit",IF(AND($F256="",$I256=""),"Alamat kosong",IF($N256="","Jabatan kosong",IF($O256="","No. HP kosong",IF(AND($R256&lt;&gt;"",$R256&lt;17),"Usia di bawah 17","")))))))))</f>
        <v/>
      </c>
      <c r="Z256" s="40" t="str">
        <f aca="false">IF($B256="","",IF(AND(OR(CARI!$C$5="",ISNUMBER(SEARCH(CARI!$C$5,$B256&amp;" "&amp;$C256&amp;" "&amp;$D256&amp;" "&amp;$O256&amp;" "&amp;$I256&amp;" "&amp;$F256&amp;" "&amp;$J256&amp;" "&amp;$K256&amp;" "&amp;$L256&amp;" "&amp;$V256))),OR(CARI!$C$6="",$F256=CARI!$C$6),OR(CARI!$C$7="",$G256=CARI!$C$7),OR(CARI!$C$8="",$T256=CARI!$C$8)),MAX($Z$3:Z255)+1,""))</f>
        <v/>
      </c>
      <c r="AA256" s="40" t="str">
        <f aca="false">IF($Y256="","",MAX($AA$3:AA255)+1)</f>
        <v/>
      </c>
      <c r="AB256" s="40" t="str">
        <f aca="false">IF($F256="","",$F256&amp;"#"&amp;COUNTIF($F$4:$F256,$F256))</f>
        <v/>
      </c>
      <c r="AC256" s="40" t="str">
        <f aca="false">IF($B256="","",IF(AND(OR(CETAK!$J$10="",$F256=CETAK!$J$10),OR(CETAK!$J$11="",$G256=CETAK!$J$11),OR(CETAK!$J$12="",$P256=CETAK!$J$12),OR(CETAK!$J$13="",$N256=CETAK!$J$13),OR(CETAK!$J$14="",$T256=CETAK!$J$14)),MAX($AC$3:AC255)+1,""))</f>
        <v/>
      </c>
      <c r="AD256" s="40" t="str">
        <f aca="false">IF($B256="","",IF(AND(OR(ABSENSI!$H$10="",$F256=ABSENSI!$H$10),OR(ABSENSI!$H$11="",$G256=ABSENSI!$H$11),OR(ABSENSI!$H$12="",$P256=ABSENSI!$H$12)),MAX($AD$3:AD255)+1,""))</f>
        <v/>
      </c>
      <c r="AE256" s="40" t="str">
        <f aca="false">IF($B256="","",IF(AND(OR(KARTU!$K$6="",$F256=KARTU!$K$6),OR(KARTU!$K$7="",$G256=KARTU!$K$7),OR(KARTU!$K$8="",$P256=KARTU!$K$8)),MAX($AE$3:AE255)+1,""))</f>
        <v/>
      </c>
    </row>
    <row r="257" customFormat="false" ht="15" hidden="false" customHeight="false" outlineLevel="0" collapsed="false">
      <c r="A257" s="35" t="str">
        <f aca="false">IF($B257="","",COUNTA($B$4:$B257))</f>
        <v/>
      </c>
      <c r="B257" s="36"/>
      <c r="C257" s="37"/>
      <c r="D257" s="37"/>
      <c r="E257" s="38"/>
      <c r="F257" s="36"/>
      <c r="G257" s="39"/>
      <c r="H257" s="39"/>
      <c r="I257" s="36"/>
      <c r="J257" s="36"/>
      <c r="K257" s="36"/>
      <c r="L257" s="36"/>
      <c r="M257" s="40" t="str">
        <f aca="false">IF($F257="","",$F257&amp;IF($G257="",""," - RT "&amp;$G257&amp;IF($H257="","","/"&amp;$H257)))</f>
        <v/>
      </c>
      <c r="N257" s="36"/>
      <c r="O257" s="37"/>
      <c r="P257" s="39"/>
      <c r="Q257" s="41"/>
      <c r="R257" s="35" t="str">
        <f aca="true">IF(OR($B257="",$Q257=""),"",DATEDIF($Q257,TODAY(),"Y"))</f>
        <v/>
      </c>
      <c r="S257" s="40" t="str">
        <f aca="false">IF($R257="","",INDEX(usia_label,MATCH($R257,usia_min,1)))</f>
        <v/>
      </c>
      <c r="T257" s="36"/>
      <c r="U257" s="41"/>
      <c r="V257" s="36"/>
      <c r="W257" s="36"/>
      <c r="X257" s="40" t="str">
        <f aca="false">IF($M257="","",$M257&amp;"#"&amp;COUNTIF($M$4:$M257,$M257))</f>
        <v/>
      </c>
      <c r="Y257" s="40" t="str">
        <f aca="false">IF($B257="","",IF($C257="","NIK kosong",IF(LEN($C257)&lt;&gt;16,"NIK bukan 16 digit",IF(COUNTIF($C$4:$C$2003,$C257&amp;"*")&gt;1,"NIK ganda",IF(AND($D257&lt;&gt;"",LEN($D257)&lt;&gt;16),"No. KK bukan 16 digit",IF(AND($F257="",$I257=""),"Alamat kosong",IF($N257="","Jabatan kosong",IF($O257="","No. HP kosong",IF(AND($R257&lt;&gt;"",$R257&lt;17),"Usia di bawah 17","")))))))))</f>
        <v/>
      </c>
      <c r="Z257" s="40" t="str">
        <f aca="false">IF($B257="","",IF(AND(OR(CARI!$C$5="",ISNUMBER(SEARCH(CARI!$C$5,$B257&amp;" "&amp;$C257&amp;" "&amp;$D257&amp;" "&amp;$O257&amp;" "&amp;$I257&amp;" "&amp;$F257&amp;" "&amp;$J257&amp;" "&amp;$K257&amp;" "&amp;$L257&amp;" "&amp;$V257))),OR(CARI!$C$6="",$F257=CARI!$C$6),OR(CARI!$C$7="",$G257=CARI!$C$7),OR(CARI!$C$8="",$T257=CARI!$C$8)),MAX($Z$3:Z256)+1,""))</f>
        <v/>
      </c>
      <c r="AA257" s="40" t="str">
        <f aca="false">IF($Y257="","",MAX($AA$3:AA256)+1)</f>
        <v/>
      </c>
      <c r="AB257" s="40" t="str">
        <f aca="false">IF($F257="","",$F257&amp;"#"&amp;COUNTIF($F$4:$F257,$F257))</f>
        <v/>
      </c>
      <c r="AC257" s="40" t="str">
        <f aca="false">IF($B257="","",IF(AND(OR(CETAK!$J$10="",$F257=CETAK!$J$10),OR(CETAK!$J$11="",$G257=CETAK!$J$11),OR(CETAK!$J$12="",$P257=CETAK!$J$12),OR(CETAK!$J$13="",$N257=CETAK!$J$13),OR(CETAK!$J$14="",$T257=CETAK!$J$14)),MAX($AC$3:AC256)+1,""))</f>
        <v/>
      </c>
      <c r="AD257" s="40" t="str">
        <f aca="false">IF($B257="","",IF(AND(OR(ABSENSI!$H$10="",$F257=ABSENSI!$H$10),OR(ABSENSI!$H$11="",$G257=ABSENSI!$H$11),OR(ABSENSI!$H$12="",$P257=ABSENSI!$H$12)),MAX($AD$3:AD256)+1,""))</f>
        <v/>
      </c>
      <c r="AE257" s="40" t="str">
        <f aca="false">IF($B257="","",IF(AND(OR(KARTU!$K$6="",$F257=KARTU!$K$6),OR(KARTU!$K$7="",$G257=KARTU!$K$7),OR(KARTU!$K$8="",$P257=KARTU!$K$8)),MAX($AE$3:AE256)+1,""))</f>
        <v/>
      </c>
    </row>
    <row r="258" customFormat="false" ht="15" hidden="false" customHeight="false" outlineLevel="0" collapsed="false">
      <c r="A258" s="35" t="str">
        <f aca="false">IF($B258="","",COUNTA($B$4:$B258))</f>
        <v/>
      </c>
      <c r="B258" s="36"/>
      <c r="C258" s="37"/>
      <c r="D258" s="37"/>
      <c r="E258" s="38"/>
      <c r="F258" s="36"/>
      <c r="G258" s="39"/>
      <c r="H258" s="39"/>
      <c r="I258" s="36"/>
      <c r="J258" s="36"/>
      <c r="K258" s="36"/>
      <c r="L258" s="36"/>
      <c r="M258" s="40" t="str">
        <f aca="false">IF($F258="","",$F258&amp;IF($G258="",""," - RT "&amp;$G258&amp;IF($H258="","","/"&amp;$H258)))</f>
        <v/>
      </c>
      <c r="N258" s="36"/>
      <c r="O258" s="37"/>
      <c r="P258" s="39"/>
      <c r="Q258" s="41"/>
      <c r="R258" s="35" t="str">
        <f aca="true">IF(OR($B258="",$Q258=""),"",DATEDIF($Q258,TODAY(),"Y"))</f>
        <v/>
      </c>
      <c r="S258" s="40" t="str">
        <f aca="false">IF($R258="","",INDEX(usia_label,MATCH($R258,usia_min,1)))</f>
        <v/>
      </c>
      <c r="T258" s="36"/>
      <c r="U258" s="41"/>
      <c r="V258" s="36"/>
      <c r="W258" s="36"/>
      <c r="X258" s="40" t="str">
        <f aca="false">IF($M258="","",$M258&amp;"#"&amp;COUNTIF($M$4:$M258,$M258))</f>
        <v/>
      </c>
      <c r="Y258" s="40" t="str">
        <f aca="false">IF($B258="","",IF($C258="","NIK kosong",IF(LEN($C258)&lt;&gt;16,"NIK bukan 16 digit",IF(COUNTIF($C$4:$C$2003,$C258&amp;"*")&gt;1,"NIK ganda",IF(AND($D258&lt;&gt;"",LEN($D258)&lt;&gt;16),"No. KK bukan 16 digit",IF(AND($F258="",$I258=""),"Alamat kosong",IF($N258="","Jabatan kosong",IF($O258="","No. HP kosong",IF(AND($R258&lt;&gt;"",$R258&lt;17),"Usia di bawah 17","")))))))))</f>
        <v/>
      </c>
      <c r="Z258" s="40" t="str">
        <f aca="false">IF($B258="","",IF(AND(OR(CARI!$C$5="",ISNUMBER(SEARCH(CARI!$C$5,$B258&amp;" "&amp;$C258&amp;" "&amp;$D258&amp;" "&amp;$O258&amp;" "&amp;$I258&amp;" "&amp;$F258&amp;" "&amp;$J258&amp;" "&amp;$K258&amp;" "&amp;$L258&amp;" "&amp;$V258))),OR(CARI!$C$6="",$F258=CARI!$C$6),OR(CARI!$C$7="",$G258=CARI!$C$7),OR(CARI!$C$8="",$T258=CARI!$C$8)),MAX($Z$3:Z257)+1,""))</f>
        <v/>
      </c>
      <c r="AA258" s="40" t="str">
        <f aca="false">IF($Y258="","",MAX($AA$3:AA257)+1)</f>
        <v/>
      </c>
      <c r="AB258" s="40" t="str">
        <f aca="false">IF($F258="","",$F258&amp;"#"&amp;COUNTIF($F$4:$F258,$F258))</f>
        <v/>
      </c>
      <c r="AC258" s="40" t="str">
        <f aca="false">IF($B258="","",IF(AND(OR(CETAK!$J$10="",$F258=CETAK!$J$10),OR(CETAK!$J$11="",$G258=CETAK!$J$11),OR(CETAK!$J$12="",$P258=CETAK!$J$12),OR(CETAK!$J$13="",$N258=CETAK!$J$13),OR(CETAK!$J$14="",$T258=CETAK!$J$14)),MAX($AC$3:AC257)+1,""))</f>
        <v/>
      </c>
      <c r="AD258" s="40" t="str">
        <f aca="false">IF($B258="","",IF(AND(OR(ABSENSI!$H$10="",$F258=ABSENSI!$H$10),OR(ABSENSI!$H$11="",$G258=ABSENSI!$H$11),OR(ABSENSI!$H$12="",$P258=ABSENSI!$H$12)),MAX($AD$3:AD257)+1,""))</f>
        <v/>
      </c>
      <c r="AE258" s="40" t="str">
        <f aca="false">IF($B258="","",IF(AND(OR(KARTU!$K$6="",$F258=KARTU!$K$6),OR(KARTU!$K$7="",$G258=KARTU!$K$7),OR(KARTU!$K$8="",$P258=KARTU!$K$8)),MAX($AE$3:AE257)+1,""))</f>
        <v/>
      </c>
    </row>
    <row r="259" customFormat="false" ht="15" hidden="false" customHeight="false" outlineLevel="0" collapsed="false">
      <c r="A259" s="35" t="str">
        <f aca="false">IF($B259="","",COUNTA($B$4:$B259))</f>
        <v/>
      </c>
      <c r="B259" s="36"/>
      <c r="C259" s="37"/>
      <c r="D259" s="37"/>
      <c r="E259" s="38"/>
      <c r="F259" s="36"/>
      <c r="G259" s="39"/>
      <c r="H259" s="39"/>
      <c r="I259" s="36"/>
      <c r="J259" s="36"/>
      <c r="K259" s="36"/>
      <c r="L259" s="36"/>
      <c r="M259" s="40" t="str">
        <f aca="false">IF($F259="","",$F259&amp;IF($G259="",""," - RT "&amp;$G259&amp;IF($H259="","","/"&amp;$H259)))</f>
        <v/>
      </c>
      <c r="N259" s="36"/>
      <c r="O259" s="37"/>
      <c r="P259" s="39"/>
      <c r="Q259" s="41"/>
      <c r="R259" s="35" t="str">
        <f aca="true">IF(OR($B259="",$Q259=""),"",DATEDIF($Q259,TODAY(),"Y"))</f>
        <v/>
      </c>
      <c r="S259" s="40" t="str">
        <f aca="false">IF($R259="","",INDEX(usia_label,MATCH($R259,usia_min,1)))</f>
        <v/>
      </c>
      <c r="T259" s="36"/>
      <c r="U259" s="41"/>
      <c r="V259" s="36"/>
      <c r="W259" s="36"/>
      <c r="X259" s="40" t="str">
        <f aca="false">IF($M259="","",$M259&amp;"#"&amp;COUNTIF($M$4:$M259,$M259))</f>
        <v/>
      </c>
      <c r="Y259" s="40" t="str">
        <f aca="false">IF($B259="","",IF($C259="","NIK kosong",IF(LEN($C259)&lt;&gt;16,"NIK bukan 16 digit",IF(COUNTIF($C$4:$C$2003,$C259&amp;"*")&gt;1,"NIK ganda",IF(AND($D259&lt;&gt;"",LEN($D259)&lt;&gt;16),"No. KK bukan 16 digit",IF(AND($F259="",$I259=""),"Alamat kosong",IF($N259="","Jabatan kosong",IF($O259="","No. HP kosong",IF(AND($R259&lt;&gt;"",$R259&lt;17),"Usia di bawah 17","")))))))))</f>
        <v/>
      </c>
      <c r="Z259" s="40" t="str">
        <f aca="false">IF($B259="","",IF(AND(OR(CARI!$C$5="",ISNUMBER(SEARCH(CARI!$C$5,$B259&amp;" "&amp;$C259&amp;" "&amp;$D259&amp;" "&amp;$O259&amp;" "&amp;$I259&amp;" "&amp;$F259&amp;" "&amp;$J259&amp;" "&amp;$K259&amp;" "&amp;$L259&amp;" "&amp;$V259))),OR(CARI!$C$6="",$F259=CARI!$C$6),OR(CARI!$C$7="",$G259=CARI!$C$7),OR(CARI!$C$8="",$T259=CARI!$C$8)),MAX($Z$3:Z258)+1,""))</f>
        <v/>
      </c>
      <c r="AA259" s="40" t="str">
        <f aca="false">IF($Y259="","",MAX($AA$3:AA258)+1)</f>
        <v/>
      </c>
      <c r="AB259" s="40" t="str">
        <f aca="false">IF($F259="","",$F259&amp;"#"&amp;COUNTIF($F$4:$F259,$F259))</f>
        <v/>
      </c>
      <c r="AC259" s="40" t="str">
        <f aca="false">IF($B259="","",IF(AND(OR(CETAK!$J$10="",$F259=CETAK!$J$10),OR(CETAK!$J$11="",$G259=CETAK!$J$11),OR(CETAK!$J$12="",$P259=CETAK!$J$12),OR(CETAK!$J$13="",$N259=CETAK!$J$13),OR(CETAK!$J$14="",$T259=CETAK!$J$14)),MAX($AC$3:AC258)+1,""))</f>
        <v/>
      </c>
      <c r="AD259" s="40" t="str">
        <f aca="false">IF($B259="","",IF(AND(OR(ABSENSI!$H$10="",$F259=ABSENSI!$H$10),OR(ABSENSI!$H$11="",$G259=ABSENSI!$H$11),OR(ABSENSI!$H$12="",$P259=ABSENSI!$H$12)),MAX($AD$3:AD258)+1,""))</f>
        <v/>
      </c>
      <c r="AE259" s="40" t="str">
        <f aca="false">IF($B259="","",IF(AND(OR(KARTU!$K$6="",$F259=KARTU!$K$6),OR(KARTU!$K$7="",$G259=KARTU!$K$7),OR(KARTU!$K$8="",$P259=KARTU!$K$8)),MAX($AE$3:AE258)+1,""))</f>
        <v/>
      </c>
    </row>
    <row r="260" customFormat="false" ht="15" hidden="false" customHeight="false" outlineLevel="0" collapsed="false">
      <c r="A260" s="35" t="str">
        <f aca="false">IF($B260="","",COUNTA($B$4:$B260))</f>
        <v/>
      </c>
      <c r="B260" s="36"/>
      <c r="C260" s="37"/>
      <c r="D260" s="37"/>
      <c r="E260" s="38"/>
      <c r="F260" s="36"/>
      <c r="G260" s="39"/>
      <c r="H260" s="39"/>
      <c r="I260" s="36"/>
      <c r="J260" s="36"/>
      <c r="K260" s="36"/>
      <c r="L260" s="36"/>
      <c r="M260" s="40" t="str">
        <f aca="false">IF($F260="","",$F260&amp;IF($G260="",""," - RT "&amp;$G260&amp;IF($H260="","","/"&amp;$H260)))</f>
        <v/>
      </c>
      <c r="N260" s="36"/>
      <c r="O260" s="37"/>
      <c r="P260" s="39"/>
      <c r="Q260" s="41"/>
      <c r="R260" s="35" t="str">
        <f aca="true">IF(OR($B260="",$Q260=""),"",DATEDIF($Q260,TODAY(),"Y"))</f>
        <v/>
      </c>
      <c r="S260" s="40" t="str">
        <f aca="false">IF($R260="","",INDEX(usia_label,MATCH($R260,usia_min,1)))</f>
        <v/>
      </c>
      <c r="T260" s="36"/>
      <c r="U260" s="41"/>
      <c r="V260" s="36"/>
      <c r="W260" s="36"/>
      <c r="X260" s="40" t="str">
        <f aca="false">IF($M260="","",$M260&amp;"#"&amp;COUNTIF($M$4:$M260,$M260))</f>
        <v/>
      </c>
      <c r="Y260" s="40" t="str">
        <f aca="false">IF($B260="","",IF($C260="","NIK kosong",IF(LEN($C260)&lt;&gt;16,"NIK bukan 16 digit",IF(COUNTIF($C$4:$C$2003,$C260&amp;"*")&gt;1,"NIK ganda",IF(AND($D260&lt;&gt;"",LEN($D260)&lt;&gt;16),"No. KK bukan 16 digit",IF(AND($F260="",$I260=""),"Alamat kosong",IF($N260="","Jabatan kosong",IF($O260="","No. HP kosong",IF(AND($R260&lt;&gt;"",$R260&lt;17),"Usia di bawah 17","")))))))))</f>
        <v/>
      </c>
      <c r="Z260" s="40" t="str">
        <f aca="false">IF($B260="","",IF(AND(OR(CARI!$C$5="",ISNUMBER(SEARCH(CARI!$C$5,$B260&amp;" "&amp;$C260&amp;" "&amp;$D260&amp;" "&amp;$O260&amp;" "&amp;$I260&amp;" "&amp;$F260&amp;" "&amp;$J260&amp;" "&amp;$K260&amp;" "&amp;$L260&amp;" "&amp;$V260))),OR(CARI!$C$6="",$F260=CARI!$C$6),OR(CARI!$C$7="",$G260=CARI!$C$7),OR(CARI!$C$8="",$T260=CARI!$C$8)),MAX($Z$3:Z259)+1,""))</f>
        <v/>
      </c>
      <c r="AA260" s="40" t="str">
        <f aca="false">IF($Y260="","",MAX($AA$3:AA259)+1)</f>
        <v/>
      </c>
      <c r="AB260" s="40" t="str">
        <f aca="false">IF($F260="","",$F260&amp;"#"&amp;COUNTIF($F$4:$F260,$F260))</f>
        <v/>
      </c>
      <c r="AC260" s="40" t="str">
        <f aca="false">IF($B260="","",IF(AND(OR(CETAK!$J$10="",$F260=CETAK!$J$10),OR(CETAK!$J$11="",$G260=CETAK!$J$11),OR(CETAK!$J$12="",$P260=CETAK!$J$12),OR(CETAK!$J$13="",$N260=CETAK!$J$13),OR(CETAK!$J$14="",$T260=CETAK!$J$14)),MAX($AC$3:AC259)+1,""))</f>
        <v/>
      </c>
      <c r="AD260" s="40" t="str">
        <f aca="false">IF($B260="","",IF(AND(OR(ABSENSI!$H$10="",$F260=ABSENSI!$H$10),OR(ABSENSI!$H$11="",$G260=ABSENSI!$H$11),OR(ABSENSI!$H$12="",$P260=ABSENSI!$H$12)),MAX($AD$3:AD259)+1,""))</f>
        <v/>
      </c>
      <c r="AE260" s="40" t="str">
        <f aca="false">IF($B260="","",IF(AND(OR(KARTU!$K$6="",$F260=KARTU!$K$6),OR(KARTU!$K$7="",$G260=KARTU!$K$7),OR(KARTU!$K$8="",$P260=KARTU!$K$8)),MAX($AE$3:AE259)+1,""))</f>
        <v/>
      </c>
    </row>
    <row r="261" customFormat="false" ht="15" hidden="false" customHeight="false" outlineLevel="0" collapsed="false">
      <c r="A261" s="35" t="str">
        <f aca="false">IF($B261="","",COUNTA($B$4:$B261))</f>
        <v/>
      </c>
      <c r="B261" s="36"/>
      <c r="C261" s="37"/>
      <c r="D261" s="37"/>
      <c r="E261" s="38"/>
      <c r="F261" s="36"/>
      <c r="G261" s="39"/>
      <c r="H261" s="39"/>
      <c r="I261" s="36"/>
      <c r="J261" s="36"/>
      <c r="K261" s="36"/>
      <c r="L261" s="36"/>
      <c r="M261" s="40" t="str">
        <f aca="false">IF($F261="","",$F261&amp;IF($G261="",""," - RT "&amp;$G261&amp;IF($H261="","","/"&amp;$H261)))</f>
        <v/>
      </c>
      <c r="N261" s="36"/>
      <c r="O261" s="37"/>
      <c r="P261" s="39"/>
      <c r="Q261" s="41"/>
      <c r="R261" s="35" t="str">
        <f aca="true">IF(OR($B261="",$Q261=""),"",DATEDIF($Q261,TODAY(),"Y"))</f>
        <v/>
      </c>
      <c r="S261" s="40" t="str">
        <f aca="false">IF($R261="","",INDEX(usia_label,MATCH($R261,usia_min,1)))</f>
        <v/>
      </c>
      <c r="T261" s="36"/>
      <c r="U261" s="41"/>
      <c r="V261" s="36"/>
      <c r="W261" s="36"/>
      <c r="X261" s="40" t="str">
        <f aca="false">IF($M261="","",$M261&amp;"#"&amp;COUNTIF($M$4:$M261,$M261))</f>
        <v/>
      </c>
      <c r="Y261" s="40" t="str">
        <f aca="false">IF($B261="","",IF($C261="","NIK kosong",IF(LEN($C261)&lt;&gt;16,"NIK bukan 16 digit",IF(COUNTIF($C$4:$C$2003,$C261&amp;"*")&gt;1,"NIK ganda",IF(AND($D261&lt;&gt;"",LEN($D261)&lt;&gt;16),"No. KK bukan 16 digit",IF(AND($F261="",$I261=""),"Alamat kosong",IF($N261="","Jabatan kosong",IF($O261="","No. HP kosong",IF(AND($R261&lt;&gt;"",$R261&lt;17),"Usia di bawah 17","")))))))))</f>
        <v/>
      </c>
      <c r="Z261" s="40" t="str">
        <f aca="false">IF($B261="","",IF(AND(OR(CARI!$C$5="",ISNUMBER(SEARCH(CARI!$C$5,$B261&amp;" "&amp;$C261&amp;" "&amp;$D261&amp;" "&amp;$O261&amp;" "&amp;$I261&amp;" "&amp;$F261&amp;" "&amp;$J261&amp;" "&amp;$K261&amp;" "&amp;$L261&amp;" "&amp;$V261))),OR(CARI!$C$6="",$F261=CARI!$C$6),OR(CARI!$C$7="",$G261=CARI!$C$7),OR(CARI!$C$8="",$T261=CARI!$C$8)),MAX($Z$3:Z260)+1,""))</f>
        <v/>
      </c>
      <c r="AA261" s="40" t="str">
        <f aca="false">IF($Y261="","",MAX($AA$3:AA260)+1)</f>
        <v/>
      </c>
      <c r="AB261" s="40" t="str">
        <f aca="false">IF($F261="","",$F261&amp;"#"&amp;COUNTIF($F$4:$F261,$F261))</f>
        <v/>
      </c>
      <c r="AC261" s="40" t="str">
        <f aca="false">IF($B261="","",IF(AND(OR(CETAK!$J$10="",$F261=CETAK!$J$10),OR(CETAK!$J$11="",$G261=CETAK!$J$11),OR(CETAK!$J$12="",$P261=CETAK!$J$12),OR(CETAK!$J$13="",$N261=CETAK!$J$13),OR(CETAK!$J$14="",$T261=CETAK!$J$14)),MAX($AC$3:AC260)+1,""))</f>
        <v/>
      </c>
      <c r="AD261" s="40" t="str">
        <f aca="false">IF($B261="","",IF(AND(OR(ABSENSI!$H$10="",$F261=ABSENSI!$H$10),OR(ABSENSI!$H$11="",$G261=ABSENSI!$H$11),OR(ABSENSI!$H$12="",$P261=ABSENSI!$H$12)),MAX($AD$3:AD260)+1,""))</f>
        <v/>
      </c>
      <c r="AE261" s="40" t="str">
        <f aca="false">IF($B261="","",IF(AND(OR(KARTU!$K$6="",$F261=KARTU!$K$6),OR(KARTU!$K$7="",$G261=KARTU!$K$7),OR(KARTU!$K$8="",$P261=KARTU!$K$8)),MAX($AE$3:AE260)+1,""))</f>
        <v/>
      </c>
    </row>
    <row r="262" customFormat="false" ht="15" hidden="false" customHeight="false" outlineLevel="0" collapsed="false">
      <c r="A262" s="35" t="str">
        <f aca="false">IF($B262="","",COUNTA($B$4:$B262))</f>
        <v/>
      </c>
      <c r="B262" s="36"/>
      <c r="C262" s="37"/>
      <c r="D262" s="37"/>
      <c r="E262" s="38"/>
      <c r="F262" s="36"/>
      <c r="G262" s="39"/>
      <c r="H262" s="39"/>
      <c r="I262" s="36"/>
      <c r="J262" s="36"/>
      <c r="K262" s="36"/>
      <c r="L262" s="36"/>
      <c r="M262" s="40" t="str">
        <f aca="false">IF($F262="","",$F262&amp;IF($G262="",""," - RT "&amp;$G262&amp;IF($H262="","","/"&amp;$H262)))</f>
        <v/>
      </c>
      <c r="N262" s="36"/>
      <c r="O262" s="37"/>
      <c r="P262" s="39"/>
      <c r="Q262" s="41"/>
      <c r="R262" s="35" t="str">
        <f aca="true">IF(OR($B262="",$Q262=""),"",DATEDIF($Q262,TODAY(),"Y"))</f>
        <v/>
      </c>
      <c r="S262" s="40" t="str">
        <f aca="false">IF($R262="","",INDEX(usia_label,MATCH($R262,usia_min,1)))</f>
        <v/>
      </c>
      <c r="T262" s="36"/>
      <c r="U262" s="41"/>
      <c r="V262" s="36"/>
      <c r="W262" s="36"/>
      <c r="X262" s="40" t="str">
        <f aca="false">IF($M262="","",$M262&amp;"#"&amp;COUNTIF($M$4:$M262,$M262))</f>
        <v/>
      </c>
      <c r="Y262" s="40" t="str">
        <f aca="false">IF($B262="","",IF($C262="","NIK kosong",IF(LEN($C262)&lt;&gt;16,"NIK bukan 16 digit",IF(COUNTIF($C$4:$C$2003,$C262&amp;"*")&gt;1,"NIK ganda",IF(AND($D262&lt;&gt;"",LEN($D262)&lt;&gt;16),"No. KK bukan 16 digit",IF(AND($F262="",$I262=""),"Alamat kosong",IF($N262="","Jabatan kosong",IF($O262="","No. HP kosong",IF(AND($R262&lt;&gt;"",$R262&lt;17),"Usia di bawah 17","")))))))))</f>
        <v/>
      </c>
      <c r="Z262" s="40" t="str">
        <f aca="false">IF($B262="","",IF(AND(OR(CARI!$C$5="",ISNUMBER(SEARCH(CARI!$C$5,$B262&amp;" "&amp;$C262&amp;" "&amp;$D262&amp;" "&amp;$O262&amp;" "&amp;$I262&amp;" "&amp;$F262&amp;" "&amp;$J262&amp;" "&amp;$K262&amp;" "&amp;$L262&amp;" "&amp;$V262))),OR(CARI!$C$6="",$F262=CARI!$C$6),OR(CARI!$C$7="",$G262=CARI!$C$7),OR(CARI!$C$8="",$T262=CARI!$C$8)),MAX($Z$3:Z261)+1,""))</f>
        <v/>
      </c>
      <c r="AA262" s="40" t="str">
        <f aca="false">IF($Y262="","",MAX($AA$3:AA261)+1)</f>
        <v/>
      </c>
      <c r="AB262" s="40" t="str">
        <f aca="false">IF($F262="","",$F262&amp;"#"&amp;COUNTIF($F$4:$F262,$F262))</f>
        <v/>
      </c>
      <c r="AC262" s="40" t="str">
        <f aca="false">IF($B262="","",IF(AND(OR(CETAK!$J$10="",$F262=CETAK!$J$10),OR(CETAK!$J$11="",$G262=CETAK!$J$11),OR(CETAK!$J$12="",$P262=CETAK!$J$12),OR(CETAK!$J$13="",$N262=CETAK!$J$13),OR(CETAK!$J$14="",$T262=CETAK!$J$14)),MAX($AC$3:AC261)+1,""))</f>
        <v/>
      </c>
      <c r="AD262" s="40" t="str">
        <f aca="false">IF($B262="","",IF(AND(OR(ABSENSI!$H$10="",$F262=ABSENSI!$H$10),OR(ABSENSI!$H$11="",$G262=ABSENSI!$H$11),OR(ABSENSI!$H$12="",$P262=ABSENSI!$H$12)),MAX($AD$3:AD261)+1,""))</f>
        <v/>
      </c>
      <c r="AE262" s="40" t="str">
        <f aca="false">IF($B262="","",IF(AND(OR(KARTU!$K$6="",$F262=KARTU!$K$6),OR(KARTU!$K$7="",$G262=KARTU!$K$7),OR(KARTU!$K$8="",$P262=KARTU!$K$8)),MAX($AE$3:AE261)+1,""))</f>
        <v/>
      </c>
    </row>
    <row r="263" customFormat="false" ht="15" hidden="false" customHeight="false" outlineLevel="0" collapsed="false">
      <c r="A263" s="35" t="str">
        <f aca="false">IF($B263="","",COUNTA($B$4:$B263))</f>
        <v/>
      </c>
      <c r="B263" s="36"/>
      <c r="C263" s="37"/>
      <c r="D263" s="37"/>
      <c r="E263" s="38"/>
      <c r="F263" s="36"/>
      <c r="G263" s="39"/>
      <c r="H263" s="39"/>
      <c r="I263" s="36"/>
      <c r="J263" s="36"/>
      <c r="K263" s="36"/>
      <c r="L263" s="36"/>
      <c r="M263" s="40" t="str">
        <f aca="false">IF($F263="","",$F263&amp;IF($G263="",""," - RT "&amp;$G263&amp;IF($H263="","","/"&amp;$H263)))</f>
        <v/>
      </c>
      <c r="N263" s="36"/>
      <c r="O263" s="37"/>
      <c r="P263" s="39"/>
      <c r="Q263" s="41"/>
      <c r="R263" s="35" t="str">
        <f aca="true">IF(OR($B263="",$Q263=""),"",DATEDIF($Q263,TODAY(),"Y"))</f>
        <v/>
      </c>
      <c r="S263" s="40" t="str">
        <f aca="false">IF($R263="","",INDEX(usia_label,MATCH($R263,usia_min,1)))</f>
        <v/>
      </c>
      <c r="T263" s="36"/>
      <c r="U263" s="41"/>
      <c r="V263" s="36"/>
      <c r="W263" s="36"/>
      <c r="X263" s="40" t="str">
        <f aca="false">IF($M263="","",$M263&amp;"#"&amp;COUNTIF($M$4:$M263,$M263))</f>
        <v/>
      </c>
      <c r="Y263" s="40" t="str">
        <f aca="false">IF($B263="","",IF($C263="","NIK kosong",IF(LEN($C263)&lt;&gt;16,"NIK bukan 16 digit",IF(COUNTIF($C$4:$C$2003,$C263&amp;"*")&gt;1,"NIK ganda",IF(AND($D263&lt;&gt;"",LEN($D263)&lt;&gt;16),"No. KK bukan 16 digit",IF(AND($F263="",$I263=""),"Alamat kosong",IF($N263="","Jabatan kosong",IF($O263="","No. HP kosong",IF(AND($R263&lt;&gt;"",$R263&lt;17),"Usia di bawah 17","")))))))))</f>
        <v/>
      </c>
      <c r="Z263" s="40" t="str">
        <f aca="false">IF($B263="","",IF(AND(OR(CARI!$C$5="",ISNUMBER(SEARCH(CARI!$C$5,$B263&amp;" "&amp;$C263&amp;" "&amp;$D263&amp;" "&amp;$O263&amp;" "&amp;$I263&amp;" "&amp;$F263&amp;" "&amp;$J263&amp;" "&amp;$K263&amp;" "&amp;$L263&amp;" "&amp;$V263))),OR(CARI!$C$6="",$F263=CARI!$C$6),OR(CARI!$C$7="",$G263=CARI!$C$7),OR(CARI!$C$8="",$T263=CARI!$C$8)),MAX($Z$3:Z262)+1,""))</f>
        <v/>
      </c>
      <c r="AA263" s="40" t="str">
        <f aca="false">IF($Y263="","",MAX($AA$3:AA262)+1)</f>
        <v/>
      </c>
      <c r="AB263" s="40" t="str">
        <f aca="false">IF($F263="","",$F263&amp;"#"&amp;COUNTIF($F$4:$F263,$F263))</f>
        <v/>
      </c>
      <c r="AC263" s="40" t="str">
        <f aca="false">IF($B263="","",IF(AND(OR(CETAK!$J$10="",$F263=CETAK!$J$10),OR(CETAK!$J$11="",$G263=CETAK!$J$11),OR(CETAK!$J$12="",$P263=CETAK!$J$12),OR(CETAK!$J$13="",$N263=CETAK!$J$13),OR(CETAK!$J$14="",$T263=CETAK!$J$14)),MAX($AC$3:AC262)+1,""))</f>
        <v/>
      </c>
      <c r="AD263" s="40" t="str">
        <f aca="false">IF($B263="","",IF(AND(OR(ABSENSI!$H$10="",$F263=ABSENSI!$H$10),OR(ABSENSI!$H$11="",$G263=ABSENSI!$H$11),OR(ABSENSI!$H$12="",$P263=ABSENSI!$H$12)),MAX($AD$3:AD262)+1,""))</f>
        <v/>
      </c>
      <c r="AE263" s="40" t="str">
        <f aca="false">IF($B263="","",IF(AND(OR(KARTU!$K$6="",$F263=KARTU!$K$6),OR(KARTU!$K$7="",$G263=KARTU!$K$7),OR(KARTU!$K$8="",$P263=KARTU!$K$8)),MAX($AE$3:AE262)+1,""))</f>
        <v/>
      </c>
    </row>
    <row r="264" customFormat="false" ht="15" hidden="false" customHeight="false" outlineLevel="0" collapsed="false">
      <c r="A264" s="35" t="str">
        <f aca="false">IF($B264="","",COUNTA($B$4:$B264))</f>
        <v/>
      </c>
      <c r="B264" s="36"/>
      <c r="C264" s="37"/>
      <c r="D264" s="37"/>
      <c r="E264" s="38"/>
      <c r="F264" s="36"/>
      <c r="G264" s="39"/>
      <c r="H264" s="39"/>
      <c r="I264" s="36"/>
      <c r="J264" s="36"/>
      <c r="K264" s="36"/>
      <c r="L264" s="36"/>
      <c r="M264" s="40" t="str">
        <f aca="false">IF($F264="","",$F264&amp;IF($G264="",""," - RT "&amp;$G264&amp;IF($H264="","","/"&amp;$H264)))</f>
        <v/>
      </c>
      <c r="N264" s="36"/>
      <c r="O264" s="37"/>
      <c r="P264" s="39"/>
      <c r="Q264" s="41"/>
      <c r="R264" s="35" t="str">
        <f aca="true">IF(OR($B264="",$Q264=""),"",DATEDIF($Q264,TODAY(),"Y"))</f>
        <v/>
      </c>
      <c r="S264" s="40" t="str">
        <f aca="false">IF($R264="","",INDEX(usia_label,MATCH($R264,usia_min,1)))</f>
        <v/>
      </c>
      <c r="T264" s="36"/>
      <c r="U264" s="41"/>
      <c r="V264" s="36"/>
      <c r="W264" s="36"/>
      <c r="X264" s="40" t="str">
        <f aca="false">IF($M264="","",$M264&amp;"#"&amp;COUNTIF($M$4:$M264,$M264))</f>
        <v/>
      </c>
      <c r="Y264" s="40" t="str">
        <f aca="false">IF($B264="","",IF($C264="","NIK kosong",IF(LEN($C264)&lt;&gt;16,"NIK bukan 16 digit",IF(COUNTIF($C$4:$C$2003,$C264&amp;"*")&gt;1,"NIK ganda",IF(AND($D264&lt;&gt;"",LEN($D264)&lt;&gt;16),"No. KK bukan 16 digit",IF(AND($F264="",$I264=""),"Alamat kosong",IF($N264="","Jabatan kosong",IF($O264="","No. HP kosong",IF(AND($R264&lt;&gt;"",$R264&lt;17),"Usia di bawah 17","")))))))))</f>
        <v/>
      </c>
      <c r="Z264" s="40" t="str">
        <f aca="false">IF($B264="","",IF(AND(OR(CARI!$C$5="",ISNUMBER(SEARCH(CARI!$C$5,$B264&amp;" "&amp;$C264&amp;" "&amp;$D264&amp;" "&amp;$O264&amp;" "&amp;$I264&amp;" "&amp;$F264&amp;" "&amp;$J264&amp;" "&amp;$K264&amp;" "&amp;$L264&amp;" "&amp;$V264))),OR(CARI!$C$6="",$F264=CARI!$C$6),OR(CARI!$C$7="",$G264=CARI!$C$7),OR(CARI!$C$8="",$T264=CARI!$C$8)),MAX($Z$3:Z263)+1,""))</f>
        <v/>
      </c>
      <c r="AA264" s="40" t="str">
        <f aca="false">IF($Y264="","",MAX($AA$3:AA263)+1)</f>
        <v/>
      </c>
      <c r="AB264" s="40" t="str">
        <f aca="false">IF($F264="","",$F264&amp;"#"&amp;COUNTIF($F$4:$F264,$F264))</f>
        <v/>
      </c>
      <c r="AC264" s="40" t="str">
        <f aca="false">IF($B264="","",IF(AND(OR(CETAK!$J$10="",$F264=CETAK!$J$10),OR(CETAK!$J$11="",$G264=CETAK!$J$11),OR(CETAK!$J$12="",$P264=CETAK!$J$12),OR(CETAK!$J$13="",$N264=CETAK!$J$13),OR(CETAK!$J$14="",$T264=CETAK!$J$14)),MAX($AC$3:AC263)+1,""))</f>
        <v/>
      </c>
      <c r="AD264" s="40" t="str">
        <f aca="false">IF($B264="","",IF(AND(OR(ABSENSI!$H$10="",$F264=ABSENSI!$H$10),OR(ABSENSI!$H$11="",$G264=ABSENSI!$H$11),OR(ABSENSI!$H$12="",$P264=ABSENSI!$H$12)),MAX($AD$3:AD263)+1,""))</f>
        <v/>
      </c>
      <c r="AE264" s="40" t="str">
        <f aca="false">IF($B264="","",IF(AND(OR(KARTU!$K$6="",$F264=KARTU!$K$6),OR(KARTU!$K$7="",$G264=KARTU!$K$7),OR(KARTU!$K$8="",$P264=KARTU!$K$8)),MAX($AE$3:AE263)+1,""))</f>
        <v/>
      </c>
    </row>
    <row r="265" customFormat="false" ht="15" hidden="false" customHeight="false" outlineLevel="0" collapsed="false">
      <c r="A265" s="35" t="str">
        <f aca="false">IF($B265="","",COUNTA($B$4:$B265))</f>
        <v/>
      </c>
      <c r="B265" s="36"/>
      <c r="C265" s="37"/>
      <c r="D265" s="37"/>
      <c r="E265" s="38"/>
      <c r="F265" s="36"/>
      <c r="G265" s="39"/>
      <c r="H265" s="39"/>
      <c r="I265" s="36"/>
      <c r="J265" s="36"/>
      <c r="K265" s="36"/>
      <c r="L265" s="36"/>
      <c r="M265" s="40" t="str">
        <f aca="false">IF($F265="","",$F265&amp;IF($G265="",""," - RT "&amp;$G265&amp;IF($H265="","","/"&amp;$H265)))</f>
        <v/>
      </c>
      <c r="N265" s="36"/>
      <c r="O265" s="37"/>
      <c r="P265" s="39"/>
      <c r="Q265" s="41"/>
      <c r="R265" s="35" t="str">
        <f aca="true">IF(OR($B265="",$Q265=""),"",DATEDIF($Q265,TODAY(),"Y"))</f>
        <v/>
      </c>
      <c r="S265" s="40" t="str">
        <f aca="false">IF($R265="","",INDEX(usia_label,MATCH($R265,usia_min,1)))</f>
        <v/>
      </c>
      <c r="T265" s="36"/>
      <c r="U265" s="41"/>
      <c r="V265" s="36"/>
      <c r="W265" s="36"/>
      <c r="X265" s="40" t="str">
        <f aca="false">IF($M265="","",$M265&amp;"#"&amp;COUNTIF($M$4:$M265,$M265))</f>
        <v/>
      </c>
      <c r="Y265" s="40" t="str">
        <f aca="false">IF($B265="","",IF($C265="","NIK kosong",IF(LEN($C265)&lt;&gt;16,"NIK bukan 16 digit",IF(COUNTIF($C$4:$C$2003,$C265&amp;"*")&gt;1,"NIK ganda",IF(AND($D265&lt;&gt;"",LEN($D265)&lt;&gt;16),"No. KK bukan 16 digit",IF(AND($F265="",$I265=""),"Alamat kosong",IF($N265="","Jabatan kosong",IF($O265="","No. HP kosong",IF(AND($R265&lt;&gt;"",$R265&lt;17),"Usia di bawah 17","")))))))))</f>
        <v/>
      </c>
      <c r="Z265" s="40" t="str">
        <f aca="false">IF($B265="","",IF(AND(OR(CARI!$C$5="",ISNUMBER(SEARCH(CARI!$C$5,$B265&amp;" "&amp;$C265&amp;" "&amp;$D265&amp;" "&amp;$O265&amp;" "&amp;$I265&amp;" "&amp;$F265&amp;" "&amp;$J265&amp;" "&amp;$K265&amp;" "&amp;$L265&amp;" "&amp;$V265))),OR(CARI!$C$6="",$F265=CARI!$C$6),OR(CARI!$C$7="",$G265=CARI!$C$7),OR(CARI!$C$8="",$T265=CARI!$C$8)),MAX($Z$3:Z264)+1,""))</f>
        <v/>
      </c>
      <c r="AA265" s="40" t="str">
        <f aca="false">IF($Y265="","",MAX($AA$3:AA264)+1)</f>
        <v/>
      </c>
      <c r="AB265" s="40" t="str">
        <f aca="false">IF($F265="","",$F265&amp;"#"&amp;COUNTIF($F$4:$F265,$F265))</f>
        <v/>
      </c>
      <c r="AC265" s="40" t="str">
        <f aca="false">IF($B265="","",IF(AND(OR(CETAK!$J$10="",$F265=CETAK!$J$10),OR(CETAK!$J$11="",$G265=CETAK!$J$11),OR(CETAK!$J$12="",$P265=CETAK!$J$12),OR(CETAK!$J$13="",$N265=CETAK!$J$13),OR(CETAK!$J$14="",$T265=CETAK!$J$14)),MAX($AC$3:AC264)+1,""))</f>
        <v/>
      </c>
      <c r="AD265" s="40" t="str">
        <f aca="false">IF($B265="","",IF(AND(OR(ABSENSI!$H$10="",$F265=ABSENSI!$H$10),OR(ABSENSI!$H$11="",$G265=ABSENSI!$H$11),OR(ABSENSI!$H$12="",$P265=ABSENSI!$H$12)),MAX($AD$3:AD264)+1,""))</f>
        <v/>
      </c>
      <c r="AE265" s="40" t="str">
        <f aca="false">IF($B265="","",IF(AND(OR(KARTU!$K$6="",$F265=KARTU!$K$6),OR(KARTU!$K$7="",$G265=KARTU!$K$7),OR(KARTU!$K$8="",$P265=KARTU!$K$8)),MAX($AE$3:AE264)+1,""))</f>
        <v/>
      </c>
    </row>
    <row r="266" customFormat="false" ht="15" hidden="false" customHeight="false" outlineLevel="0" collapsed="false">
      <c r="A266" s="35" t="str">
        <f aca="false">IF($B266="","",COUNTA($B$4:$B266))</f>
        <v/>
      </c>
      <c r="B266" s="36"/>
      <c r="C266" s="37"/>
      <c r="D266" s="37"/>
      <c r="E266" s="38"/>
      <c r="F266" s="36"/>
      <c r="G266" s="39"/>
      <c r="H266" s="39"/>
      <c r="I266" s="36"/>
      <c r="J266" s="36"/>
      <c r="K266" s="36"/>
      <c r="L266" s="36"/>
      <c r="M266" s="40" t="str">
        <f aca="false">IF($F266="","",$F266&amp;IF($G266="",""," - RT "&amp;$G266&amp;IF($H266="","","/"&amp;$H266)))</f>
        <v/>
      </c>
      <c r="N266" s="36"/>
      <c r="O266" s="37"/>
      <c r="P266" s="39"/>
      <c r="Q266" s="41"/>
      <c r="R266" s="35" t="str">
        <f aca="true">IF(OR($B266="",$Q266=""),"",DATEDIF($Q266,TODAY(),"Y"))</f>
        <v/>
      </c>
      <c r="S266" s="40" t="str">
        <f aca="false">IF($R266="","",INDEX(usia_label,MATCH($R266,usia_min,1)))</f>
        <v/>
      </c>
      <c r="T266" s="36"/>
      <c r="U266" s="41"/>
      <c r="V266" s="36"/>
      <c r="W266" s="36"/>
      <c r="X266" s="40" t="str">
        <f aca="false">IF($M266="","",$M266&amp;"#"&amp;COUNTIF($M$4:$M266,$M266))</f>
        <v/>
      </c>
      <c r="Y266" s="40" t="str">
        <f aca="false">IF($B266="","",IF($C266="","NIK kosong",IF(LEN($C266)&lt;&gt;16,"NIK bukan 16 digit",IF(COUNTIF($C$4:$C$2003,$C266&amp;"*")&gt;1,"NIK ganda",IF(AND($D266&lt;&gt;"",LEN($D266)&lt;&gt;16),"No. KK bukan 16 digit",IF(AND($F266="",$I266=""),"Alamat kosong",IF($N266="","Jabatan kosong",IF($O266="","No. HP kosong",IF(AND($R266&lt;&gt;"",$R266&lt;17),"Usia di bawah 17","")))))))))</f>
        <v/>
      </c>
      <c r="Z266" s="40" t="str">
        <f aca="false">IF($B266="","",IF(AND(OR(CARI!$C$5="",ISNUMBER(SEARCH(CARI!$C$5,$B266&amp;" "&amp;$C266&amp;" "&amp;$D266&amp;" "&amp;$O266&amp;" "&amp;$I266&amp;" "&amp;$F266&amp;" "&amp;$J266&amp;" "&amp;$K266&amp;" "&amp;$L266&amp;" "&amp;$V266))),OR(CARI!$C$6="",$F266=CARI!$C$6),OR(CARI!$C$7="",$G266=CARI!$C$7),OR(CARI!$C$8="",$T266=CARI!$C$8)),MAX($Z$3:Z265)+1,""))</f>
        <v/>
      </c>
      <c r="AA266" s="40" t="str">
        <f aca="false">IF($Y266="","",MAX($AA$3:AA265)+1)</f>
        <v/>
      </c>
      <c r="AB266" s="40" t="str">
        <f aca="false">IF($F266="","",$F266&amp;"#"&amp;COUNTIF($F$4:$F266,$F266))</f>
        <v/>
      </c>
      <c r="AC266" s="40" t="str">
        <f aca="false">IF($B266="","",IF(AND(OR(CETAK!$J$10="",$F266=CETAK!$J$10),OR(CETAK!$J$11="",$G266=CETAK!$J$11),OR(CETAK!$J$12="",$P266=CETAK!$J$12),OR(CETAK!$J$13="",$N266=CETAK!$J$13),OR(CETAK!$J$14="",$T266=CETAK!$J$14)),MAX($AC$3:AC265)+1,""))</f>
        <v/>
      </c>
      <c r="AD266" s="40" t="str">
        <f aca="false">IF($B266="","",IF(AND(OR(ABSENSI!$H$10="",$F266=ABSENSI!$H$10),OR(ABSENSI!$H$11="",$G266=ABSENSI!$H$11),OR(ABSENSI!$H$12="",$P266=ABSENSI!$H$12)),MAX($AD$3:AD265)+1,""))</f>
        <v/>
      </c>
      <c r="AE266" s="40" t="str">
        <f aca="false">IF($B266="","",IF(AND(OR(KARTU!$K$6="",$F266=KARTU!$K$6),OR(KARTU!$K$7="",$G266=KARTU!$K$7),OR(KARTU!$K$8="",$P266=KARTU!$K$8)),MAX($AE$3:AE265)+1,""))</f>
        <v/>
      </c>
    </row>
    <row r="267" customFormat="false" ht="15" hidden="false" customHeight="false" outlineLevel="0" collapsed="false">
      <c r="A267" s="35" t="str">
        <f aca="false">IF($B267="","",COUNTA($B$4:$B267))</f>
        <v/>
      </c>
      <c r="B267" s="36"/>
      <c r="C267" s="37"/>
      <c r="D267" s="37"/>
      <c r="E267" s="38"/>
      <c r="F267" s="36"/>
      <c r="G267" s="39"/>
      <c r="H267" s="39"/>
      <c r="I267" s="36"/>
      <c r="J267" s="36"/>
      <c r="K267" s="36"/>
      <c r="L267" s="36"/>
      <c r="M267" s="40" t="str">
        <f aca="false">IF($F267="","",$F267&amp;IF($G267="",""," - RT "&amp;$G267&amp;IF($H267="","","/"&amp;$H267)))</f>
        <v/>
      </c>
      <c r="N267" s="36"/>
      <c r="O267" s="37"/>
      <c r="P267" s="39"/>
      <c r="Q267" s="41"/>
      <c r="R267" s="35" t="str">
        <f aca="true">IF(OR($B267="",$Q267=""),"",DATEDIF($Q267,TODAY(),"Y"))</f>
        <v/>
      </c>
      <c r="S267" s="40" t="str">
        <f aca="false">IF($R267="","",INDEX(usia_label,MATCH($R267,usia_min,1)))</f>
        <v/>
      </c>
      <c r="T267" s="36"/>
      <c r="U267" s="41"/>
      <c r="V267" s="36"/>
      <c r="W267" s="36"/>
      <c r="X267" s="40" t="str">
        <f aca="false">IF($M267="","",$M267&amp;"#"&amp;COUNTIF($M$4:$M267,$M267))</f>
        <v/>
      </c>
      <c r="Y267" s="40" t="str">
        <f aca="false">IF($B267="","",IF($C267="","NIK kosong",IF(LEN($C267)&lt;&gt;16,"NIK bukan 16 digit",IF(COUNTIF($C$4:$C$2003,$C267&amp;"*")&gt;1,"NIK ganda",IF(AND($D267&lt;&gt;"",LEN($D267)&lt;&gt;16),"No. KK bukan 16 digit",IF(AND($F267="",$I267=""),"Alamat kosong",IF($N267="","Jabatan kosong",IF($O267="","No. HP kosong",IF(AND($R267&lt;&gt;"",$R267&lt;17),"Usia di bawah 17","")))))))))</f>
        <v/>
      </c>
      <c r="Z267" s="40" t="str">
        <f aca="false">IF($B267="","",IF(AND(OR(CARI!$C$5="",ISNUMBER(SEARCH(CARI!$C$5,$B267&amp;" "&amp;$C267&amp;" "&amp;$D267&amp;" "&amp;$O267&amp;" "&amp;$I267&amp;" "&amp;$F267&amp;" "&amp;$J267&amp;" "&amp;$K267&amp;" "&amp;$L267&amp;" "&amp;$V267))),OR(CARI!$C$6="",$F267=CARI!$C$6),OR(CARI!$C$7="",$G267=CARI!$C$7),OR(CARI!$C$8="",$T267=CARI!$C$8)),MAX($Z$3:Z266)+1,""))</f>
        <v/>
      </c>
      <c r="AA267" s="40" t="str">
        <f aca="false">IF($Y267="","",MAX($AA$3:AA266)+1)</f>
        <v/>
      </c>
      <c r="AB267" s="40" t="str">
        <f aca="false">IF($F267="","",$F267&amp;"#"&amp;COUNTIF($F$4:$F267,$F267))</f>
        <v/>
      </c>
      <c r="AC267" s="40" t="str">
        <f aca="false">IF($B267="","",IF(AND(OR(CETAK!$J$10="",$F267=CETAK!$J$10),OR(CETAK!$J$11="",$G267=CETAK!$J$11),OR(CETAK!$J$12="",$P267=CETAK!$J$12),OR(CETAK!$J$13="",$N267=CETAK!$J$13),OR(CETAK!$J$14="",$T267=CETAK!$J$14)),MAX($AC$3:AC266)+1,""))</f>
        <v/>
      </c>
      <c r="AD267" s="40" t="str">
        <f aca="false">IF($B267="","",IF(AND(OR(ABSENSI!$H$10="",$F267=ABSENSI!$H$10),OR(ABSENSI!$H$11="",$G267=ABSENSI!$H$11),OR(ABSENSI!$H$12="",$P267=ABSENSI!$H$12)),MAX($AD$3:AD266)+1,""))</f>
        <v/>
      </c>
      <c r="AE267" s="40" t="str">
        <f aca="false">IF($B267="","",IF(AND(OR(KARTU!$K$6="",$F267=KARTU!$K$6),OR(KARTU!$K$7="",$G267=KARTU!$K$7),OR(KARTU!$K$8="",$P267=KARTU!$K$8)),MAX($AE$3:AE266)+1,""))</f>
        <v/>
      </c>
    </row>
    <row r="268" customFormat="false" ht="15" hidden="false" customHeight="false" outlineLevel="0" collapsed="false">
      <c r="A268" s="35" t="str">
        <f aca="false">IF($B268="","",COUNTA($B$4:$B268))</f>
        <v/>
      </c>
      <c r="B268" s="36"/>
      <c r="C268" s="37"/>
      <c r="D268" s="37"/>
      <c r="E268" s="38"/>
      <c r="F268" s="36"/>
      <c r="G268" s="39"/>
      <c r="H268" s="39"/>
      <c r="I268" s="36"/>
      <c r="J268" s="36"/>
      <c r="K268" s="36"/>
      <c r="L268" s="36"/>
      <c r="M268" s="40" t="str">
        <f aca="false">IF($F268="","",$F268&amp;IF($G268="",""," - RT "&amp;$G268&amp;IF($H268="","","/"&amp;$H268)))</f>
        <v/>
      </c>
      <c r="N268" s="36"/>
      <c r="O268" s="37"/>
      <c r="P268" s="39"/>
      <c r="Q268" s="41"/>
      <c r="R268" s="35" t="str">
        <f aca="true">IF(OR($B268="",$Q268=""),"",DATEDIF($Q268,TODAY(),"Y"))</f>
        <v/>
      </c>
      <c r="S268" s="40" t="str">
        <f aca="false">IF($R268="","",INDEX(usia_label,MATCH($R268,usia_min,1)))</f>
        <v/>
      </c>
      <c r="T268" s="36"/>
      <c r="U268" s="41"/>
      <c r="V268" s="36"/>
      <c r="W268" s="36"/>
      <c r="X268" s="40" t="str">
        <f aca="false">IF($M268="","",$M268&amp;"#"&amp;COUNTIF($M$4:$M268,$M268))</f>
        <v/>
      </c>
      <c r="Y268" s="40" t="str">
        <f aca="false">IF($B268="","",IF($C268="","NIK kosong",IF(LEN($C268)&lt;&gt;16,"NIK bukan 16 digit",IF(COUNTIF($C$4:$C$2003,$C268&amp;"*")&gt;1,"NIK ganda",IF(AND($D268&lt;&gt;"",LEN($D268)&lt;&gt;16),"No. KK bukan 16 digit",IF(AND($F268="",$I268=""),"Alamat kosong",IF($N268="","Jabatan kosong",IF($O268="","No. HP kosong",IF(AND($R268&lt;&gt;"",$R268&lt;17),"Usia di bawah 17","")))))))))</f>
        <v/>
      </c>
      <c r="Z268" s="40" t="str">
        <f aca="false">IF($B268="","",IF(AND(OR(CARI!$C$5="",ISNUMBER(SEARCH(CARI!$C$5,$B268&amp;" "&amp;$C268&amp;" "&amp;$D268&amp;" "&amp;$O268&amp;" "&amp;$I268&amp;" "&amp;$F268&amp;" "&amp;$J268&amp;" "&amp;$K268&amp;" "&amp;$L268&amp;" "&amp;$V268))),OR(CARI!$C$6="",$F268=CARI!$C$6),OR(CARI!$C$7="",$G268=CARI!$C$7),OR(CARI!$C$8="",$T268=CARI!$C$8)),MAX($Z$3:Z267)+1,""))</f>
        <v/>
      </c>
      <c r="AA268" s="40" t="str">
        <f aca="false">IF($Y268="","",MAX($AA$3:AA267)+1)</f>
        <v/>
      </c>
      <c r="AB268" s="40" t="str">
        <f aca="false">IF($F268="","",$F268&amp;"#"&amp;COUNTIF($F$4:$F268,$F268))</f>
        <v/>
      </c>
      <c r="AC268" s="40" t="str">
        <f aca="false">IF($B268="","",IF(AND(OR(CETAK!$J$10="",$F268=CETAK!$J$10),OR(CETAK!$J$11="",$G268=CETAK!$J$11),OR(CETAK!$J$12="",$P268=CETAK!$J$12),OR(CETAK!$J$13="",$N268=CETAK!$J$13),OR(CETAK!$J$14="",$T268=CETAK!$J$14)),MAX($AC$3:AC267)+1,""))</f>
        <v/>
      </c>
      <c r="AD268" s="40" t="str">
        <f aca="false">IF($B268="","",IF(AND(OR(ABSENSI!$H$10="",$F268=ABSENSI!$H$10),OR(ABSENSI!$H$11="",$G268=ABSENSI!$H$11),OR(ABSENSI!$H$12="",$P268=ABSENSI!$H$12)),MAX($AD$3:AD267)+1,""))</f>
        <v/>
      </c>
      <c r="AE268" s="40" t="str">
        <f aca="false">IF($B268="","",IF(AND(OR(KARTU!$K$6="",$F268=KARTU!$K$6),OR(KARTU!$K$7="",$G268=KARTU!$K$7),OR(KARTU!$K$8="",$P268=KARTU!$K$8)),MAX($AE$3:AE267)+1,""))</f>
        <v/>
      </c>
    </row>
    <row r="269" customFormat="false" ht="15" hidden="false" customHeight="false" outlineLevel="0" collapsed="false">
      <c r="A269" s="35" t="str">
        <f aca="false">IF($B269="","",COUNTA($B$4:$B269))</f>
        <v/>
      </c>
      <c r="B269" s="36"/>
      <c r="C269" s="37"/>
      <c r="D269" s="37"/>
      <c r="E269" s="38"/>
      <c r="F269" s="36"/>
      <c r="G269" s="39"/>
      <c r="H269" s="39"/>
      <c r="I269" s="36"/>
      <c r="J269" s="36"/>
      <c r="K269" s="36"/>
      <c r="L269" s="36"/>
      <c r="M269" s="40" t="str">
        <f aca="false">IF($F269="","",$F269&amp;IF($G269="",""," - RT "&amp;$G269&amp;IF($H269="","","/"&amp;$H269)))</f>
        <v/>
      </c>
      <c r="N269" s="36"/>
      <c r="O269" s="37"/>
      <c r="P269" s="39"/>
      <c r="Q269" s="41"/>
      <c r="R269" s="35" t="str">
        <f aca="true">IF(OR($B269="",$Q269=""),"",DATEDIF($Q269,TODAY(),"Y"))</f>
        <v/>
      </c>
      <c r="S269" s="40" t="str">
        <f aca="false">IF($R269="","",INDEX(usia_label,MATCH($R269,usia_min,1)))</f>
        <v/>
      </c>
      <c r="T269" s="36"/>
      <c r="U269" s="41"/>
      <c r="V269" s="36"/>
      <c r="W269" s="36"/>
      <c r="X269" s="40" t="str">
        <f aca="false">IF($M269="","",$M269&amp;"#"&amp;COUNTIF($M$4:$M269,$M269))</f>
        <v/>
      </c>
      <c r="Y269" s="40" t="str">
        <f aca="false">IF($B269="","",IF($C269="","NIK kosong",IF(LEN($C269)&lt;&gt;16,"NIK bukan 16 digit",IF(COUNTIF($C$4:$C$2003,$C269&amp;"*")&gt;1,"NIK ganda",IF(AND($D269&lt;&gt;"",LEN($D269)&lt;&gt;16),"No. KK bukan 16 digit",IF(AND($F269="",$I269=""),"Alamat kosong",IF($N269="","Jabatan kosong",IF($O269="","No. HP kosong",IF(AND($R269&lt;&gt;"",$R269&lt;17),"Usia di bawah 17","")))))))))</f>
        <v/>
      </c>
      <c r="Z269" s="40" t="str">
        <f aca="false">IF($B269="","",IF(AND(OR(CARI!$C$5="",ISNUMBER(SEARCH(CARI!$C$5,$B269&amp;" "&amp;$C269&amp;" "&amp;$D269&amp;" "&amp;$O269&amp;" "&amp;$I269&amp;" "&amp;$F269&amp;" "&amp;$J269&amp;" "&amp;$K269&amp;" "&amp;$L269&amp;" "&amp;$V269))),OR(CARI!$C$6="",$F269=CARI!$C$6),OR(CARI!$C$7="",$G269=CARI!$C$7),OR(CARI!$C$8="",$T269=CARI!$C$8)),MAX($Z$3:Z268)+1,""))</f>
        <v/>
      </c>
      <c r="AA269" s="40" t="str">
        <f aca="false">IF($Y269="","",MAX($AA$3:AA268)+1)</f>
        <v/>
      </c>
      <c r="AB269" s="40" t="str">
        <f aca="false">IF($F269="","",$F269&amp;"#"&amp;COUNTIF($F$4:$F269,$F269))</f>
        <v/>
      </c>
      <c r="AC269" s="40" t="str">
        <f aca="false">IF($B269="","",IF(AND(OR(CETAK!$J$10="",$F269=CETAK!$J$10),OR(CETAK!$J$11="",$G269=CETAK!$J$11),OR(CETAK!$J$12="",$P269=CETAK!$J$12),OR(CETAK!$J$13="",$N269=CETAK!$J$13),OR(CETAK!$J$14="",$T269=CETAK!$J$14)),MAX($AC$3:AC268)+1,""))</f>
        <v/>
      </c>
      <c r="AD269" s="40" t="str">
        <f aca="false">IF($B269="","",IF(AND(OR(ABSENSI!$H$10="",$F269=ABSENSI!$H$10),OR(ABSENSI!$H$11="",$G269=ABSENSI!$H$11),OR(ABSENSI!$H$12="",$P269=ABSENSI!$H$12)),MAX($AD$3:AD268)+1,""))</f>
        <v/>
      </c>
      <c r="AE269" s="40" t="str">
        <f aca="false">IF($B269="","",IF(AND(OR(KARTU!$K$6="",$F269=KARTU!$K$6),OR(KARTU!$K$7="",$G269=KARTU!$K$7),OR(KARTU!$K$8="",$P269=KARTU!$K$8)),MAX($AE$3:AE268)+1,""))</f>
        <v/>
      </c>
    </row>
    <row r="270" customFormat="false" ht="15" hidden="false" customHeight="false" outlineLevel="0" collapsed="false">
      <c r="A270" s="35" t="str">
        <f aca="false">IF($B270="","",COUNTA($B$4:$B270))</f>
        <v/>
      </c>
      <c r="B270" s="36"/>
      <c r="C270" s="37"/>
      <c r="D270" s="37"/>
      <c r="E270" s="38"/>
      <c r="F270" s="36"/>
      <c r="G270" s="39"/>
      <c r="H270" s="39"/>
      <c r="I270" s="36"/>
      <c r="J270" s="36"/>
      <c r="K270" s="36"/>
      <c r="L270" s="36"/>
      <c r="M270" s="40" t="str">
        <f aca="false">IF($F270="","",$F270&amp;IF($G270="",""," - RT "&amp;$G270&amp;IF($H270="","","/"&amp;$H270)))</f>
        <v/>
      </c>
      <c r="N270" s="36"/>
      <c r="O270" s="37"/>
      <c r="P270" s="39"/>
      <c r="Q270" s="41"/>
      <c r="R270" s="35" t="str">
        <f aca="true">IF(OR($B270="",$Q270=""),"",DATEDIF($Q270,TODAY(),"Y"))</f>
        <v/>
      </c>
      <c r="S270" s="40" t="str">
        <f aca="false">IF($R270="","",INDEX(usia_label,MATCH($R270,usia_min,1)))</f>
        <v/>
      </c>
      <c r="T270" s="36"/>
      <c r="U270" s="41"/>
      <c r="V270" s="36"/>
      <c r="W270" s="36"/>
      <c r="X270" s="40" t="str">
        <f aca="false">IF($M270="","",$M270&amp;"#"&amp;COUNTIF($M$4:$M270,$M270))</f>
        <v/>
      </c>
      <c r="Y270" s="40" t="str">
        <f aca="false">IF($B270="","",IF($C270="","NIK kosong",IF(LEN($C270)&lt;&gt;16,"NIK bukan 16 digit",IF(COUNTIF($C$4:$C$2003,$C270&amp;"*")&gt;1,"NIK ganda",IF(AND($D270&lt;&gt;"",LEN($D270)&lt;&gt;16),"No. KK bukan 16 digit",IF(AND($F270="",$I270=""),"Alamat kosong",IF($N270="","Jabatan kosong",IF($O270="","No. HP kosong",IF(AND($R270&lt;&gt;"",$R270&lt;17),"Usia di bawah 17","")))))))))</f>
        <v/>
      </c>
      <c r="Z270" s="40" t="str">
        <f aca="false">IF($B270="","",IF(AND(OR(CARI!$C$5="",ISNUMBER(SEARCH(CARI!$C$5,$B270&amp;" "&amp;$C270&amp;" "&amp;$D270&amp;" "&amp;$O270&amp;" "&amp;$I270&amp;" "&amp;$F270&amp;" "&amp;$J270&amp;" "&amp;$K270&amp;" "&amp;$L270&amp;" "&amp;$V270))),OR(CARI!$C$6="",$F270=CARI!$C$6),OR(CARI!$C$7="",$G270=CARI!$C$7),OR(CARI!$C$8="",$T270=CARI!$C$8)),MAX($Z$3:Z269)+1,""))</f>
        <v/>
      </c>
      <c r="AA270" s="40" t="str">
        <f aca="false">IF($Y270="","",MAX($AA$3:AA269)+1)</f>
        <v/>
      </c>
      <c r="AB270" s="40" t="str">
        <f aca="false">IF($F270="","",$F270&amp;"#"&amp;COUNTIF($F$4:$F270,$F270))</f>
        <v/>
      </c>
      <c r="AC270" s="40" t="str">
        <f aca="false">IF($B270="","",IF(AND(OR(CETAK!$J$10="",$F270=CETAK!$J$10),OR(CETAK!$J$11="",$G270=CETAK!$J$11),OR(CETAK!$J$12="",$P270=CETAK!$J$12),OR(CETAK!$J$13="",$N270=CETAK!$J$13),OR(CETAK!$J$14="",$T270=CETAK!$J$14)),MAX($AC$3:AC269)+1,""))</f>
        <v/>
      </c>
      <c r="AD270" s="40" t="str">
        <f aca="false">IF($B270="","",IF(AND(OR(ABSENSI!$H$10="",$F270=ABSENSI!$H$10),OR(ABSENSI!$H$11="",$G270=ABSENSI!$H$11),OR(ABSENSI!$H$12="",$P270=ABSENSI!$H$12)),MAX($AD$3:AD269)+1,""))</f>
        <v/>
      </c>
      <c r="AE270" s="40" t="str">
        <f aca="false">IF($B270="","",IF(AND(OR(KARTU!$K$6="",$F270=KARTU!$K$6),OR(KARTU!$K$7="",$G270=KARTU!$K$7),OR(KARTU!$K$8="",$P270=KARTU!$K$8)),MAX($AE$3:AE269)+1,""))</f>
        <v/>
      </c>
    </row>
    <row r="271" customFormat="false" ht="15" hidden="false" customHeight="false" outlineLevel="0" collapsed="false">
      <c r="A271" s="35" t="str">
        <f aca="false">IF($B271="","",COUNTA($B$4:$B271))</f>
        <v/>
      </c>
      <c r="B271" s="36"/>
      <c r="C271" s="37"/>
      <c r="D271" s="37"/>
      <c r="E271" s="38"/>
      <c r="F271" s="36"/>
      <c r="G271" s="39"/>
      <c r="H271" s="39"/>
      <c r="I271" s="36"/>
      <c r="J271" s="36"/>
      <c r="K271" s="36"/>
      <c r="L271" s="36"/>
      <c r="M271" s="40" t="str">
        <f aca="false">IF($F271="","",$F271&amp;IF($G271="",""," - RT "&amp;$G271&amp;IF($H271="","","/"&amp;$H271)))</f>
        <v/>
      </c>
      <c r="N271" s="36"/>
      <c r="O271" s="37"/>
      <c r="P271" s="39"/>
      <c r="Q271" s="41"/>
      <c r="R271" s="35" t="str">
        <f aca="true">IF(OR($B271="",$Q271=""),"",DATEDIF($Q271,TODAY(),"Y"))</f>
        <v/>
      </c>
      <c r="S271" s="40" t="str">
        <f aca="false">IF($R271="","",INDEX(usia_label,MATCH($R271,usia_min,1)))</f>
        <v/>
      </c>
      <c r="T271" s="36"/>
      <c r="U271" s="41"/>
      <c r="V271" s="36"/>
      <c r="W271" s="36"/>
      <c r="X271" s="40" t="str">
        <f aca="false">IF($M271="","",$M271&amp;"#"&amp;COUNTIF($M$4:$M271,$M271))</f>
        <v/>
      </c>
      <c r="Y271" s="40" t="str">
        <f aca="false">IF($B271="","",IF($C271="","NIK kosong",IF(LEN($C271)&lt;&gt;16,"NIK bukan 16 digit",IF(COUNTIF($C$4:$C$2003,$C271&amp;"*")&gt;1,"NIK ganda",IF(AND($D271&lt;&gt;"",LEN($D271)&lt;&gt;16),"No. KK bukan 16 digit",IF(AND($F271="",$I271=""),"Alamat kosong",IF($N271="","Jabatan kosong",IF($O271="","No. HP kosong",IF(AND($R271&lt;&gt;"",$R271&lt;17),"Usia di bawah 17","")))))))))</f>
        <v/>
      </c>
      <c r="Z271" s="40" t="str">
        <f aca="false">IF($B271="","",IF(AND(OR(CARI!$C$5="",ISNUMBER(SEARCH(CARI!$C$5,$B271&amp;" "&amp;$C271&amp;" "&amp;$D271&amp;" "&amp;$O271&amp;" "&amp;$I271&amp;" "&amp;$F271&amp;" "&amp;$J271&amp;" "&amp;$K271&amp;" "&amp;$L271&amp;" "&amp;$V271))),OR(CARI!$C$6="",$F271=CARI!$C$6),OR(CARI!$C$7="",$G271=CARI!$C$7),OR(CARI!$C$8="",$T271=CARI!$C$8)),MAX($Z$3:Z270)+1,""))</f>
        <v/>
      </c>
      <c r="AA271" s="40" t="str">
        <f aca="false">IF($Y271="","",MAX($AA$3:AA270)+1)</f>
        <v/>
      </c>
      <c r="AB271" s="40" t="str">
        <f aca="false">IF($F271="","",$F271&amp;"#"&amp;COUNTIF($F$4:$F271,$F271))</f>
        <v/>
      </c>
      <c r="AC271" s="40" t="str">
        <f aca="false">IF($B271="","",IF(AND(OR(CETAK!$J$10="",$F271=CETAK!$J$10),OR(CETAK!$J$11="",$G271=CETAK!$J$11),OR(CETAK!$J$12="",$P271=CETAK!$J$12),OR(CETAK!$J$13="",$N271=CETAK!$J$13),OR(CETAK!$J$14="",$T271=CETAK!$J$14)),MAX($AC$3:AC270)+1,""))</f>
        <v/>
      </c>
      <c r="AD271" s="40" t="str">
        <f aca="false">IF($B271="","",IF(AND(OR(ABSENSI!$H$10="",$F271=ABSENSI!$H$10),OR(ABSENSI!$H$11="",$G271=ABSENSI!$H$11),OR(ABSENSI!$H$12="",$P271=ABSENSI!$H$12)),MAX($AD$3:AD270)+1,""))</f>
        <v/>
      </c>
      <c r="AE271" s="40" t="str">
        <f aca="false">IF($B271="","",IF(AND(OR(KARTU!$K$6="",$F271=KARTU!$K$6),OR(KARTU!$K$7="",$G271=KARTU!$K$7),OR(KARTU!$K$8="",$P271=KARTU!$K$8)),MAX($AE$3:AE270)+1,""))</f>
        <v/>
      </c>
    </row>
    <row r="272" customFormat="false" ht="15" hidden="false" customHeight="false" outlineLevel="0" collapsed="false">
      <c r="A272" s="35" t="str">
        <f aca="false">IF($B272="","",COUNTA($B$4:$B272))</f>
        <v/>
      </c>
      <c r="B272" s="36"/>
      <c r="C272" s="37"/>
      <c r="D272" s="37"/>
      <c r="E272" s="38"/>
      <c r="F272" s="36"/>
      <c r="G272" s="39"/>
      <c r="H272" s="39"/>
      <c r="I272" s="36"/>
      <c r="J272" s="36"/>
      <c r="K272" s="36"/>
      <c r="L272" s="36"/>
      <c r="M272" s="40" t="str">
        <f aca="false">IF($F272="","",$F272&amp;IF($G272="",""," - RT "&amp;$G272&amp;IF($H272="","","/"&amp;$H272)))</f>
        <v/>
      </c>
      <c r="N272" s="36"/>
      <c r="O272" s="37"/>
      <c r="P272" s="39"/>
      <c r="Q272" s="41"/>
      <c r="R272" s="35" t="str">
        <f aca="true">IF(OR($B272="",$Q272=""),"",DATEDIF($Q272,TODAY(),"Y"))</f>
        <v/>
      </c>
      <c r="S272" s="40" t="str">
        <f aca="false">IF($R272="","",INDEX(usia_label,MATCH($R272,usia_min,1)))</f>
        <v/>
      </c>
      <c r="T272" s="36"/>
      <c r="U272" s="41"/>
      <c r="V272" s="36"/>
      <c r="W272" s="36"/>
      <c r="X272" s="40" t="str">
        <f aca="false">IF($M272="","",$M272&amp;"#"&amp;COUNTIF($M$4:$M272,$M272))</f>
        <v/>
      </c>
      <c r="Y272" s="40" t="str">
        <f aca="false">IF($B272="","",IF($C272="","NIK kosong",IF(LEN($C272)&lt;&gt;16,"NIK bukan 16 digit",IF(COUNTIF($C$4:$C$2003,$C272&amp;"*")&gt;1,"NIK ganda",IF(AND($D272&lt;&gt;"",LEN($D272)&lt;&gt;16),"No. KK bukan 16 digit",IF(AND($F272="",$I272=""),"Alamat kosong",IF($N272="","Jabatan kosong",IF($O272="","No. HP kosong",IF(AND($R272&lt;&gt;"",$R272&lt;17),"Usia di bawah 17","")))))))))</f>
        <v/>
      </c>
      <c r="Z272" s="40" t="str">
        <f aca="false">IF($B272="","",IF(AND(OR(CARI!$C$5="",ISNUMBER(SEARCH(CARI!$C$5,$B272&amp;" "&amp;$C272&amp;" "&amp;$D272&amp;" "&amp;$O272&amp;" "&amp;$I272&amp;" "&amp;$F272&amp;" "&amp;$J272&amp;" "&amp;$K272&amp;" "&amp;$L272&amp;" "&amp;$V272))),OR(CARI!$C$6="",$F272=CARI!$C$6),OR(CARI!$C$7="",$G272=CARI!$C$7),OR(CARI!$C$8="",$T272=CARI!$C$8)),MAX($Z$3:Z271)+1,""))</f>
        <v/>
      </c>
      <c r="AA272" s="40" t="str">
        <f aca="false">IF($Y272="","",MAX($AA$3:AA271)+1)</f>
        <v/>
      </c>
      <c r="AB272" s="40" t="str">
        <f aca="false">IF($F272="","",$F272&amp;"#"&amp;COUNTIF($F$4:$F272,$F272))</f>
        <v/>
      </c>
      <c r="AC272" s="40" t="str">
        <f aca="false">IF($B272="","",IF(AND(OR(CETAK!$J$10="",$F272=CETAK!$J$10),OR(CETAK!$J$11="",$G272=CETAK!$J$11),OR(CETAK!$J$12="",$P272=CETAK!$J$12),OR(CETAK!$J$13="",$N272=CETAK!$J$13),OR(CETAK!$J$14="",$T272=CETAK!$J$14)),MAX($AC$3:AC271)+1,""))</f>
        <v/>
      </c>
      <c r="AD272" s="40" t="str">
        <f aca="false">IF($B272="","",IF(AND(OR(ABSENSI!$H$10="",$F272=ABSENSI!$H$10),OR(ABSENSI!$H$11="",$G272=ABSENSI!$H$11),OR(ABSENSI!$H$12="",$P272=ABSENSI!$H$12)),MAX($AD$3:AD271)+1,""))</f>
        <v/>
      </c>
      <c r="AE272" s="40" t="str">
        <f aca="false">IF($B272="","",IF(AND(OR(KARTU!$K$6="",$F272=KARTU!$K$6),OR(KARTU!$K$7="",$G272=KARTU!$K$7),OR(KARTU!$K$8="",$P272=KARTU!$K$8)),MAX($AE$3:AE271)+1,""))</f>
        <v/>
      </c>
    </row>
    <row r="273" customFormat="false" ht="15" hidden="false" customHeight="false" outlineLevel="0" collapsed="false">
      <c r="A273" s="35" t="str">
        <f aca="false">IF($B273="","",COUNTA($B$4:$B273))</f>
        <v/>
      </c>
      <c r="B273" s="36"/>
      <c r="C273" s="37"/>
      <c r="D273" s="37"/>
      <c r="E273" s="38"/>
      <c r="F273" s="36"/>
      <c r="G273" s="39"/>
      <c r="H273" s="39"/>
      <c r="I273" s="36"/>
      <c r="J273" s="36"/>
      <c r="K273" s="36"/>
      <c r="L273" s="36"/>
      <c r="M273" s="40" t="str">
        <f aca="false">IF($F273="","",$F273&amp;IF($G273="",""," - RT "&amp;$G273&amp;IF($H273="","","/"&amp;$H273)))</f>
        <v/>
      </c>
      <c r="N273" s="36"/>
      <c r="O273" s="37"/>
      <c r="P273" s="39"/>
      <c r="Q273" s="41"/>
      <c r="R273" s="35" t="str">
        <f aca="true">IF(OR($B273="",$Q273=""),"",DATEDIF($Q273,TODAY(),"Y"))</f>
        <v/>
      </c>
      <c r="S273" s="40" t="str">
        <f aca="false">IF($R273="","",INDEX(usia_label,MATCH($R273,usia_min,1)))</f>
        <v/>
      </c>
      <c r="T273" s="36"/>
      <c r="U273" s="41"/>
      <c r="V273" s="36"/>
      <c r="W273" s="36"/>
      <c r="X273" s="40" t="str">
        <f aca="false">IF($M273="","",$M273&amp;"#"&amp;COUNTIF($M$4:$M273,$M273))</f>
        <v/>
      </c>
      <c r="Y273" s="40" t="str">
        <f aca="false">IF($B273="","",IF($C273="","NIK kosong",IF(LEN($C273)&lt;&gt;16,"NIK bukan 16 digit",IF(COUNTIF($C$4:$C$2003,$C273&amp;"*")&gt;1,"NIK ganda",IF(AND($D273&lt;&gt;"",LEN($D273)&lt;&gt;16),"No. KK bukan 16 digit",IF(AND($F273="",$I273=""),"Alamat kosong",IF($N273="","Jabatan kosong",IF($O273="","No. HP kosong",IF(AND($R273&lt;&gt;"",$R273&lt;17),"Usia di bawah 17","")))))))))</f>
        <v/>
      </c>
      <c r="Z273" s="40" t="str">
        <f aca="false">IF($B273="","",IF(AND(OR(CARI!$C$5="",ISNUMBER(SEARCH(CARI!$C$5,$B273&amp;" "&amp;$C273&amp;" "&amp;$D273&amp;" "&amp;$O273&amp;" "&amp;$I273&amp;" "&amp;$F273&amp;" "&amp;$J273&amp;" "&amp;$K273&amp;" "&amp;$L273&amp;" "&amp;$V273))),OR(CARI!$C$6="",$F273=CARI!$C$6),OR(CARI!$C$7="",$G273=CARI!$C$7),OR(CARI!$C$8="",$T273=CARI!$C$8)),MAX($Z$3:Z272)+1,""))</f>
        <v/>
      </c>
      <c r="AA273" s="40" t="str">
        <f aca="false">IF($Y273="","",MAX($AA$3:AA272)+1)</f>
        <v/>
      </c>
      <c r="AB273" s="40" t="str">
        <f aca="false">IF($F273="","",$F273&amp;"#"&amp;COUNTIF($F$4:$F273,$F273))</f>
        <v/>
      </c>
      <c r="AC273" s="40" t="str">
        <f aca="false">IF($B273="","",IF(AND(OR(CETAK!$J$10="",$F273=CETAK!$J$10),OR(CETAK!$J$11="",$G273=CETAK!$J$11),OR(CETAK!$J$12="",$P273=CETAK!$J$12),OR(CETAK!$J$13="",$N273=CETAK!$J$13),OR(CETAK!$J$14="",$T273=CETAK!$J$14)),MAX($AC$3:AC272)+1,""))</f>
        <v/>
      </c>
      <c r="AD273" s="40" t="str">
        <f aca="false">IF($B273="","",IF(AND(OR(ABSENSI!$H$10="",$F273=ABSENSI!$H$10),OR(ABSENSI!$H$11="",$G273=ABSENSI!$H$11),OR(ABSENSI!$H$12="",$P273=ABSENSI!$H$12)),MAX($AD$3:AD272)+1,""))</f>
        <v/>
      </c>
      <c r="AE273" s="40" t="str">
        <f aca="false">IF($B273="","",IF(AND(OR(KARTU!$K$6="",$F273=KARTU!$K$6),OR(KARTU!$K$7="",$G273=KARTU!$K$7),OR(KARTU!$K$8="",$P273=KARTU!$K$8)),MAX($AE$3:AE272)+1,""))</f>
        <v/>
      </c>
    </row>
    <row r="274" customFormat="false" ht="15" hidden="false" customHeight="false" outlineLevel="0" collapsed="false">
      <c r="A274" s="35" t="str">
        <f aca="false">IF($B274="","",COUNTA($B$4:$B274))</f>
        <v/>
      </c>
      <c r="B274" s="36"/>
      <c r="C274" s="37"/>
      <c r="D274" s="37"/>
      <c r="E274" s="38"/>
      <c r="F274" s="36"/>
      <c r="G274" s="39"/>
      <c r="H274" s="39"/>
      <c r="I274" s="36"/>
      <c r="J274" s="36"/>
      <c r="K274" s="36"/>
      <c r="L274" s="36"/>
      <c r="M274" s="40" t="str">
        <f aca="false">IF($F274="","",$F274&amp;IF($G274="",""," - RT "&amp;$G274&amp;IF($H274="","","/"&amp;$H274)))</f>
        <v/>
      </c>
      <c r="N274" s="36"/>
      <c r="O274" s="37"/>
      <c r="P274" s="39"/>
      <c r="Q274" s="41"/>
      <c r="R274" s="35" t="str">
        <f aca="true">IF(OR($B274="",$Q274=""),"",DATEDIF($Q274,TODAY(),"Y"))</f>
        <v/>
      </c>
      <c r="S274" s="40" t="str">
        <f aca="false">IF($R274="","",INDEX(usia_label,MATCH($R274,usia_min,1)))</f>
        <v/>
      </c>
      <c r="T274" s="36"/>
      <c r="U274" s="41"/>
      <c r="V274" s="36"/>
      <c r="W274" s="36"/>
      <c r="X274" s="40" t="str">
        <f aca="false">IF($M274="","",$M274&amp;"#"&amp;COUNTIF($M$4:$M274,$M274))</f>
        <v/>
      </c>
      <c r="Y274" s="40" t="str">
        <f aca="false">IF($B274="","",IF($C274="","NIK kosong",IF(LEN($C274)&lt;&gt;16,"NIK bukan 16 digit",IF(COUNTIF($C$4:$C$2003,$C274&amp;"*")&gt;1,"NIK ganda",IF(AND($D274&lt;&gt;"",LEN($D274)&lt;&gt;16),"No. KK bukan 16 digit",IF(AND($F274="",$I274=""),"Alamat kosong",IF($N274="","Jabatan kosong",IF($O274="","No. HP kosong",IF(AND($R274&lt;&gt;"",$R274&lt;17),"Usia di bawah 17","")))))))))</f>
        <v/>
      </c>
      <c r="Z274" s="40" t="str">
        <f aca="false">IF($B274="","",IF(AND(OR(CARI!$C$5="",ISNUMBER(SEARCH(CARI!$C$5,$B274&amp;" "&amp;$C274&amp;" "&amp;$D274&amp;" "&amp;$O274&amp;" "&amp;$I274&amp;" "&amp;$F274&amp;" "&amp;$J274&amp;" "&amp;$K274&amp;" "&amp;$L274&amp;" "&amp;$V274))),OR(CARI!$C$6="",$F274=CARI!$C$6),OR(CARI!$C$7="",$G274=CARI!$C$7),OR(CARI!$C$8="",$T274=CARI!$C$8)),MAX($Z$3:Z273)+1,""))</f>
        <v/>
      </c>
      <c r="AA274" s="40" t="str">
        <f aca="false">IF($Y274="","",MAX($AA$3:AA273)+1)</f>
        <v/>
      </c>
      <c r="AB274" s="40" t="str">
        <f aca="false">IF($F274="","",$F274&amp;"#"&amp;COUNTIF($F$4:$F274,$F274))</f>
        <v/>
      </c>
      <c r="AC274" s="40" t="str">
        <f aca="false">IF($B274="","",IF(AND(OR(CETAK!$J$10="",$F274=CETAK!$J$10),OR(CETAK!$J$11="",$G274=CETAK!$J$11),OR(CETAK!$J$12="",$P274=CETAK!$J$12),OR(CETAK!$J$13="",$N274=CETAK!$J$13),OR(CETAK!$J$14="",$T274=CETAK!$J$14)),MAX($AC$3:AC273)+1,""))</f>
        <v/>
      </c>
      <c r="AD274" s="40" t="str">
        <f aca="false">IF($B274="","",IF(AND(OR(ABSENSI!$H$10="",$F274=ABSENSI!$H$10),OR(ABSENSI!$H$11="",$G274=ABSENSI!$H$11),OR(ABSENSI!$H$12="",$P274=ABSENSI!$H$12)),MAX($AD$3:AD273)+1,""))</f>
        <v/>
      </c>
      <c r="AE274" s="40" t="str">
        <f aca="false">IF($B274="","",IF(AND(OR(KARTU!$K$6="",$F274=KARTU!$K$6),OR(KARTU!$K$7="",$G274=KARTU!$K$7),OR(KARTU!$K$8="",$P274=KARTU!$K$8)),MAX($AE$3:AE273)+1,""))</f>
        <v/>
      </c>
    </row>
    <row r="275" customFormat="false" ht="15" hidden="false" customHeight="false" outlineLevel="0" collapsed="false">
      <c r="A275" s="35" t="str">
        <f aca="false">IF($B275="","",COUNTA($B$4:$B275))</f>
        <v/>
      </c>
      <c r="B275" s="36"/>
      <c r="C275" s="37"/>
      <c r="D275" s="37"/>
      <c r="E275" s="38"/>
      <c r="F275" s="36"/>
      <c r="G275" s="39"/>
      <c r="H275" s="39"/>
      <c r="I275" s="36"/>
      <c r="J275" s="36"/>
      <c r="K275" s="36"/>
      <c r="L275" s="36"/>
      <c r="M275" s="40" t="str">
        <f aca="false">IF($F275="","",$F275&amp;IF($G275="",""," - RT "&amp;$G275&amp;IF($H275="","","/"&amp;$H275)))</f>
        <v/>
      </c>
      <c r="N275" s="36"/>
      <c r="O275" s="37"/>
      <c r="P275" s="39"/>
      <c r="Q275" s="41"/>
      <c r="R275" s="35" t="str">
        <f aca="true">IF(OR($B275="",$Q275=""),"",DATEDIF($Q275,TODAY(),"Y"))</f>
        <v/>
      </c>
      <c r="S275" s="40" t="str">
        <f aca="false">IF($R275="","",INDEX(usia_label,MATCH($R275,usia_min,1)))</f>
        <v/>
      </c>
      <c r="T275" s="36"/>
      <c r="U275" s="41"/>
      <c r="V275" s="36"/>
      <c r="W275" s="36"/>
      <c r="X275" s="40" t="str">
        <f aca="false">IF($M275="","",$M275&amp;"#"&amp;COUNTIF($M$4:$M275,$M275))</f>
        <v/>
      </c>
      <c r="Y275" s="40" t="str">
        <f aca="false">IF($B275="","",IF($C275="","NIK kosong",IF(LEN($C275)&lt;&gt;16,"NIK bukan 16 digit",IF(COUNTIF($C$4:$C$2003,$C275&amp;"*")&gt;1,"NIK ganda",IF(AND($D275&lt;&gt;"",LEN($D275)&lt;&gt;16),"No. KK bukan 16 digit",IF(AND($F275="",$I275=""),"Alamat kosong",IF($N275="","Jabatan kosong",IF($O275="","No. HP kosong",IF(AND($R275&lt;&gt;"",$R275&lt;17),"Usia di bawah 17","")))))))))</f>
        <v/>
      </c>
      <c r="Z275" s="40" t="str">
        <f aca="false">IF($B275="","",IF(AND(OR(CARI!$C$5="",ISNUMBER(SEARCH(CARI!$C$5,$B275&amp;" "&amp;$C275&amp;" "&amp;$D275&amp;" "&amp;$O275&amp;" "&amp;$I275&amp;" "&amp;$F275&amp;" "&amp;$J275&amp;" "&amp;$K275&amp;" "&amp;$L275&amp;" "&amp;$V275))),OR(CARI!$C$6="",$F275=CARI!$C$6),OR(CARI!$C$7="",$G275=CARI!$C$7),OR(CARI!$C$8="",$T275=CARI!$C$8)),MAX($Z$3:Z274)+1,""))</f>
        <v/>
      </c>
      <c r="AA275" s="40" t="str">
        <f aca="false">IF($Y275="","",MAX($AA$3:AA274)+1)</f>
        <v/>
      </c>
      <c r="AB275" s="40" t="str">
        <f aca="false">IF($F275="","",$F275&amp;"#"&amp;COUNTIF($F$4:$F275,$F275))</f>
        <v/>
      </c>
      <c r="AC275" s="40" t="str">
        <f aca="false">IF($B275="","",IF(AND(OR(CETAK!$J$10="",$F275=CETAK!$J$10),OR(CETAK!$J$11="",$G275=CETAK!$J$11),OR(CETAK!$J$12="",$P275=CETAK!$J$12),OR(CETAK!$J$13="",$N275=CETAK!$J$13),OR(CETAK!$J$14="",$T275=CETAK!$J$14)),MAX($AC$3:AC274)+1,""))</f>
        <v/>
      </c>
      <c r="AD275" s="40" t="str">
        <f aca="false">IF($B275="","",IF(AND(OR(ABSENSI!$H$10="",$F275=ABSENSI!$H$10),OR(ABSENSI!$H$11="",$G275=ABSENSI!$H$11),OR(ABSENSI!$H$12="",$P275=ABSENSI!$H$12)),MAX($AD$3:AD274)+1,""))</f>
        <v/>
      </c>
      <c r="AE275" s="40" t="str">
        <f aca="false">IF($B275="","",IF(AND(OR(KARTU!$K$6="",$F275=KARTU!$K$6),OR(KARTU!$K$7="",$G275=KARTU!$K$7),OR(KARTU!$K$8="",$P275=KARTU!$K$8)),MAX($AE$3:AE274)+1,""))</f>
        <v/>
      </c>
    </row>
    <row r="276" customFormat="false" ht="15" hidden="false" customHeight="false" outlineLevel="0" collapsed="false">
      <c r="A276" s="35" t="str">
        <f aca="false">IF($B276="","",COUNTA($B$4:$B276))</f>
        <v/>
      </c>
      <c r="B276" s="36"/>
      <c r="C276" s="37"/>
      <c r="D276" s="37"/>
      <c r="E276" s="38"/>
      <c r="F276" s="36"/>
      <c r="G276" s="39"/>
      <c r="H276" s="39"/>
      <c r="I276" s="36"/>
      <c r="J276" s="36"/>
      <c r="K276" s="36"/>
      <c r="L276" s="36"/>
      <c r="M276" s="40" t="str">
        <f aca="false">IF($F276="","",$F276&amp;IF($G276="",""," - RT "&amp;$G276&amp;IF($H276="","","/"&amp;$H276)))</f>
        <v/>
      </c>
      <c r="N276" s="36"/>
      <c r="O276" s="37"/>
      <c r="P276" s="39"/>
      <c r="Q276" s="41"/>
      <c r="R276" s="35" t="str">
        <f aca="true">IF(OR($B276="",$Q276=""),"",DATEDIF($Q276,TODAY(),"Y"))</f>
        <v/>
      </c>
      <c r="S276" s="40" t="str">
        <f aca="false">IF($R276="","",INDEX(usia_label,MATCH($R276,usia_min,1)))</f>
        <v/>
      </c>
      <c r="T276" s="36"/>
      <c r="U276" s="41"/>
      <c r="V276" s="36"/>
      <c r="W276" s="36"/>
      <c r="X276" s="40" t="str">
        <f aca="false">IF($M276="","",$M276&amp;"#"&amp;COUNTIF($M$4:$M276,$M276))</f>
        <v/>
      </c>
      <c r="Y276" s="40" t="str">
        <f aca="false">IF($B276="","",IF($C276="","NIK kosong",IF(LEN($C276)&lt;&gt;16,"NIK bukan 16 digit",IF(COUNTIF($C$4:$C$2003,$C276&amp;"*")&gt;1,"NIK ganda",IF(AND($D276&lt;&gt;"",LEN($D276)&lt;&gt;16),"No. KK bukan 16 digit",IF(AND($F276="",$I276=""),"Alamat kosong",IF($N276="","Jabatan kosong",IF($O276="","No. HP kosong",IF(AND($R276&lt;&gt;"",$R276&lt;17),"Usia di bawah 17","")))))))))</f>
        <v/>
      </c>
      <c r="Z276" s="40" t="str">
        <f aca="false">IF($B276="","",IF(AND(OR(CARI!$C$5="",ISNUMBER(SEARCH(CARI!$C$5,$B276&amp;" "&amp;$C276&amp;" "&amp;$D276&amp;" "&amp;$O276&amp;" "&amp;$I276&amp;" "&amp;$F276&amp;" "&amp;$J276&amp;" "&amp;$K276&amp;" "&amp;$L276&amp;" "&amp;$V276))),OR(CARI!$C$6="",$F276=CARI!$C$6),OR(CARI!$C$7="",$G276=CARI!$C$7),OR(CARI!$C$8="",$T276=CARI!$C$8)),MAX($Z$3:Z275)+1,""))</f>
        <v/>
      </c>
      <c r="AA276" s="40" t="str">
        <f aca="false">IF($Y276="","",MAX($AA$3:AA275)+1)</f>
        <v/>
      </c>
      <c r="AB276" s="40" t="str">
        <f aca="false">IF($F276="","",$F276&amp;"#"&amp;COUNTIF($F$4:$F276,$F276))</f>
        <v/>
      </c>
      <c r="AC276" s="40" t="str">
        <f aca="false">IF($B276="","",IF(AND(OR(CETAK!$J$10="",$F276=CETAK!$J$10),OR(CETAK!$J$11="",$G276=CETAK!$J$11),OR(CETAK!$J$12="",$P276=CETAK!$J$12),OR(CETAK!$J$13="",$N276=CETAK!$J$13),OR(CETAK!$J$14="",$T276=CETAK!$J$14)),MAX($AC$3:AC275)+1,""))</f>
        <v/>
      </c>
      <c r="AD276" s="40" t="str">
        <f aca="false">IF($B276="","",IF(AND(OR(ABSENSI!$H$10="",$F276=ABSENSI!$H$10),OR(ABSENSI!$H$11="",$G276=ABSENSI!$H$11),OR(ABSENSI!$H$12="",$P276=ABSENSI!$H$12)),MAX($AD$3:AD275)+1,""))</f>
        <v/>
      </c>
      <c r="AE276" s="40" t="str">
        <f aca="false">IF($B276="","",IF(AND(OR(KARTU!$K$6="",$F276=KARTU!$K$6),OR(KARTU!$K$7="",$G276=KARTU!$K$7),OR(KARTU!$K$8="",$P276=KARTU!$K$8)),MAX($AE$3:AE275)+1,""))</f>
        <v/>
      </c>
    </row>
    <row r="277" customFormat="false" ht="15" hidden="false" customHeight="false" outlineLevel="0" collapsed="false">
      <c r="A277" s="35" t="str">
        <f aca="false">IF($B277="","",COUNTA($B$4:$B277))</f>
        <v/>
      </c>
      <c r="B277" s="36"/>
      <c r="C277" s="37"/>
      <c r="D277" s="37"/>
      <c r="E277" s="38"/>
      <c r="F277" s="36"/>
      <c r="G277" s="39"/>
      <c r="H277" s="39"/>
      <c r="I277" s="36"/>
      <c r="J277" s="36"/>
      <c r="K277" s="36"/>
      <c r="L277" s="36"/>
      <c r="M277" s="40" t="str">
        <f aca="false">IF($F277="","",$F277&amp;IF($G277="",""," - RT "&amp;$G277&amp;IF($H277="","","/"&amp;$H277)))</f>
        <v/>
      </c>
      <c r="N277" s="36"/>
      <c r="O277" s="37"/>
      <c r="P277" s="39"/>
      <c r="Q277" s="41"/>
      <c r="R277" s="35" t="str">
        <f aca="true">IF(OR($B277="",$Q277=""),"",DATEDIF($Q277,TODAY(),"Y"))</f>
        <v/>
      </c>
      <c r="S277" s="40" t="str">
        <f aca="false">IF($R277="","",INDEX(usia_label,MATCH($R277,usia_min,1)))</f>
        <v/>
      </c>
      <c r="T277" s="36"/>
      <c r="U277" s="41"/>
      <c r="V277" s="36"/>
      <c r="W277" s="36"/>
      <c r="X277" s="40" t="str">
        <f aca="false">IF($M277="","",$M277&amp;"#"&amp;COUNTIF($M$4:$M277,$M277))</f>
        <v/>
      </c>
      <c r="Y277" s="40" t="str">
        <f aca="false">IF($B277="","",IF($C277="","NIK kosong",IF(LEN($C277)&lt;&gt;16,"NIK bukan 16 digit",IF(COUNTIF($C$4:$C$2003,$C277&amp;"*")&gt;1,"NIK ganda",IF(AND($D277&lt;&gt;"",LEN($D277)&lt;&gt;16),"No. KK bukan 16 digit",IF(AND($F277="",$I277=""),"Alamat kosong",IF($N277="","Jabatan kosong",IF($O277="","No. HP kosong",IF(AND($R277&lt;&gt;"",$R277&lt;17),"Usia di bawah 17","")))))))))</f>
        <v/>
      </c>
      <c r="Z277" s="40" t="str">
        <f aca="false">IF($B277="","",IF(AND(OR(CARI!$C$5="",ISNUMBER(SEARCH(CARI!$C$5,$B277&amp;" "&amp;$C277&amp;" "&amp;$D277&amp;" "&amp;$O277&amp;" "&amp;$I277&amp;" "&amp;$F277&amp;" "&amp;$J277&amp;" "&amp;$K277&amp;" "&amp;$L277&amp;" "&amp;$V277))),OR(CARI!$C$6="",$F277=CARI!$C$6),OR(CARI!$C$7="",$G277=CARI!$C$7),OR(CARI!$C$8="",$T277=CARI!$C$8)),MAX($Z$3:Z276)+1,""))</f>
        <v/>
      </c>
      <c r="AA277" s="40" t="str">
        <f aca="false">IF($Y277="","",MAX($AA$3:AA276)+1)</f>
        <v/>
      </c>
      <c r="AB277" s="40" t="str">
        <f aca="false">IF($F277="","",$F277&amp;"#"&amp;COUNTIF($F$4:$F277,$F277))</f>
        <v/>
      </c>
      <c r="AC277" s="40" t="str">
        <f aca="false">IF($B277="","",IF(AND(OR(CETAK!$J$10="",$F277=CETAK!$J$10),OR(CETAK!$J$11="",$G277=CETAK!$J$11),OR(CETAK!$J$12="",$P277=CETAK!$J$12),OR(CETAK!$J$13="",$N277=CETAK!$J$13),OR(CETAK!$J$14="",$T277=CETAK!$J$14)),MAX($AC$3:AC276)+1,""))</f>
        <v/>
      </c>
      <c r="AD277" s="40" t="str">
        <f aca="false">IF($B277="","",IF(AND(OR(ABSENSI!$H$10="",$F277=ABSENSI!$H$10),OR(ABSENSI!$H$11="",$G277=ABSENSI!$H$11),OR(ABSENSI!$H$12="",$P277=ABSENSI!$H$12)),MAX($AD$3:AD276)+1,""))</f>
        <v/>
      </c>
      <c r="AE277" s="40" t="str">
        <f aca="false">IF($B277="","",IF(AND(OR(KARTU!$K$6="",$F277=KARTU!$K$6),OR(KARTU!$K$7="",$G277=KARTU!$K$7),OR(KARTU!$K$8="",$P277=KARTU!$K$8)),MAX($AE$3:AE276)+1,""))</f>
        <v/>
      </c>
    </row>
    <row r="278" customFormat="false" ht="15" hidden="false" customHeight="false" outlineLevel="0" collapsed="false">
      <c r="A278" s="35" t="str">
        <f aca="false">IF($B278="","",COUNTA($B$4:$B278))</f>
        <v/>
      </c>
      <c r="B278" s="36"/>
      <c r="C278" s="37"/>
      <c r="D278" s="37"/>
      <c r="E278" s="38"/>
      <c r="F278" s="36"/>
      <c r="G278" s="39"/>
      <c r="H278" s="39"/>
      <c r="I278" s="36"/>
      <c r="J278" s="36"/>
      <c r="K278" s="36"/>
      <c r="L278" s="36"/>
      <c r="M278" s="40" t="str">
        <f aca="false">IF($F278="","",$F278&amp;IF($G278="",""," - RT "&amp;$G278&amp;IF($H278="","","/"&amp;$H278)))</f>
        <v/>
      </c>
      <c r="N278" s="36"/>
      <c r="O278" s="37"/>
      <c r="P278" s="39"/>
      <c r="Q278" s="41"/>
      <c r="R278" s="35" t="str">
        <f aca="true">IF(OR($B278="",$Q278=""),"",DATEDIF($Q278,TODAY(),"Y"))</f>
        <v/>
      </c>
      <c r="S278" s="40" t="str">
        <f aca="false">IF($R278="","",INDEX(usia_label,MATCH($R278,usia_min,1)))</f>
        <v/>
      </c>
      <c r="T278" s="36"/>
      <c r="U278" s="41"/>
      <c r="V278" s="36"/>
      <c r="W278" s="36"/>
      <c r="X278" s="40" t="str">
        <f aca="false">IF($M278="","",$M278&amp;"#"&amp;COUNTIF($M$4:$M278,$M278))</f>
        <v/>
      </c>
      <c r="Y278" s="40" t="str">
        <f aca="false">IF($B278="","",IF($C278="","NIK kosong",IF(LEN($C278)&lt;&gt;16,"NIK bukan 16 digit",IF(COUNTIF($C$4:$C$2003,$C278&amp;"*")&gt;1,"NIK ganda",IF(AND($D278&lt;&gt;"",LEN($D278)&lt;&gt;16),"No. KK bukan 16 digit",IF(AND($F278="",$I278=""),"Alamat kosong",IF($N278="","Jabatan kosong",IF($O278="","No. HP kosong",IF(AND($R278&lt;&gt;"",$R278&lt;17),"Usia di bawah 17","")))))))))</f>
        <v/>
      </c>
      <c r="Z278" s="40" t="str">
        <f aca="false">IF($B278="","",IF(AND(OR(CARI!$C$5="",ISNUMBER(SEARCH(CARI!$C$5,$B278&amp;" "&amp;$C278&amp;" "&amp;$D278&amp;" "&amp;$O278&amp;" "&amp;$I278&amp;" "&amp;$F278&amp;" "&amp;$J278&amp;" "&amp;$K278&amp;" "&amp;$L278&amp;" "&amp;$V278))),OR(CARI!$C$6="",$F278=CARI!$C$6),OR(CARI!$C$7="",$G278=CARI!$C$7),OR(CARI!$C$8="",$T278=CARI!$C$8)),MAX($Z$3:Z277)+1,""))</f>
        <v/>
      </c>
      <c r="AA278" s="40" t="str">
        <f aca="false">IF($Y278="","",MAX($AA$3:AA277)+1)</f>
        <v/>
      </c>
      <c r="AB278" s="40" t="str">
        <f aca="false">IF($F278="","",$F278&amp;"#"&amp;COUNTIF($F$4:$F278,$F278))</f>
        <v/>
      </c>
      <c r="AC278" s="40" t="str">
        <f aca="false">IF($B278="","",IF(AND(OR(CETAK!$J$10="",$F278=CETAK!$J$10),OR(CETAK!$J$11="",$G278=CETAK!$J$11),OR(CETAK!$J$12="",$P278=CETAK!$J$12),OR(CETAK!$J$13="",$N278=CETAK!$J$13),OR(CETAK!$J$14="",$T278=CETAK!$J$14)),MAX($AC$3:AC277)+1,""))</f>
        <v/>
      </c>
      <c r="AD278" s="40" t="str">
        <f aca="false">IF($B278="","",IF(AND(OR(ABSENSI!$H$10="",$F278=ABSENSI!$H$10),OR(ABSENSI!$H$11="",$G278=ABSENSI!$H$11),OR(ABSENSI!$H$12="",$P278=ABSENSI!$H$12)),MAX($AD$3:AD277)+1,""))</f>
        <v/>
      </c>
      <c r="AE278" s="40" t="str">
        <f aca="false">IF($B278="","",IF(AND(OR(KARTU!$K$6="",$F278=KARTU!$K$6),OR(KARTU!$K$7="",$G278=KARTU!$K$7),OR(KARTU!$K$8="",$P278=KARTU!$K$8)),MAX($AE$3:AE277)+1,""))</f>
        <v/>
      </c>
    </row>
    <row r="279" customFormat="false" ht="15" hidden="false" customHeight="false" outlineLevel="0" collapsed="false">
      <c r="A279" s="35" t="str">
        <f aca="false">IF($B279="","",COUNTA($B$4:$B279))</f>
        <v/>
      </c>
      <c r="B279" s="36"/>
      <c r="C279" s="37"/>
      <c r="D279" s="37"/>
      <c r="E279" s="38"/>
      <c r="F279" s="36"/>
      <c r="G279" s="39"/>
      <c r="H279" s="39"/>
      <c r="I279" s="36"/>
      <c r="J279" s="36"/>
      <c r="K279" s="36"/>
      <c r="L279" s="36"/>
      <c r="M279" s="40" t="str">
        <f aca="false">IF($F279="","",$F279&amp;IF($G279="",""," - RT "&amp;$G279&amp;IF($H279="","","/"&amp;$H279)))</f>
        <v/>
      </c>
      <c r="N279" s="36"/>
      <c r="O279" s="37"/>
      <c r="P279" s="39"/>
      <c r="Q279" s="41"/>
      <c r="R279" s="35" t="str">
        <f aca="true">IF(OR($B279="",$Q279=""),"",DATEDIF($Q279,TODAY(),"Y"))</f>
        <v/>
      </c>
      <c r="S279" s="40" t="str">
        <f aca="false">IF($R279="","",INDEX(usia_label,MATCH($R279,usia_min,1)))</f>
        <v/>
      </c>
      <c r="T279" s="36"/>
      <c r="U279" s="41"/>
      <c r="V279" s="36"/>
      <c r="W279" s="36"/>
      <c r="X279" s="40" t="str">
        <f aca="false">IF($M279="","",$M279&amp;"#"&amp;COUNTIF($M$4:$M279,$M279))</f>
        <v/>
      </c>
      <c r="Y279" s="40" t="str">
        <f aca="false">IF($B279="","",IF($C279="","NIK kosong",IF(LEN($C279)&lt;&gt;16,"NIK bukan 16 digit",IF(COUNTIF($C$4:$C$2003,$C279&amp;"*")&gt;1,"NIK ganda",IF(AND($D279&lt;&gt;"",LEN($D279)&lt;&gt;16),"No. KK bukan 16 digit",IF(AND($F279="",$I279=""),"Alamat kosong",IF($N279="","Jabatan kosong",IF($O279="","No. HP kosong",IF(AND($R279&lt;&gt;"",$R279&lt;17),"Usia di bawah 17","")))))))))</f>
        <v/>
      </c>
      <c r="Z279" s="40" t="str">
        <f aca="false">IF($B279="","",IF(AND(OR(CARI!$C$5="",ISNUMBER(SEARCH(CARI!$C$5,$B279&amp;" "&amp;$C279&amp;" "&amp;$D279&amp;" "&amp;$O279&amp;" "&amp;$I279&amp;" "&amp;$F279&amp;" "&amp;$J279&amp;" "&amp;$K279&amp;" "&amp;$L279&amp;" "&amp;$V279))),OR(CARI!$C$6="",$F279=CARI!$C$6),OR(CARI!$C$7="",$G279=CARI!$C$7),OR(CARI!$C$8="",$T279=CARI!$C$8)),MAX($Z$3:Z278)+1,""))</f>
        <v/>
      </c>
      <c r="AA279" s="40" t="str">
        <f aca="false">IF($Y279="","",MAX($AA$3:AA278)+1)</f>
        <v/>
      </c>
      <c r="AB279" s="40" t="str">
        <f aca="false">IF($F279="","",$F279&amp;"#"&amp;COUNTIF($F$4:$F279,$F279))</f>
        <v/>
      </c>
      <c r="AC279" s="40" t="str">
        <f aca="false">IF($B279="","",IF(AND(OR(CETAK!$J$10="",$F279=CETAK!$J$10),OR(CETAK!$J$11="",$G279=CETAK!$J$11),OR(CETAK!$J$12="",$P279=CETAK!$J$12),OR(CETAK!$J$13="",$N279=CETAK!$J$13),OR(CETAK!$J$14="",$T279=CETAK!$J$14)),MAX($AC$3:AC278)+1,""))</f>
        <v/>
      </c>
      <c r="AD279" s="40" t="str">
        <f aca="false">IF($B279="","",IF(AND(OR(ABSENSI!$H$10="",$F279=ABSENSI!$H$10),OR(ABSENSI!$H$11="",$G279=ABSENSI!$H$11),OR(ABSENSI!$H$12="",$P279=ABSENSI!$H$12)),MAX($AD$3:AD278)+1,""))</f>
        <v/>
      </c>
      <c r="AE279" s="40" t="str">
        <f aca="false">IF($B279="","",IF(AND(OR(KARTU!$K$6="",$F279=KARTU!$K$6),OR(KARTU!$K$7="",$G279=KARTU!$K$7),OR(KARTU!$K$8="",$P279=KARTU!$K$8)),MAX($AE$3:AE278)+1,""))</f>
        <v/>
      </c>
    </row>
    <row r="280" customFormat="false" ht="15" hidden="false" customHeight="false" outlineLevel="0" collapsed="false">
      <c r="A280" s="35" t="str">
        <f aca="false">IF($B280="","",COUNTA($B$4:$B280))</f>
        <v/>
      </c>
      <c r="B280" s="36"/>
      <c r="C280" s="37"/>
      <c r="D280" s="37"/>
      <c r="E280" s="38"/>
      <c r="F280" s="36"/>
      <c r="G280" s="39"/>
      <c r="H280" s="39"/>
      <c r="I280" s="36"/>
      <c r="J280" s="36"/>
      <c r="K280" s="36"/>
      <c r="L280" s="36"/>
      <c r="M280" s="40" t="str">
        <f aca="false">IF($F280="","",$F280&amp;IF($G280="",""," - RT "&amp;$G280&amp;IF($H280="","","/"&amp;$H280)))</f>
        <v/>
      </c>
      <c r="N280" s="36"/>
      <c r="O280" s="37"/>
      <c r="P280" s="39"/>
      <c r="Q280" s="41"/>
      <c r="R280" s="35" t="str">
        <f aca="true">IF(OR($B280="",$Q280=""),"",DATEDIF($Q280,TODAY(),"Y"))</f>
        <v/>
      </c>
      <c r="S280" s="40" t="str">
        <f aca="false">IF($R280="","",INDEX(usia_label,MATCH($R280,usia_min,1)))</f>
        <v/>
      </c>
      <c r="T280" s="36"/>
      <c r="U280" s="41"/>
      <c r="V280" s="36"/>
      <c r="W280" s="36"/>
      <c r="X280" s="40" t="str">
        <f aca="false">IF($M280="","",$M280&amp;"#"&amp;COUNTIF($M$4:$M280,$M280))</f>
        <v/>
      </c>
      <c r="Y280" s="40" t="str">
        <f aca="false">IF($B280="","",IF($C280="","NIK kosong",IF(LEN($C280)&lt;&gt;16,"NIK bukan 16 digit",IF(COUNTIF($C$4:$C$2003,$C280&amp;"*")&gt;1,"NIK ganda",IF(AND($D280&lt;&gt;"",LEN($D280)&lt;&gt;16),"No. KK bukan 16 digit",IF(AND($F280="",$I280=""),"Alamat kosong",IF($N280="","Jabatan kosong",IF($O280="","No. HP kosong",IF(AND($R280&lt;&gt;"",$R280&lt;17),"Usia di bawah 17","")))))))))</f>
        <v/>
      </c>
      <c r="Z280" s="40" t="str">
        <f aca="false">IF($B280="","",IF(AND(OR(CARI!$C$5="",ISNUMBER(SEARCH(CARI!$C$5,$B280&amp;" "&amp;$C280&amp;" "&amp;$D280&amp;" "&amp;$O280&amp;" "&amp;$I280&amp;" "&amp;$F280&amp;" "&amp;$J280&amp;" "&amp;$K280&amp;" "&amp;$L280&amp;" "&amp;$V280))),OR(CARI!$C$6="",$F280=CARI!$C$6),OR(CARI!$C$7="",$G280=CARI!$C$7),OR(CARI!$C$8="",$T280=CARI!$C$8)),MAX($Z$3:Z279)+1,""))</f>
        <v/>
      </c>
      <c r="AA280" s="40" t="str">
        <f aca="false">IF($Y280="","",MAX($AA$3:AA279)+1)</f>
        <v/>
      </c>
      <c r="AB280" s="40" t="str">
        <f aca="false">IF($F280="","",$F280&amp;"#"&amp;COUNTIF($F$4:$F280,$F280))</f>
        <v/>
      </c>
      <c r="AC280" s="40" t="str">
        <f aca="false">IF($B280="","",IF(AND(OR(CETAK!$J$10="",$F280=CETAK!$J$10),OR(CETAK!$J$11="",$G280=CETAK!$J$11),OR(CETAK!$J$12="",$P280=CETAK!$J$12),OR(CETAK!$J$13="",$N280=CETAK!$J$13),OR(CETAK!$J$14="",$T280=CETAK!$J$14)),MAX($AC$3:AC279)+1,""))</f>
        <v/>
      </c>
      <c r="AD280" s="40" t="str">
        <f aca="false">IF($B280="","",IF(AND(OR(ABSENSI!$H$10="",$F280=ABSENSI!$H$10),OR(ABSENSI!$H$11="",$G280=ABSENSI!$H$11),OR(ABSENSI!$H$12="",$P280=ABSENSI!$H$12)),MAX($AD$3:AD279)+1,""))</f>
        <v/>
      </c>
      <c r="AE280" s="40" t="str">
        <f aca="false">IF($B280="","",IF(AND(OR(KARTU!$K$6="",$F280=KARTU!$K$6),OR(KARTU!$K$7="",$G280=KARTU!$K$7),OR(KARTU!$K$8="",$P280=KARTU!$K$8)),MAX($AE$3:AE279)+1,""))</f>
        <v/>
      </c>
    </row>
    <row r="281" customFormat="false" ht="15" hidden="false" customHeight="false" outlineLevel="0" collapsed="false">
      <c r="A281" s="35" t="str">
        <f aca="false">IF($B281="","",COUNTA($B$4:$B281))</f>
        <v/>
      </c>
      <c r="B281" s="36"/>
      <c r="C281" s="37"/>
      <c r="D281" s="37"/>
      <c r="E281" s="38"/>
      <c r="F281" s="36"/>
      <c r="G281" s="39"/>
      <c r="H281" s="39"/>
      <c r="I281" s="36"/>
      <c r="J281" s="36"/>
      <c r="K281" s="36"/>
      <c r="L281" s="36"/>
      <c r="M281" s="40" t="str">
        <f aca="false">IF($F281="","",$F281&amp;IF($G281="",""," - RT "&amp;$G281&amp;IF($H281="","","/"&amp;$H281)))</f>
        <v/>
      </c>
      <c r="N281" s="36"/>
      <c r="O281" s="37"/>
      <c r="P281" s="39"/>
      <c r="Q281" s="41"/>
      <c r="R281" s="35" t="str">
        <f aca="true">IF(OR($B281="",$Q281=""),"",DATEDIF($Q281,TODAY(),"Y"))</f>
        <v/>
      </c>
      <c r="S281" s="40" t="str">
        <f aca="false">IF($R281="","",INDEX(usia_label,MATCH($R281,usia_min,1)))</f>
        <v/>
      </c>
      <c r="T281" s="36"/>
      <c r="U281" s="41"/>
      <c r="V281" s="36"/>
      <c r="W281" s="36"/>
      <c r="X281" s="40" t="str">
        <f aca="false">IF($M281="","",$M281&amp;"#"&amp;COUNTIF($M$4:$M281,$M281))</f>
        <v/>
      </c>
      <c r="Y281" s="40" t="str">
        <f aca="false">IF($B281="","",IF($C281="","NIK kosong",IF(LEN($C281)&lt;&gt;16,"NIK bukan 16 digit",IF(COUNTIF($C$4:$C$2003,$C281&amp;"*")&gt;1,"NIK ganda",IF(AND($D281&lt;&gt;"",LEN($D281)&lt;&gt;16),"No. KK bukan 16 digit",IF(AND($F281="",$I281=""),"Alamat kosong",IF($N281="","Jabatan kosong",IF($O281="","No. HP kosong",IF(AND($R281&lt;&gt;"",$R281&lt;17),"Usia di bawah 17","")))))))))</f>
        <v/>
      </c>
      <c r="Z281" s="40" t="str">
        <f aca="false">IF($B281="","",IF(AND(OR(CARI!$C$5="",ISNUMBER(SEARCH(CARI!$C$5,$B281&amp;" "&amp;$C281&amp;" "&amp;$D281&amp;" "&amp;$O281&amp;" "&amp;$I281&amp;" "&amp;$F281&amp;" "&amp;$J281&amp;" "&amp;$K281&amp;" "&amp;$L281&amp;" "&amp;$V281))),OR(CARI!$C$6="",$F281=CARI!$C$6),OR(CARI!$C$7="",$G281=CARI!$C$7),OR(CARI!$C$8="",$T281=CARI!$C$8)),MAX($Z$3:Z280)+1,""))</f>
        <v/>
      </c>
      <c r="AA281" s="40" t="str">
        <f aca="false">IF($Y281="","",MAX($AA$3:AA280)+1)</f>
        <v/>
      </c>
      <c r="AB281" s="40" t="str">
        <f aca="false">IF($F281="","",$F281&amp;"#"&amp;COUNTIF($F$4:$F281,$F281))</f>
        <v/>
      </c>
      <c r="AC281" s="40" t="str">
        <f aca="false">IF($B281="","",IF(AND(OR(CETAK!$J$10="",$F281=CETAK!$J$10),OR(CETAK!$J$11="",$G281=CETAK!$J$11),OR(CETAK!$J$12="",$P281=CETAK!$J$12),OR(CETAK!$J$13="",$N281=CETAK!$J$13),OR(CETAK!$J$14="",$T281=CETAK!$J$14)),MAX($AC$3:AC280)+1,""))</f>
        <v/>
      </c>
      <c r="AD281" s="40" t="str">
        <f aca="false">IF($B281="","",IF(AND(OR(ABSENSI!$H$10="",$F281=ABSENSI!$H$10),OR(ABSENSI!$H$11="",$G281=ABSENSI!$H$11),OR(ABSENSI!$H$12="",$P281=ABSENSI!$H$12)),MAX($AD$3:AD280)+1,""))</f>
        <v/>
      </c>
      <c r="AE281" s="40" t="str">
        <f aca="false">IF($B281="","",IF(AND(OR(KARTU!$K$6="",$F281=KARTU!$K$6),OR(KARTU!$K$7="",$G281=KARTU!$K$7),OR(KARTU!$K$8="",$P281=KARTU!$K$8)),MAX($AE$3:AE280)+1,""))</f>
        <v/>
      </c>
    </row>
    <row r="282" customFormat="false" ht="15" hidden="false" customHeight="false" outlineLevel="0" collapsed="false">
      <c r="A282" s="35" t="str">
        <f aca="false">IF($B282="","",COUNTA($B$4:$B282))</f>
        <v/>
      </c>
      <c r="B282" s="36"/>
      <c r="C282" s="37"/>
      <c r="D282" s="37"/>
      <c r="E282" s="38"/>
      <c r="F282" s="36"/>
      <c r="G282" s="39"/>
      <c r="H282" s="39"/>
      <c r="I282" s="36"/>
      <c r="J282" s="36"/>
      <c r="K282" s="36"/>
      <c r="L282" s="36"/>
      <c r="M282" s="40" t="str">
        <f aca="false">IF($F282="","",$F282&amp;IF($G282="",""," - RT "&amp;$G282&amp;IF($H282="","","/"&amp;$H282)))</f>
        <v/>
      </c>
      <c r="N282" s="36"/>
      <c r="O282" s="37"/>
      <c r="P282" s="39"/>
      <c r="Q282" s="41"/>
      <c r="R282" s="35" t="str">
        <f aca="true">IF(OR($B282="",$Q282=""),"",DATEDIF($Q282,TODAY(),"Y"))</f>
        <v/>
      </c>
      <c r="S282" s="40" t="str">
        <f aca="false">IF($R282="","",INDEX(usia_label,MATCH($R282,usia_min,1)))</f>
        <v/>
      </c>
      <c r="T282" s="36"/>
      <c r="U282" s="41"/>
      <c r="V282" s="36"/>
      <c r="W282" s="36"/>
      <c r="X282" s="40" t="str">
        <f aca="false">IF($M282="","",$M282&amp;"#"&amp;COUNTIF($M$4:$M282,$M282))</f>
        <v/>
      </c>
      <c r="Y282" s="40" t="str">
        <f aca="false">IF($B282="","",IF($C282="","NIK kosong",IF(LEN($C282)&lt;&gt;16,"NIK bukan 16 digit",IF(COUNTIF($C$4:$C$2003,$C282&amp;"*")&gt;1,"NIK ganda",IF(AND($D282&lt;&gt;"",LEN($D282)&lt;&gt;16),"No. KK bukan 16 digit",IF(AND($F282="",$I282=""),"Alamat kosong",IF($N282="","Jabatan kosong",IF($O282="","No. HP kosong",IF(AND($R282&lt;&gt;"",$R282&lt;17),"Usia di bawah 17","")))))))))</f>
        <v/>
      </c>
      <c r="Z282" s="40" t="str">
        <f aca="false">IF($B282="","",IF(AND(OR(CARI!$C$5="",ISNUMBER(SEARCH(CARI!$C$5,$B282&amp;" "&amp;$C282&amp;" "&amp;$D282&amp;" "&amp;$O282&amp;" "&amp;$I282&amp;" "&amp;$F282&amp;" "&amp;$J282&amp;" "&amp;$K282&amp;" "&amp;$L282&amp;" "&amp;$V282))),OR(CARI!$C$6="",$F282=CARI!$C$6),OR(CARI!$C$7="",$G282=CARI!$C$7),OR(CARI!$C$8="",$T282=CARI!$C$8)),MAX($Z$3:Z281)+1,""))</f>
        <v/>
      </c>
      <c r="AA282" s="40" t="str">
        <f aca="false">IF($Y282="","",MAX($AA$3:AA281)+1)</f>
        <v/>
      </c>
      <c r="AB282" s="40" t="str">
        <f aca="false">IF($F282="","",$F282&amp;"#"&amp;COUNTIF($F$4:$F282,$F282))</f>
        <v/>
      </c>
      <c r="AC282" s="40" t="str">
        <f aca="false">IF($B282="","",IF(AND(OR(CETAK!$J$10="",$F282=CETAK!$J$10),OR(CETAK!$J$11="",$G282=CETAK!$J$11),OR(CETAK!$J$12="",$P282=CETAK!$J$12),OR(CETAK!$J$13="",$N282=CETAK!$J$13),OR(CETAK!$J$14="",$T282=CETAK!$J$14)),MAX($AC$3:AC281)+1,""))</f>
        <v/>
      </c>
      <c r="AD282" s="40" t="str">
        <f aca="false">IF($B282="","",IF(AND(OR(ABSENSI!$H$10="",$F282=ABSENSI!$H$10),OR(ABSENSI!$H$11="",$G282=ABSENSI!$H$11),OR(ABSENSI!$H$12="",$P282=ABSENSI!$H$12)),MAX($AD$3:AD281)+1,""))</f>
        <v/>
      </c>
      <c r="AE282" s="40" t="str">
        <f aca="false">IF($B282="","",IF(AND(OR(KARTU!$K$6="",$F282=KARTU!$K$6),OR(KARTU!$K$7="",$G282=KARTU!$K$7),OR(KARTU!$K$8="",$P282=KARTU!$K$8)),MAX($AE$3:AE281)+1,""))</f>
        <v/>
      </c>
    </row>
    <row r="283" customFormat="false" ht="15" hidden="false" customHeight="false" outlineLevel="0" collapsed="false">
      <c r="A283" s="35" t="str">
        <f aca="false">IF($B283="","",COUNTA($B$4:$B283))</f>
        <v/>
      </c>
      <c r="B283" s="36"/>
      <c r="C283" s="37"/>
      <c r="D283" s="37"/>
      <c r="E283" s="38"/>
      <c r="F283" s="36"/>
      <c r="G283" s="39"/>
      <c r="H283" s="39"/>
      <c r="I283" s="36"/>
      <c r="J283" s="36"/>
      <c r="K283" s="36"/>
      <c r="L283" s="36"/>
      <c r="M283" s="40" t="str">
        <f aca="false">IF($F283="","",$F283&amp;IF($G283="",""," - RT "&amp;$G283&amp;IF($H283="","","/"&amp;$H283)))</f>
        <v/>
      </c>
      <c r="N283" s="36"/>
      <c r="O283" s="37"/>
      <c r="P283" s="39"/>
      <c r="Q283" s="41"/>
      <c r="R283" s="35" t="str">
        <f aca="true">IF(OR($B283="",$Q283=""),"",DATEDIF($Q283,TODAY(),"Y"))</f>
        <v/>
      </c>
      <c r="S283" s="40" t="str">
        <f aca="false">IF($R283="","",INDEX(usia_label,MATCH($R283,usia_min,1)))</f>
        <v/>
      </c>
      <c r="T283" s="36"/>
      <c r="U283" s="41"/>
      <c r="V283" s="36"/>
      <c r="W283" s="36"/>
      <c r="X283" s="40" t="str">
        <f aca="false">IF($M283="","",$M283&amp;"#"&amp;COUNTIF($M$4:$M283,$M283))</f>
        <v/>
      </c>
      <c r="Y283" s="40" t="str">
        <f aca="false">IF($B283="","",IF($C283="","NIK kosong",IF(LEN($C283)&lt;&gt;16,"NIK bukan 16 digit",IF(COUNTIF($C$4:$C$2003,$C283&amp;"*")&gt;1,"NIK ganda",IF(AND($D283&lt;&gt;"",LEN($D283)&lt;&gt;16),"No. KK bukan 16 digit",IF(AND($F283="",$I283=""),"Alamat kosong",IF($N283="","Jabatan kosong",IF($O283="","No. HP kosong",IF(AND($R283&lt;&gt;"",$R283&lt;17),"Usia di bawah 17","")))))))))</f>
        <v/>
      </c>
      <c r="Z283" s="40" t="str">
        <f aca="false">IF($B283="","",IF(AND(OR(CARI!$C$5="",ISNUMBER(SEARCH(CARI!$C$5,$B283&amp;" "&amp;$C283&amp;" "&amp;$D283&amp;" "&amp;$O283&amp;" "&amp;$I283&amp;" "&amp;$F283&amp;" "&amp;$J283&amp;" "&amp;$K283&amp;" "&amp;$L283&amp;" "&amp;$V283))),OR(CARI!$C$6="",$F283=CARI!$C$6),OR(CARI!$C$7="",$G283=CARI!$C$7),OR(CARI!$C$8="",$T283=CARI!$C$8)),MAX($Z$3:Z282)+1,""))</f>
        <v/>
      </c>
      <c r="AA283" s="40" t="str">
        <f aca="false">IF($Y283="","",MAX($AA$3:AA282)+1)</f>
        <v/>
      </c>
      <c r="AB283" s="40" t="str">
        <f aca="false">IF($F283="","",$F283&amp;"#"&amp;COUNTIF($F$4:$F283,$F283))</f>
        <v/>
      </c>
      <c r="AC283" s="40" t="str">
        <f aca="false">IF($B283="","",IF(AND(OR(CETAK!$J$10="",$F283=CETAK!$J$10),OR(CETAK!$J$11="",$G283=CETAK!$J$11),OR(CETAK!$J$12="",$P283=CETAK!$J$12),OR(CETAK!$J$13="",$N283=CETAK!$J$13),OR(CETAK!$J$14="",$T283=CETAK!$J$14)),MAX($AC$3:AC282)+1,""))</f>
        <v/>
      </c>
      <c r="AD283" s="40" t="str">
        <f aca="false">IF($B283="","",IF(AND(OR(ABSENSI!$H$10="",$F283=ABSENSI!$H$10),OR(ABSENSI!$H$11="",$G283=ABSENSI!$H$11),OR(ABSENSI!$H$12="",$P283=ABSENSI!$H$12)),MAX($AD$3:AD282)+1,""))</f>
        <v/>
      </c>
      <c r="AE283" s="40" t="str">
        <f aca="false">IF($B283="","",IF(AND(OR(KARTU!$K$6="",$F283=KARTU!$K$6),OR(KARTU!$K$7="",$G283=KARTU!$K$7),OR(KARTU!$K$8="",$P283=KARTU!$K$8)),MAX($AE$3:AE282)+1,""))</f>
        <v/>
      </c>
    </row>
    <row r="284" customFormat="false" ht="15" hidden="false" customHeight="false" outlineLevel="0" collapsed="false">
      <c r="A284" s="35" t="str">
        <f aca="false">IF($B284="","",COUNTA($B$4:$B284))</f>
        <v/>
      </c>
      <c r="B284" s="36"/>
      <c r="C284" s="37"/>
      <c r="D284" s="37"/>
      <c r="E284" s="38"/>
      <c r="F284" s="36"/>
      <c r="G284" s="39"/>
      <c r="H284" s="39"/>
      <c r="I284" s="36"/>
      <c r="J284" s="36"/>
      <c r="K284" s="36"/>
      <c r="L284" s="36"/>
      <c r="M284" s="40" t="str">
        <f aca="false">IF($F284="","",$F284&amp;IF($G284="",""," - RT "&amp;$G284&amp;IF($H284="","","/"&amp;$H284)))</f>
        <v/>
      </c>
      <c r="N284" s="36"/>
      <c r="O284" s="37"/>
      <c r="P284" s="39"/>
      <c r="Q284" s="41"/>
      <c r="R284" s="35" t="str">
        <f aca="true">IF(OR($B284="",$Q284=""),"",DATEDIF($Q284,TODAY(),"Y"))</f>
        <v/>
      </c>
      <c r="S284" s="40" t="str">
        <f aca="false">IF($R284="","",INDEX(usia_label,MATCH($R284,usia_min,1)))</f>
        <v/>
      </c>
      <c r="T284" s="36"/>
      <c r="U284" s="41"/>
      <c r="V284" s="36"/>
      <c r="W284" s="36"/>
      <c r="X284" s="40" t="str">
        <f aca="false">IF($M284="","",$M284&amp;"#"&amp;COUNTIF($M$4:$M284,$M284))</f>
        <v/>
      </c>
      <c r="Y284" s="40" t="str">
        <f aca="false">IF($B284="","",IF($C284="","NIK kosong",IF(LEN($C284)&lt;&gt;16,"NIK bukan 16 digit",IF(COUNTIF($C$4:$C$2003,$C284&amp;"*")&gt;1,"NIK ganda",IF(AND($D284&lt;&gt;"",LEN($D284)&lt;&gt;16),"No. KK bukan 16 digit",IF(AND($F284="",$I284=""),"Alamat kosong",IF($N284="","Jabatan kosong",IF($O284="","No. HP kosong",IF(AND($R284&lt;&gt;"",$R284&lt;17),"Usia di bawah 17","")))))))))</f>
        <v/>
      </c>
      <c r="Z284" s="40" t="str">
        <f aca="false">IF($B284="","",IF(AND(OR(CARI!$C$5="",ISNUMBER(SEARCH(CARI!$C$5,$B284&amp;" "&amp;$C284&amp;" "&amp;$D284&amp;" "&amp;$O284&amp;" "&amp;$I284&amp;" "&amp;$F284&amp;" "&amp;$J284&amp;" "&amp;$K284&amp;" "&amp;$L284&amp;" "&amp;$V284))),OR(CARI!$C$6="",$F284=CARI!$C$6),OR(CARI!$C$7="",$G284=CARI!$C$7),OR(CARI!$C$8="",$T284=CARI!$C$8)),MAX($Z$3:Z283)+1,""))</f>
        <v/>
      </c>
      <c r="AA284" s="40" t="str">
        <f aca="false">IF($Y284="","",MAX($AA$3:AA283)+1)</f>
        <v/>
      </c>
      <c r="AB284" s="40" t="str">
        <f aca="false">IF($F284="","",$F284&amp;"#"&amp;COUNTIF($F$4:$F284,$F284))</f>
        <v/>
      </c>
      <c r="AC284" s="40" t="str">
        <f aca="false">IF($B284="","",IF(AND(OR(CETAK!$J$10="",$F284=CETAK!$J$10),OR(CETAK!$J$11="",$G284=CETAK!$J$11),OR(CETAK!$J$12="",$P284=CETAK!$J$12),OR(CETAK!$J$13="",$N284=CETAK!$J$13),OR(CETAK!$J$14="",$T284=CETAK!$J$14)),MAX($AC$3:AC283)+1,""))</f>
        <v/>
      </c>
      <c r="AD284" s="40" t="str">
        <f aca="false">IF($B284="","",IF(AND(OR(ABSENSI!$H$10="",$F284=ABSENSI!$H$10),OR(ABSENSI!$H$11="",$G284=ABSENSI!$H$11),OR(ABSENSI!$H$12="",$P284=ABSENSI!$H$12)),MAX($AD$3:AD283)+1,""))</f>
        <v/>
      </c>
      <c r="AE284" s="40" t="str">
        <f aca="false">IF($B284="","",IF(AND(OR(KARTU!$K$6="",$F284=KARTU!$K$6),OR(KARTU!$K$7="",$G284=KARTU!$K$7),OR(KARTU!$K$8="",$P284=KARTU!$K$8)),MAX($AE$3:AE283)+1,""))</f>
        <v/>
      </c>
    </row>
    <row r="285" customFormat="false" ht="15" hidden="false" customHeight="false" outlineLevel="0" collapsed="false">
      <c r="A285" s="35" t="str">
        <f aca="false">IF($B285="","",COUNTA($B$4:$B285))</f>
        <v/>
      </c>
      <c r="B285" s="36"/>
      <c r="C285" s="37"/>
      <c r="D285" s="37"/>
      <c r="E285" s="38"/>
      <c r="F285" s="36"/>
      <c r="G285" s="39"/>
      <c r="H285" s="39"/>
      <c r="I285" s="36"/>
      <c r="J285" s="36"/>
      <c r="K285" s="36"/>
      <c r="L285" s="36"/>
      <c r="M285" s="40" t="str">
        <f aca="false">IF($F285="","",$F285&amp;IF($G285="",""," - RT "&amp;$G285&amp;IF($H285="","","/"&amp;$H285)))</f>
        <v/>
      </c>
      <c r="N285" s="36"/>
      <c r="O285" s="37"/>
      <c r="P285" s="39"/>
      <c r="Q285" s="41"/>
      <c r="R285" s="35" t="str">
        <f aca="true">IF(OR($B285="",$Q285=""),"",DATEDIF($Q285,TODAY(),"Y"))</f>
        <v/>
      </c>
      <c r="S285" s="40" t="str">
        <f aca="false">IF($R285="","",INDEX(usia_label,MATCH($R285,usia_min,1)))</f>
        <v/>
      </c>
      <c r="T285" s="36"/>
      <c r="U285" s="41"/>
      <c r="V285" s="36"/>
      <c r="W285" s="36"/>
      <c r="X285" s="40" t="str">
        <f aca="false">IF($M285="","",$M285&amp;"#"&amp;COUNTIF($M$4:$M285,$M285))</f>
        <v/>
      </c>
      <c r="Y285" s="40" t="str">
        <f aca="false">IF($B285="","",IF($C285="","NIK kosong",IF(LEN($C285)&lt;&gt;16,"NIK bukan 16 digit",IF(COUNTIF($C$4:$C$2003,$C285&amp;"*")&gt;1,"NIK ganda",IF(AND($D285&lt;&gt;"",LEN($D285)&lt;&gt;16),"No. KK bukan 16 digit",IF(AND($F285="",$I285=""),"Alamat kosong",IF($N285="","Jabatan kosong",IF($O285="","No. HP kosong",IF(AND($R285&lt;&gt;"",$R285&lt;17),"Usia di bawah 17","")))))))))</f>
        <v/>
      </c>
      <c r="Z285" s="40" t="str">
        <f aca="false">IF($B285="","",IF(AND(OR(CARI!$C$5="",ISNUMBER(SEARCH(CARI!$C$5,$B285&amp;" "&amp;$C285&amp;" "&amp;$D285&amp;" "&amp;$O285&amp;" "&amp;$I285&amp;" "&amp;$F285&amp;" "&amp;$J285&amp;" "&amp;$K285&amp;" "&amp;$L285&amp;" "&amp;$V285))),OR(CARI!$C$6="",$F285=CARI!$C$6),OR(CARI!$C$7="",$G285=CARI!$C$7),OR(CARI!$C$8="",$T285=CARI!$C$8)),MAX($Z$3:Z284)+1,""))</f>
        <v/>
      </c>
      <c r="AA285" s="40" t="str">
        <f aca="false">IF($Y285="","",MAX($AA$3:AA284)+1)</f>
        <v/>
      </c>
      <c r="AB285" s="40" t="str">
        <f aca="false">IF($F285="","",$F285&amp;"#"&amp;COUNTIF($F$4:$F285,$F285))</f>
        <v/>
      </c>
      <c r="AC285" s="40" t="str">
        <f aca="false">IF($B285="","",IF(AND(OR(CETAK!$J$10="",$F285=CETAK!$J$10),OR(CETAK!$J$11="",$G285=CETAK!$J$11),OR(CETAK!$J$12="",$P285=CETAK!$J$12),OR(CETAK!$J$13="",$N285=CETAK!$J$13),OR(CETAK!$J$14="",$T285=CETAK!$J$14)),MAX($AC$3:AC284)+1,""))</f>
        <v/>
      </c>
      <c r="AD285" s="40" t="str">
        <f aca="false">IF($B285="","",IF(AND(OR(ABSENSI!$H$10="",$F285=ABSENSI!$H$10),OR(ABSENSI!$H$11="",$G285=ABSENSI!$H$11),OR(ABSENSI!$H$12="",$P285=ABSENSI!$H$12)),MAX($AD$3:AD284)+1,""))</f>
        <v/>
      </c>
      <c r="AE285" s="40" t="str">
        <f aca="false">IF($B285="","",IF(AND(OR(KARTU!$K$6="",$F285=KARTU!$K$6),OR(KARTU!$K$7="",$G285=KARTU!$K$7),OR(KARTU!$K$8="",$P285=KARTU!$K$8)),MAX($AE$3:AE284)+1,""))</f>
        <v/>
      </c>
    </row>
    <row r="286" customFormat="false" ht="15" hidden="false" customHeight="false" outlineLevel="0" collapsed="false">
      <c r="A286" s="35" t="str">
        <f aca="false">IF($B286="","",COUNTA($B$4:$B286))</f>
        <v/>
      </c>
      <c r="B286" s="36"/>
      <c r="C286" s="37"/>
      <c r="D286" s="37"/>
      <c r="E286" s="38"/>
      <c r="F286" s="36"/>
      <c r="G286" s="39"/>
      <c r="H286" s="39"/>
      <c r="I286" s="36"/>
      <c r="J286" s="36"/>
      <c r="K286" s="36"/>
      <c r="L286" s="36"/>
      <c r="M286" s="40" t="str">
        <f aca="false">IF($F286="","",$F286&amp;IF($G286="",""," - RT "&amp;$G286&amp;IF($H286="","","/"&amp;$H286)))</f>
        <v/>
      </c>
      <c r="N286" s="36"/>
      <c r="O286" s="37"/>
      <c r="P286" s="39"/>
      <c r="Q286" s="41"/>
      <c r="R286" s="35" t="str">
        <f aca="true">IF(OR($B286="",$Q286=""),"",DATEDIF($Q286,TODAY(),"Y"))</f>
        <v/>
      </c>
      <c r="S286" s="40" t="str">
        <f aca="false">IF($R286="","",INDEX(usia_label,MATCH($R286,usia_min,1)))</f>
        <v/>
      </c>
      <c r="T286" s="36"/>
      <c r="U286" s="41"/>
      <c r="V286" s="36"/>
      <c r="W286" s="36"/>
      <c r="X286" s="40" t="str">
        <f aca="false">IF($M286="","",$M286&amp;"#"&amp;COUNTIF($M$4:$M286,$M286))</f>
        <v/>
      </c>
      <c r="Y286" s="40" t="str">
        <f aca="false">IF($B286="","",IF($C286="","NIK kosong",IF(LEN($C286)&lt;&gt;16,"NIK bukan 16 digit",IF(COUNTIF($C$4:$C$2003,$C286&amp;"*")&gt;1,"NIK ganda",IF(AND($D286&lt;&gt;"",LEN($D286)&lt;&gt;16),"No. KK bukan 16 digit",IF(AND($F286="",$I286=""),"Alamat kosong",IF($N286="","Jabatan kosong",IF($O286="","No. HP kosong",IF(AND($R286&lt;&gt;"",$R286&lt;17),"Usia di bawah 17","")))))))))</f>
        <v/>
      </c>
      <c r="Z286" s="40" t="str">
        <f aca="false">IF($B286="","",IF(AND(OR(CARI!$C$5="",ISNUMBER(SEARCH(CARI!$C$5,$B286&amp;" "&amp;$C286&amp;" "&amp;$D286&amp;" "&amp;$O286&amp;" "&amp;$I286&amp;" "&amp;$F286&amp;" "&amp;$J286&amp;" "&amp;$K286&amp;" "&amp;$L286&amp;" "&amp;$V286))),OR(CARI!$C$6="",$F286=CARI!$C$6),OR(CARI!$C$7="",$G286=CARI!$C$7),OR(CARI!$C$8="",$T286=CARI!$C$8)),MAX($Z$3:Z285)+1,""))</f>
        <v/>
      </c>
      <c r="AA286" s="40" t="str">
        <f aca="false">IF($Y286="","",MAX($AA$3:AA285)+1)</f>
        <v/>
      </c>
      <c r="AB286" s="40" t="str">
        <f aca="false">IF($F286="","",$F286&amp;"#"&amp;COUNTIF($F$4:$F286,$F286))</f>
        <v/>
      </c>
      <c r="AC286" s="40" t="str">
        <f aca="false">IF($B286="","",IF(AND(OR(CETAK!$J$10="",$F286=CETAK!$J$10),OR(CETAK!$J$11="",$G286=CETAK!$J$11),OR(CETAK!$J$12="",$P286=CETAK!$J$12),OR(CETAK!$J$13="",$N286=CETAK!$J$13),OR(CETAK!$J$14="",$T286=CETAK!$J$14)),MAX($AC$3:AC285)+1,""))</f>
        <v/>
      </c>
      <c r="AD286" s="40" t="str">
        <f aca="false">IF($B286="","",IF(AND(OR(ABSENSI!$H$10="",$F286=ABSENSI!$H$10),OR(ABSENSI!$H$11="",$G286=ABSENSI!$H$11),OR(ABSENSI!$H$12="",$P286=ABSENSI!$H$12)),MAX($AD$3:AD285)+1,""))</f>
        <v/>
      </c>
      <c r="AE286" s="40" t="str">
        <f aca="false">IF($B286="","",IF(AND(OR(KARTU!$K$6="",$F286=KARTU!$K$6),OR(KARTU!$K$7="",$G286=KARTU!$K$7),OR(KARTU!$K$8="",$P286=KARTU!$K$8)),MAX($AE$3:AE285)+1,""))</f>
        <v/>
      </c>
    </row>
    <row r="287" customFormat="false" ht="15" hidden="false" customHeight="false" outlineLevel="0" collapsed="false">
      <c r="A287" s="35" t="str">
        <f aca="false">IF($B287="","",COUNTA($B$4:$B287))</f>
        <v/>
      </c>
      <c r="B287" s="36"/>
      <c r="C287" s="37"/>
      <c r="D287" s="37"/>
      <c r="E287" s="38"/>
      <c r="F287" s="36"/>
      <c r="G287" s="39"/>
      <c r="H287" s="39"/>
      <c r="I287" s="36"/>
      <c r="J287" s="36"/>
      <c r="K287" s="36"/>
      <c r="L287" s="36"/>
      <c r="M287" s="40" t="str">
        <f aca="false">IF($F287="","",$F287&amp;IF($G287="",""," - RT "&amp;$G287&amp;IF($H287="","","/"&amp;$H287)))</f>
        <v/>
      </c>
      <c r="N287" s="36"/>
      <c r="O287" s="37"/>
      <c r="P287" s="39"/>
      <c r="Q287" s="41"/>
      <c r="R287" s="35" t="str">
        <f aca="true">IF(OR($B287="",$Q287=""),"",DATEDIF($Q287,TODAY(),"Y"))</f>
        <v/>
      </c>
      <c r="S287" s="40" t="str">
        <f aca="false">IF($R287="","",INDEX(usia_label,MATCH($R287,usia_min,1)))</f>
        <v/>
      </c>
      <c r="T287" s="36"/>
      <c r="U287" s="41"/>
      <c r="V287" s="36"/>
      <c r="W287" s="36"/>
      <c r="X287" s="40" t="str">
        <f aca="false">IF($M287="","",$M287&amp;"#"&amp;COUNTIF($M$4:$M287,$M287))</f>
        <v/>
      </c>
      <c r="Y287" s="40" t="str">
        <f aca="false">IF($B287="","",IF($C287="","NIK kosong",IF(LEN($C287)&lt;&gt;16,"NIK bukan 16 digit",IF(COUNTIF($C$4:$C$2003,$C287&amp;"*")&gt;1,"NIK ganda",IF(AND($D287&lt;&gt;"",LEN($D287)&lt;&gt;16),"No. KK bukan 16 digit",IF(AND($F287="",$I287=""),"Alamat kosong",IF($N287="","Jabatan kosong",IF($O287="","No. HP kosong",IF(AND($R287&lt;&gt;"",$R287&lt;17),"Usia di bawah 17","")))))))))</f>
        <v/>
      </c>
      <c r="Z287" s="40" t="str">
        <f aca="false">IF($B287="","",IF(AND(OR(CARI!$C$5="",ISNUMBER(SEARCH(CARI!$C$5,$B287&amp;" "&amp;$C287&amp;" "&amp;$D287&amp;" "&amp;$O287&amp;" "&amp;$I287&amp;" "&amp;$F287&amp;" "&amp;$J287&amp;" "&amp;$K287&amp;" "&amp;$L287&amp;" "&amp;$V287))),OR(CARI!$C$6="",$F287=CARI!$C$6),OR(CARI!$C$7="",$G287=CARI!$C$7),OR(CARI!$C$8="",$T287=CARI!$C$8)),MAX($Z$3:Z286)+1,""))</f>
        <v/>
      </c>
      <c r="AA287" s="40" t="str">
        <f aca="false">IF($Y287="","",MAX($AA$3:AA286)+1)</f>
        <v/>
      </c>
      <c r="AB287" s="40" t="str">
        <f aca="false">IF($F287="","",$F287&amp;"#"&amp;COUNTIF($F$4:$F287,$F287))</f>
        <v/>
      </c>
      <c r="AC287" s="40" t="str">
        <f aca="false">IF($B287="","",IF(AND(OR(CETAK!$J$10="",$F287=CETAK!$J$10),OR(CETAK!$J$11="",$G287=CETAK!$J$11),OR(CETAK!$J$12="",$P287=CETAK!$J$12),OR(CETAK!$J$13="",$N287=CETAK!$J$13),OR(CETAK!$J$14="",$T287=CETAK!$J$14)),MAX($AC$3:AC286)+1,""))</f>
        <v/>
      </c>
      <c r="AD287" s="40" t="str">
        <f aca="false">IF($B287="","",IF(AND(OR(ABSENSI!$H$10="",$F287=ABSENSI!$H$10),OR(ABSENSI!$H$11="",$G287=ABSENSI!$H$11),OR(ABSENSI!$H$12="",$P287=ABSENSI!$H$12)),MAX($AD$3:AD286)+1,""))</f>
        <v/>
      </c>
      <c r="AE287" s="40" t="str">
        <f aca="false">IF($B287="","",IF(AND(OR(KARTU!$K$6="",$F287=KARTU!$K$6),OR(KARTU!$K$7="",$G287=KARTU!$K$7),OR(KARTU!$K$8="",$P287=KARTU!$K$8)),MAX($AE$3:AE286)+1,""))</f>
        <v/>
      </c>
    </row>
    <row r="288" customFormat="false" ht="15" hidden="false" customHeight="false" outlineLevel="0" collapsed="false">
      <c r="A288" s="35" t="str">
        <f aca="false">IF($B288="","",COUNTA($B$4:$B288))</f>
        <v/>
      </c>
      <c r="B288" s="36"/>
      <c r="C288" s="37"/>
      <c r="D288" s="37"/>
      <c r="E288" s="38"/>
      <c r="F288" s="36"/>
      <c r="G288" s="39"/>
      <c r="H288" s="39"/>
      <c r="I288" s="36"/>
      <c r="J288" s="36"/>
      <c r="K288" s="36"/>
      <c r="L288" s="36"/>
      <c r="M288" s="40" t="str">
        <f aca="false">IF($F288="","",$F288&amp;IF($G288="",""," - RT "&amp;$G288&amp;IF($H288="","","/"&amp;$H288)))</f>
        <v/>
      </c>
      <c r="N288" s="36"/>
      <c r="O288" s="37"/>
      <c r="P288" s="39"/>
      <c r="Q288" s="41"/>
      <c r="R288" s="35" t="str">
        <f aca="true">IF(OR($B288="",$Q288=""),"",DATEDIF($Q288,TODAY(),"Y"))</f>
        <v/>
      </c>
      <c r="S288" s="40" t="str">
        <f aca="false">IF($R288="","",INDEX(usia_label,MATCH($R288,usia_min,1)))</f>
        <v/>
      </c>
      <c r="T288" s="36"/>
      <c r="U288" s="41"/>
      <c r="V288" s="36"/>
      <c r="W288" s="36"/>
      <c r="X288" s="40" t="str">
        <f aca="false">IF($M288="","",$M288&amp;"#"&amp;COUNTIF($M$4:$M288,$M288))</f>
        <v/>
      </c>
      <c r="Y288" s="40" t="str">
        <f aca="false">IF($B288="","",IF($C288="","NIK kosong",IF(LEN($C288)&lt;&gt;16,"NIK bukan 16 digit",IF(COUNTIF($C$4:$C$2003,$C288&amp;"*")&gt;1,"NIK ganda",IF(AND($D288&lt;&gt;"",LEN($D288)&lt;&gt;16),"No. KK bukan 16 digit",IF(AND($F288="",$I288=""),"Alamat kosong",IF($N288="","Jabatan kosong",IF($O288="","No. HP kosong",IF(AND($R288&lt;&gt;"",$R288&lt;17),"Usia di bawah 17","")))))))))</f>
        <v/>
      </c>
      <c r="Z288" s="40" t="str">
        <f aca="false">IF($B288="","",IF(AND(OR(CARI!$C$5="",ISNUMBER(SEARCH(CARI!$C$5,$B288&amp;" "&amp;$C288&amp;" "&amp;$D288&amp;" "&amp;$O288&amp;" "&amp;$I288&amp;" "&amp;$F288&amp;" "&amp;$J288&amp;" "&amp;$K288&amp;" "&amp;$L288&amp;" "&amp;$V288))),OR(CARI!$C$6="",$F288=CARI!$C$6),OR(CARI!$C$7="",$G288=CARI!$C$7),OR(CARI!$C$8="",$T288=CARI!$C$8)),MAX($Z$3:Z287)+1,""))</f>
        <v/>
      </c>
      <c r="AA288" s="40" t="str">
        <f aca="false">IF($Y288="","",MAX($AA$3:AA287)+1)</f>
        <v/>
      </c>
      <c r="AB288" s="40" t="str">
        <f aca="false">IF($F288="","",$F288&amp;"#"&amp;COUNTIF($F$4:$F288,$F288))</f>
        <v/>
      </c>
      <c r="AC288" s="40" t="str">
        <f aca="false">IF($B288="","",IF(AND(OR(CETAK!$J$10="",$F288=CETAK!$J$10),OR(CETAK!$J$11="",$G288=CETAK!$J$11),OR(CETAK!$J$12="",$P288=CETAK!$J$12),OR(CETAK!$J$13="",$N288=CETAK!$J$13),OR(CETAK!$J$14="",$T288=CETAK!$J$14)),MAX($AC$3:AC287)+1,""))</f>
        <v/>
      </c>
      <c r="AD288" s="40" t="str">
        <f aca="false">IF($B288="","",IF(AND(OR(ABSENSI!$H$10="",$F288=ABSENSI!$H$10),OR(ABSENSI!$H$11="",$G288=ABSENSI!$H$11),OR(ABSENSI!$H$12="",$P288=ABSENSI!$H$12)),MAX($AD$3:AD287)+1,""))</f>
        <v/>
      </c>
      <c r="AE288" s="40" t="str">
        <f aca="false">IF($B288="","",IF(AND(OR(KARTU!$K$6="",$F288=KARTU!$K$6),OR(KARTU!$K$7="",$G288=KARTU!$K$7),OR(KARTU!$K$8="",$P288=KARTU!$K$8)),MAX($AE$3:AE287)+1,""))</f>
        <v/>
      </c>
    </row>
    <row r="289" customFormat="false" ht="15" hidden="false" customHeight="false" outlineLevel="0" collapsed="false">
      <c r="A289" s="35" t="str">
        <f aca="false">IF($B289="","",COUNTA($B$4:$B289))</f>
        <v/>
      </c>
      <c r="B289" s="36"/>
      <c r="C289" s="37"/>
      <c r="D289" s="37"/>
      <c r="E289" s="38"/>
      <c r="F289" s="36"/>
      <c r="G289" s="39"/>
      <c r="H289" s="39"/>
      <c r="I289" s="36"/>
      <c r="J289" s="36"/>
      <c r="K289" s="36"/>
      <c r="L289" s="36"/>
      <c r="M289" s="40" t="str">
        <f aca="false">IF($F289="","",$F289&amp;IF($G289="",""," - RT "&amp;$G289&amp;IF($H289="","","/"&amp;$H289)))</f>
        <v/>
      </c>
      <c r="N289" s="36"/>
      <c r="O289" s="37"/>
      <c r="P289" s="39"/>
      <c r="Q289" s="41"/>
      <c r="R289" s="35" t="str">
        <f aca="true">IF(OR($B289="",$Q289=""),"",DATEDIF($Q289,TODAY(),"Y"))</f>
        <v/>
      </c>
      <c r="S289" s="40" t="str">
        <f aca="false">IF($R289="","",INDEX(usia_label,MATCH($R289,usia_min,1)))</f>
        <v/>
      </c>
      <c r="T289" s="36"/>
      <c r="U289" s="41"/>
      <c r="V289" s="36"/>
      <c r="W289" s="36"/>
      <c r="X289" s="40" t="str">
        <f aca="false">IF($M289="","",$M289&amp;"#"&amp;COUNTIF($M$4:$M289,$M289))</f>
        <v/>
      </c>
      <c r="Y289" s="40" t="str">
        <f aca="false">IF($B289="","",IF($C289="","NIK kosong",IF(LEN($C289)&lt;&gt;16,"NIK bukan 16 digit",IF(COUNTIF($C$4:$C$2003,$C289&amp;"*")&gt;1,"NIK ganda",IF(AND($D289&lt;&gt;"",LEN($D289)&lt;&gt;16),"No. KK bukan 16 digit",IF(AND($F289="",$I289=""),"Alamat kosong",IF($N289="","Jabatan kosong",IF($O289="","No. HP kosong",IF(AND($R289&lt;&gt;"",$R289&lt;17),"Usia di bawah 17","")))))))))</f>
        <v/>
      </c>
      <c r="Z289" s="40" t="str">
        <f aca="false">IF($B289="","",IF(AND(OR(CARI!$C$5="",ISNUMBER(SEARCH(CARI!$C$5,$B289&amp;" "&amp;$C289&amp;" "&amp;$D289&amp;" "&amp;$O289&amp;" "&amp;$I289&amp;" "&amp;$F289&amp;" "&amp;$J289&amp;" "&amp;$K289&amp;" "&amp;$L289&amp;" "&amp;$V289))),OR(CARI!$C$6="",$F289=CARI!$C$6),OR(CARI!$C$7="",$G289=CARI!$C$7),OR(CARI!$C$8="",$T289=CARI!$C$8)),MAX($Z$3:Z288)+1,""))</f>
        <v/>
      </c>
      <c r="AA289" s="40" t="str">
        <f aca="false">IF($Y289="","",MAX($AA$3:AA288)+1)</f>
        <v/>
      </c>
      <c r="AB289" s="40" t="str">
        <f aca="false">IF($F289="","",$F289&amp;"#"&amp;COUNTIF($F$4:$F289,$F289))</f>
        <v/>
      </c>
      <c r="AC289" s="40" t="str">
        <f aca="false">IF($B289="","",IF(AND(OR(CETAK!$J$10="",$F289=CETAK!$J$10),OR(CETAK!$J$11="",$G289=CETAK!$J$11),OR(CETAK!$J$12="",$P289=CETAK!$J$12),OR(CETAK!$J$13="",$N289=CETAK!$J$13),OR(CETAK!$J$14="",$T289=CETAK!$J$14)),MAX($AC$3:AC288)+1,""))</f>
        <v/>
      </c>
      <c r="AD289" s="40" t="str">
        <f aca="false">IF($B289="","",IF(AND(OR(ABSENSI!$H$10="",$F289=ABSENSI!$H$10),OR(ABSENSI!$H$11="",$G289=ABSENSI!$H$11),OR(ABSENSI!$H$12="",$P289=ABSENSI!$H$12)),MAX($AD$3:AD288)+1,""))</f>
        <v/>
      </c>
      <c r="AE289" s="40" t="str">
        <f aca="false">IF($B289="","",IF(AND(OR(KARTU!$K$6="",$F289=KARTU!$K$6),OR(KARTU!$K$7="",$G289=KARTU!$K$7),OR(KARTU!$K$8="",$P289=KARTU!$K$8)),MAX($AE$3:AE288)+1,""))</f>
        <v/>
      </c>
    </row>
    <row r="290" customFormat="false" ht="15" hidden="false" customHeight="false" outlineLevel="0" collapsed="false">
      <c r="A290" s="35" t="str">
        <f aca="false">IF($B290="","",COUNTA($B$4:$B290))</f>
        <v/>
      </c>
      <c r="B290" s="36"/>
      <c r="C290" s="37"/>
      <c r="D290" s="37"/>
      <c r="E290" s="38"/>
      <c r="F290" s="36"/>
      <c r="G290" s="39"/>
      <c r="H290" s="39"/>
      <c r="I290" s="36"/>
      <c r="J290" s="36"/>
      <c r="K290" s="36"/>
      <c r="L290" s="36"/>
      <c r="M290" s="40" t="str">
        <f aca="false">IF($F290="","",$F290&amp;IF($G290="",""," - RT "&amp;$G290&amp;IF($H290="","","/"&amp;$H290)))</f>
        <v/>
      </c>
      <c r="N290" s="36"/>
      <c r="O290" s="37"/>
      <c r="P290" s="39"/>
      <c r="Q290" s="41"/>
      <c r="R290" s="35" t="str">
        <f aca="true">IF(OR($B290="",$Q290=""),"",DATEDIF($Q290,TODAY(),"Y"))</f>
        <v/>
      </c>
      <c r="S290" s="40" t="str">
        <f aca="false">IF($R290="","",INDEX(usia_label,MATCH($R290,usia_min,1)))</f>
        <v/>
      </c>
      <c r="T290" s="36"/>
      <c r="U290" s="41"/>
      <c r="V290" s="36"/>
      <c r="W290" s="36"/>
      <c r="X290" s="40" t="str">
        <f aca="false">IF($M290="","",$M290&amp;"#"&amp;COUNTIF($M$4:$M290,$M290))</f>
        <v/>
      </c>
      <c r="Y290" s="40" t="str">
        <f aca="false">IF($B290="","",IF($C290="","NIK kosong",IF(LEN($C290)&lt;&gt;16,"NIK bukan 16 digit",IF(COUNTIF($C$4:$C$2003,$C290&amp;"*")&gt;1,"NIK ganda",IF(AND($D290&lt;&gt;"",LEN($D290)&lt;&gt;16),"No. KK bukan 16 digit",IF(AND($F290="",$I290=""),"Alamat kosong",IF($N290="","Jabatan kosong",IF($O290="","No. HP kosong",IF(AND($R290&lt;&gt;"",$R290&lt;17),"Usia di bawah 17","")))))))))</f>
        <v/>
      </c>
      <c r="Z290" s="40" t="str">
        <f aca="false">IF($B290="","",IF(AND(OR(CARI!$C$5="",ISNUMBER(SEARCH(CARI!$C$5,$B290&amp;" "&amp;$C290&amp;" "&amp;$D290&amp;" "&amp;$O290&amp;" "&amp;$I290&amp;" "&amp;$F290&amp;" "&amp;$J290&amp;" "&amp;$K290&amp;" "&amp;$L290&amp;" "&amp;$V290))),OR(CARI!$C$6="",$F290=CARI!$C$6),OR(CARI!$C$7="",$G290=CARI!$C$7),OR(CARI!$C$8="",$T290=CARI!$C$8)),MAX($Z$3:Z289)+1,""))</f>
        <v/>
      </c>
      <c r="AA290" s="40" t="str">
        <f aca="false">IF($Y290="","",MAX($AA$3:AA289)+1)</f>
        <v/>
      </c>
      <c r="AB290" s="40" t="str">
        <f aca="false">IF($F290="","",$F290&amp;"#"&amp;COUNTIF($F$4:$F290,$F290))</f>
        <v/>
      </c>
      <c r="AC290" s="40" t="str">
        <f aca="false">IF($B290="","",IF(AND(OR(CETAK!$J$10="",$F290=CETAK!$J$10),OR(CETAK!$J$11="",$G290=CETAK!$J$11),OR(CETAK!$J$12="",$P290=CETAK!$J$12),OR(CETAK!$J$13="",$N290=CETAK!$J$13),OR(CETAK!$J$14="",$T290=CETAK!$J$14)),MAX($AC$3:AC289)+1,""))</f>
        <v/>
      </c>
      <c r="AD290" s="40" t="str">
        <f aca="false">IF($B290="","",IF(AND(OR(ABSENSI!$H$10="",$F290=ABSENSI!$H$10),OR(ABSENSI!$H$11="",$G290=ABSENSI!$H$11),OR(ABSENSI!$H$12="",$P290=ABSENSI!$H$12)),MAX($AD$3:AD289)+1,""))</f>
        <v/>
      </c>
      <c r="AE290" s="40" t="str">
        <f aca="false">IF($B290="","",IF(AND(OR(KARTU!$K$6="",$F290=KARTU!$K$6),OR(KARTU!$K$7="",$G290=KARTU!$K$7),OR(KARTU!$K$8="",$P290=KARTU!$K$8)),MAX($AE$3:AE289)+1,""))</f>
        <v/>
      </c>
    </row>
    <row r="291" customFormat="false" ht="15" hidden="false" customHeight="false" outlineLevel="0" collapsed="false">
      <c r="A291" s="35" t="str">
        <f aca="false">IF($B291="","",COUNTA($B$4:$B291))</f>
        <v/>
      </c>
      <c r="B291" s="36"/>
      <c r="C291" s="37"/>
      <c r="D291" s="37"/>
      <c r="E291" s="38"/>
      <c r="F291" s="36"/>
      <c r="G291" s="39"/>
      <c r="H291" s="39"/>
      <c r="I291" s="36"/>
      <c r="J291" s="36"/>
      <c r="K291" s="36"/>
      <c r="L291" s="36"/>
      <c r="M291" s="40" t="str">
        <f aca="false">IF($F291="","",$F291&amp;IF($G291="",""," - RT "&amp;$G291&amp;IF($H291="","","/"&amp;$H291)))</f>
        <v/>
      </c>
      <c r="N291" s="36"/>
      <c r="O291" s="37"/>
      <c r="P291" s="39"/>
      <c r="Q291" s="41"/>
      <c r="R291" s="35" t="str">
        <f aca="true">IF(OR($B291="",$Q291=""),"",DATEDIF($Q291,TODAY(),"Y"))</f>
        <v/>
      </c>
      <c r="S291" s="40" t="str">
        <f aca="false">IF($R291="","",INDEX(usia_label,MATCH($R291,usia_min,1)))</f>
        <v/>
      </c>
      <c r="T291" s="36"/>
      <c r="U291" s="41"/>
      <c r="V291" s="36"/>
      <c r="W291" s="36"/>
      <c r="X291" s="40" t="str">
        <f aca="false">IF($M291="","",$M291&amp;"#"&amp;COUNTIF($M$4:$M291,$M291))</f>
        <v/>
      </c>
      <c r="Y291" s="40" t="str">
        <f aca="false">IF($B291="","",IF($C291="","NIK kosong",IF(LEN($C291)&lt;&gt;16,"NIK bukan 16 digit",IF(COUNTIF($C$4:$C$2003,$C291&amp;"*")&gt;1,"NIK ganda",IF(AND($D291&lt;&gt;"",LEN($D291)&lt;&gt;16),"No. KK bukan 16 digit",IF(AND($F291="",$I291=""),"Alamat kosong",IF($N291="","Jabatan kosong",IF($O291="","No. HP kosong",IF(AND($R291&lt;&gt;"",$R291&lt;17),"Usia di bawah 17","")))))))))</f>
        <v/>
      </c>
      <c r="Z291" s="40" t="str">
        <f aca="false">IF($B291="","",IF(AND(OR(CARI!$C$5="",ISNUMBER(SEARCH(CARI!$C$5,$B291&amp;" "&amp;$C291&amp;" "&amp;$D291&amp;" "&amp;$O291&amp;" "&amp;$I291&amp;" "&amp;$F291&amp;" "&amp;$J291&amp;" "&amp;$K291&amp;" "&amp;$L291&amp;" "&amp;$V291))),OR(CARI!$C$6="",$F291=CARI!$C$6),OR(CARI!$C$7="",$G291=CARI!$C$7),OR(CARI!$C$8="",$T291=CARI!$C$8)),MAX($Z$3:Z290)+1,""))</f>
        <v/>
      </c>
      <c r="AA291" s="40" t="str">
        <f aca="false">IF($Y291="","",MAX($AA$3:AA290)+1)</f>
        <v/>
      </c>
      <c r="AB291" s="40" t="str">
        <f aca="false">IF($F291="","",$F291&amp;"#"&amp;COUNTIF($F$4:$F291,$F291))</f>
        <v/>
      </c>
      <c r="AC291" s="40" t="str">
        <f aca="false">IF($B291="","",IF(AND(OR(CETAK!$J$10="",$F291=CETAK!$J$10),OR(CETAK!$J$11="",$G291=CETAK!$J$11),OR(CETAK!$J$12="",$P291=CETAK!$J$12),OR(CETAK!$J$13="",$N291=CETAK!$J$13),OR(CETAK!$J$14="",$T291=CETAK!$J$14)),MAX($AC$3:AC290)+1,""))</f>
        <v/>
      </c>
      <c r="AD291" s="40" t="str">
        <f aca="false">IF($B291="","",IF(AND(OR(ABSENSI!$H$10="",$F291=ABSENSI!$H$10),OR(ABSENSI!$H$11="",$G291=ABSENSI!$H$11),OR(ABSENSI!$H$12="",$P291=ABSENSI!$H$12)),MAX($AD$3:AD290)+1,""))</f>
        <v/>
      </c>
      <c r="AE291" s="40" t="str">
        <f aca="false">IF($B291="","",IF(AND(OR(KARTU!$K$6="",$F291=KARTU!$K$6),OR(KARTU!$K$7="",$G291=KARTU!$K$7),OR(KARTU!$K$8="",$P291=KARTU!$K$8)),MAX($AE$3:AE290)+1,""))</f>
        <v/>
      </c>
    </row>
    <row r="292" customFormat="false" ht="15" hidden="false" customHeight="false" outlineLevel="0" collapsed="false">
      <c r="A292" s="35" t="str">
        <f aca="false">IF($B292="","",COUNTA($B$4:$B292))</f>
        <v/>
      </c>
      <c r="B292" s="36"/>
      <c r="C292" s="37"/>
      <c r="D292" s="37"/>
      <c r="E292" s="38"/>
      <c r="F292" s="36"/>
      <c r="G292" s="39"/>
      <c r="H292" s="39"/>
      <c r="I292" s="36"/>
      <c r="J292" s="36"/>
      <c r="K292" s="36"/>
      <c r="L292" s="36"/>
      <c r="M292" s="40" t="str">
        <f aca="false">IF($F292="","",$F292&amp;IF($G292="",""," - RT "&amp;$G292&amp;IF($H292="","","/"&amp;$H292)))</f>
        <v/>
      </c>
      <c r="N292" s="36"/>
      <c r="O292" s="37"/>
      <c r="P292" s="39"/>
      <c r="Q292" s="41"/>
      <c r="R292" s="35" t="str">
        <f aca="true">IF(OR($B292="",$Q292=""),"",DATEDIF($Q292,TODAY(),"Y"))</f>
        <v/>
      </c>
      <c r="S292" s="40" t="str">
        <f aca="false">IF($R292="","",INDEX(usia_label,MATCH($R292,usia_min,1)))</f>
        <v/>
      </c>
      <c r="T292" s="36"/>
      <c r="U292" s="41"/>
      <c r="V292" s="36"/>
      <c r="W292" s="36"/>
      <c r="X292" s="40" t="str">
        <f aca="false">IF($M292="","",$M292&amp;"#"&amp;COUNTIF($M$4:$M292,$M292))</f>
        <v/>
      </c>
      <c r="Y292" s="40" t="str">
        <f aca="false">IF($B292="","",IF($C292="","NIK kosong",IF(LEN($C292)&lt;&gt;16,"NIK bukan 16 digit",IF(COUNTIF($C$4:$C$2003,$C292&amp;"*")&gt;1,"NIK ganda",IF(AND($D292&lt;&gt;"",LEN($D292)&lt;&gt;16),"No. KK bukan 16 digit",IF(AND($F292="",$I292=""),"Alamat kosong",IF($N292="","Jabatan kosong",IF($O292="","No. HP kosong",IF(AND($R292&lt;&gt;"",$R292&lt;17),"Usia di bawah 17","")))))))))</f>
        <v/>
      </c>
      <c r="Z292" s="40" t="str">
        <f aca="false">IF($B292="","",IF(AND(OR(CARI!$C$5="",ISNUMBER(SEARCH(CARI!$C$5,$B292&amp;" "&amp;$C292&amp;" "&amp;$D292&amp;" "&amp;$O292&amp;" "&amp;$I292&amp;" "&amp;$F292&amp;" "&amp;$J292&amp;" "&amp;$K292&amp;" "&amp;$L292&amp;" "&amp;$V292))),OR(CARI!$C$6="",$F292=CARI!$C$6),OR(CARI!$C$7="",$G292=CARI!$C$7),OR(CARI!$C$8="",$T292=CARI!$C$8)),MAX($Z$3:Z291)+1,""))</f>
        <v/>
      </c>
      <c r="AA292" s="40" t="str">
        <f aca="false">IF($Y292="","",MAX($AA$3:AA291)+1)</f>
        <v/>
      </c>
      <c r="AB292" s="40" t="str">
        <f aca="false">IF($F292="","",$F292&amp;"#"&amp;COUNTIF($F$4:$F292,$F292))</f>
        <v/>
      </c>
      <c r="AC292" s="40" t="str">
        <f aca="false">IF($B292="","",IF(AND(OR(CETAK!$J$10="",$F292=CETAK!$J$10),OR(CETAK!$J$11="",$G292=CETAK!$J$11),OR(CETAK!$J$12="",$P292=CETAK!$J$12),OR(CETAK!$J$13="",$N292=CETAK!$J$13),OR(CETAK!$J$14="",$T292=CETAK!$J$14)),MAX($AC$3:AC291)+1,""))</f>
        <v/>
      </c>
      <c r="AD292" s="40" t="str">
        <f aca="false">IF($B292="","",IF(AND(OR(ABSENSI!$H$10="",$F292=ABSENSI!$H$10),OR(ABSENSI!$H$11="",$G292=ABSENSI!$H$11),OR(ABSENSI!$H$12="",$P292=ABSENSI!$H$12)),MAX($AD$3:AD291)+1,""))</f>
        <v/>
      </c>
      <c r="AE292" s="40" t="str">
        <f aca="false">IF($B292="","",IF(AND(OR(KARTU!$K$6="",$F292=KARTU!$K$6),OR(KARTU!$K$7="",$G292=KARTU!$K$7),OR(KARTU!$K$8="",$P292=KARTU!$K$8)),MAX($AE$3:AE291)+1,""))</f>
        <v/>
      </c>
    </row>
    <row r="293" customFormat="false" ht="15" hidden="false" customHeight="false" outlineLevel="0" collapsed="false">
      <c r="A293" s="35" t="str">
        <f aca="false">IF($B293="","",COUNTA($B$4:$B293))</f>
        <v/>
      </c>
      <c r="B293" s="36"/>
      <c r="C293" s="37"/>
      <c r="D293" s="37"/>
      <c r="E293" s="38"/>
      <c r="F293" s="36"/>
      <c r="G293" s="39"/>
      <c r="H293" s="39"/>
      <c r="I293" s="36"/>
      <c r="J293" s="36"/>
      <c r="K293" s="36"/>
      <c r="L293" s="36"/>
      <c r="M293" s="40" t="str">
        <f aca="false">IF($F293="","",$F293&amp;IF($G293="",""," - RT "&amp;$G293&amp;IF($H293="","","/"&amp;$H293)))</f>
        <v/>
      </c>
      <c r="N293" s="36"/>
      <c r="O293" s="37"/>
      <c r="P293" s="39"/>
      <c r="Q293" s="41"/>
      <c r="R293" s="35" t="str">
        <f aca="true">IF(OR($B293="",$Q293=""),"",DATEDIF($Q293,TODAY(),"Y"))</f>
        <v/>
      </c>
      <c r="S293" s="40" t="str">
        <f aca="false">IF($R293="","",INDEX(usia_label,MATCH($R293,usia_min,1)))</f>
        <v/>
      </c>
      <c r="T293" s="36"/>
      <c r="U293" s="41"/>
      <c r="V293" s="36"/>
      <c r="W293" s="36"/>
      <c r="X293" s="40" t="str">
        <f aca="false">IF($M293="","",$M293&amp;"#"&amp;COUNTIF($M$4:$M293,$M293))</f>
        <v/>
      </c>
      <c r="Y293" s="40" t="str">
        <f aca="false">IF($B293="","",IF($C293="","NIK kosong",IF(LEN($C293)&lt;&gt;16,"NIK bukan 16 digit",IF(COUNTIF($C$4:$C$2003,$C293&amp;"*")&gt;1,"NIK ganda",IF(AND($D293&lt;&gt;"",LEN($D293)&lt;&gt;16),"No. KK bukan 16 digit",IF(AND($F293="",$I293=""),"Alamat kosong",IF($N293="","Jabatan kosong",IF($O293="","No. HP kosong",IF(AND($R293&lt;&gt;"",$R293&lt;17),"Usia di bawah 17","")))))))))</f>
        <v/>
      </c>
      <c r="Z293" s="40" t="str">
        <f aca="false">IF($B293="","",IF(AND(OR(CARI!$C$5="",ISNUMBER(SEARCH(CARI!$C$5,$B293&amp;" "&amp;$C293&amp;" "&amp;$D293&amp;" "&amp;$O293&amp;" "&amp;$I293&amp;" "&amp;$F293&amp;" "&amp;$J293&amp;" "&amp;$K293&amp;" "&amp;$L293&amp;" "&amp;$V293))),OR(CARI!$C$6="",$F293=CARI!$C$6),OR(CARI!$C$7="",$G293=CARI!$C$7),OR(CARI!$C$8="",$T293=CARI!$C$8)),MAX($Z$3:Z292)+1,""))</f>
        <v/>
      </c>
      <c r="AA293" s="40" t="str">
        <f aca="false">IF($Y293="","",MAX($AA$3:AA292)+1)</f>
        <v/>
      </c>
      <c r="AB293" s="40" t="str">
        <f aca="false">IF($F293="","",$F293&amp;"#"&amp;COUNTIF($F$4:$F293,$F293))</f>
        <v/>
      </c>
      <c r="AC293" s="40" t="str">
        <f aca="false">IF($B293="","",IF(AND(OR(CETAK!$J$10="",$F293=CETAK!$J$10),OR(CETAK!$J$11="",$G293=CETAK!$J$11),OR(CETAK!$J$12="",$P293=CETAK!$J$12),OR(CETAK!$J$13="",$N293=CETAK!$J$13),OR(CETAK!$J$14="",$T293=CETAK!$J$14)),MAX($AC$3:AC292)+1,""))</f>
        <v/>
      </c>
      <c r="AD293" s="40" t="str">
        <f aca="false">IF($B293="","",IF(AND(OR(ABSENSI!$H$10="",$F293=ABSENSI!$H$10),OR(ABSENSI!$H$11="",$G293=ABSENSI!$H$11),OR(ABSENSI!$H$12="",$P293=ABSENSI!$H$12)),MAX($AD$3:AD292)+1,""))</f>
        <v/>
      </c>
      <c r="AE293" s="40" t="str">
        <f aca="false">IF($B293="","",IF(AND(OR(KARTU!$K$6="",$F293=KARTU!$K$6),OR(KARTU!$K$7="",$G293=KARTU!$K$7),OR(KARTU!$K$8="",$P293=KARTU!$K$8)),MAX($AE$3:AE292)+1,""))</f>
        <v/>
      </c>
    </row>
    <row r="294" customFormat="false" ht="15" hidden="false" customHeight="false" outlineLevel="0" collapsed="false">
      <c r="A294" s="35" t="str">
        <f aca="false">IF($B294="","",COUNTA($B$4:$B294))</f>
        <v/>
      </c>
      <c r="B294" s="36"/>
      <c r="C294" s="37"/>
      <c r="D294" s="37"/>
      <c r="E294" s="38"/>
      <c r="F294" s="36"/>
      <c r="G294" s="39"/>
      <c r="H294" s="39"/>
      <c r="I294" s="36"/>
      <c r="J294" s="36"/>
      <c r="K294" s="36"/>
      <c r="L294" s="36"/>
      <c r="M294" s="40" t="str">
        <f aca="false">IF($F294="","",$F294&amp;IF($G294="",""," - RT "&amp;$G294&amp;IF($H294="","","/"&amp;$H294)))</f>
        <v/>
      </c>
      <c r="N294" s="36"/>
      <c r="O294" s="37"/>
      <c r="P294" s="39"/>
      <c r="Q294" s="41"/>
      <c r="R294" s="35" t="str">
        <f aca="true">IF(OR($B294="",$Q294=""),"",DATEDIF($Q294,TODAY(),"Y"))</f>
        <v/>
      </c>
      <c r="S294" s="40" t="str">
        <f aca="false">IF($R294="","",INDEX(usia_label,MATCH($R294,usia_min,1)))</f>
        <v/>
      </c>
      <c r="T294" s="36"/>
      <c r="U294" s="41"/>
      <c r="V294" s="36"/>
      <c r="W294" s="36"/>
      <c r="X294" s="40" t="str">
        <f aca="false">IF($M294="","",$M294&amp;"#"&amp;COUNTIF($M$4:$M294,$M294))</f>
        <v/>
      </c>
      <c r="Y294" s="40" t="str">
        <f aca="false">IF($B294="","",IF($C294="","NIK kosong",IF(LEN($C294)&lt;&gt;16,"NIK bukan 16 digit",IF(COUNTIF($C$4:$C$2003,$C294&amp;"*")&gt;1,"NIK ganda",IF(AND($D294&lt;&gt;"",LEN($D294)&lt;&gt;16),"No. KK bukan 16 digit",IF(AND($F294="",$I294=""),"Alamat kosong",IF($N294="","Jabatan kosong",IF($O294="","No. HP kosong",IF(AND($R294&lt;&gt;"",$R294&lt;17),"Usia di bawah 17","")))))))))</f>
        <v/>
      </c>
      <c r="Z294" s="40" t="str">
        <f aca="false">IF($B294="","",IF(AND(OR(CARI!$C$5="",ISNUMBER(SEARCH(CARI!$C$5,$B294&amp;" "&amp;$C294&amp;" "&amp;$D294&amp;" "&amp;$O294&amp;" "&amp;$I294&amp;" "&amp;$F294&amp;" "&amp;$J294&amp;" "&amp;$K294&amp;" "&amp;$L294&amp;" "&amp;$V294))),OR(CARI!$C$6="",$F294=CARI!$C$6),OR(CARI!$C$7="",$G294=CARI!$C$7),OR(CARI!$C$8="",$T294=CARI!$C$8)),MAX($Z$3:Z293)+1,""))</f>
        <v/>
      </c>
      <c r="AA294" s="40" t="str">
        <f aca="false">IF($Y294="","",MAX($AA$3:AA293)+1)</f>
        <v/>
      </c>
      <c r="AB294" s="40" t="str">
        <f aca="false">IF($F294="","",$F294&amp;"#"&amp;COUNTIF($F$4:$F294,$F294))</f>
        <v/>
      </c>
      <c r="AC294" s="40" t="str">
        <f aca="false">IF($B294="","",IF(AND(OR(CETAK!$J$10="",$F294=CETAK!$J$10),OR(CETAK!$J$11="",$G294=CETAK!$J$11),OR(CETAK!$J$12="",$P294=CETAK!$J$12),OR(CETAK!$J$13="",$N294=CETAK!$J$13),OR(CETAK!$J$14="",$T294=CETAK!$J$14)),MAX($AC$3:AC293)+1,""))</f>
        <v/>
      </c>
      <c r="AD294" s="40" t="str">
        <f aca="false">IF($B294="","",IF(AND(OR(ABSENSI!$H$10="",$F294=ABSENSI!$H$10),OR(ABSENSI!$H$11="",$G294=ABSENSI!$H$11),OR(ABSENSI!$H$12="",$P294=ABSENSI!$H$12)),MAX($AD$3:AD293)+1,""))</f>
        <v/>
      </c>
      <c r="AE294" s="40" t="str">
        <f aca="false">IF($B294="","",IF(AND(OR(KARTU!$K$6="",$F294=KARTU!$K$6),OR(KARTU!$K$7="",$G294=KARTU!$K$7),OR(KARTU!$K$8="",$P294=KARTU!$K$8)),MAX($AE$3:AE293)+1,""))</f>
        <v/>
      </c>
    </row>
    <row r="295" customFormat="false" ht="15" hidden="false" customHeight="false" outlineLevel="0" collapsed="false">
      <c r="A295" s="35" t="str">
        <f aca="false">IF($B295="","",COUNTA($B$4:$B295))</f>
        <v/>
      </c>
      <c r="B295" s="36"/>
      <c r="C295" s="37"/>
      <c r="D295" s="37"/>
      <c r="E295" s="38"/>
      <c r="F295" s="36"/>
      <c r="G295" s="39"/>
      <c r="H295" s="39"/>
      <c r="I295" s="36"/>
      <c r="J295" s="36"/>
      <c r="K295" s="36"/>
      <c r="L295" s="36"/>
      <c r="M295" s="40" t="str">
        <f aca="false">IF($F295="","",$F295&amp;IF($G295="",""," - RT "&amp;$G295&amp;IF($H295="","","/"&amp;$H295)))</f>
        <v/>
      </c>
      <c r="N295" s="36"/>
      <c r="O295" s="37"/>
      <c r="P295" s="39"/>
      <c r="Q295" s="41"/>
      <c r="R295" s="35" t="str">
        <f aca="true">IF(OR($B295="",$Q295=""),"",DATEDIF($Q295,TODAY(),"Y"))</f>
        <v/>
      </c>
      <c r="S295" s="40" t="str">
        <f aca="false">IF($R295="","",INDEX(usia_label,MATCH($R295,usia_min,1)))</f>
        <v/>
      </c>
      <c r="T295" s="36"/>
      <c r="U295" s="41"/>
      <c r="V295" s="36"/>
      <c r="W295" s="36"/>
      <c r="X295" s="40" t="str">
        <f aca="false">IF($M295="","",$M295&amp;"#"&amp;COUNTIF($M$4:$M295,$M295))</f>
        <v/>
      </c>
      <c r="Y295" s="40" t="str">
        <f aca="false">IF($B295="","",IF($C295="","NIK kosong",IF(LEN($C295)&lt;&gt;16,"NIK bukan 16 digit",IF(COUNTIF($C$4:$C$2003,$C295&amp;"*")&gt;1,"NIK ganda",IF(AND($D295&lt;&gt;"",LEN($D295)&lt;&gt;16),"No. KK bukan 16 digit",IF(AND($F295="",$I295=""),"Alamat kosong",IF($N295="","Jabatan kosong",IF($O295="","No. HP kosong",IF(AND($R295&lt;&gt;"",$R295&lt;17),"Usia di bawah 17","")))))))))</f>
        <v/>
      </c>
      <c r="Z295" s="40" t="str">
        <f aca="false">IF($B295="","",IF(AND(OR(CARI!$C$5="",ISNUMBER(SEARCH(CARI!$C$5,$B295&amp;" "&amp;$C295&amp;" "&amp;$D295&amp;" "&amp;$O295&amp;" "&amp;$I295&amp;" "&amp;$F295&amp;" "&amp;$J295&amp;" "&amp;$K295&amp;" "&amp;$L295&amp;" "&amp;$V295))),OR(CARI!$C$6="",$F295=CARI!$C$6),OR(CARI!$C$7="",$G295=CARI!$C$7),OR(CARI!$C$8="",$T295=CARI!$C$8)),MAX($Z$3:Z294)+1,""))</f>
        <v/>
      </c>
      <c r="AA295" s="40" t="str">
        <f aca="false">IF($Y295="","",MAX($AA$3:AA294)+1)</f>
        <v/>
      </c>
      <c r="AB295" s="40" t="str">
        <f aca="false">IF($F295="","",$F295&amp;"#"&amp;COUNTIF($F$4:$F295,$F295))</f>
        <v/>
      </c>
      <c r="AC295" s="40" t="str">
        <f aca="false">IF($B295="","",IF(AND(OR(CETAK!$J$10="",$F295=CETAK!$J$10),OR(CETAK!$J$11="",$G295=CETAK!$J$11),OR(CETAK!$J$12="",$P295=CETAK!$J$12),OR(CETAK!$J$13="",$N295=CETAK!$J$13),OR(CETAK!$J$14="",$T295=CETAK!$J$14)),MAX($AC$3:AC294)+1,""))</f>
        <v/>
      </c>
      <c r="AD295" s="40" t="str">
        <f aca="false">IF($B295="","",IF(AND(OR(ABSENSI!$H$10="",$F295=ABSENSI!$H$10),OR(ABSENSI!$H$11="",$G295=ABSENSI!$H$11),OR(ABSENSI!$H$12="",$P295=ABSENSI!$H$12)),MAX($AD$3:AD294)+1,""))</f>
        <v/>
      </c>
      <c r="AE295" s="40" t="str">
        <f aca="false">IF($B295="","",IF(AND(OR(KARTU!$K$6="",$F295=KARTU!$K$6),OR(KARTU!$K$7="",$G295=KARTU!$K$7),OR(KARTU!$K$8="",$P295=KARTU!$K$8)),MAX($AE$3:AE294)+1,""))</f>
        <v/>
      </c>
    </row>
    <row r="296" customFormat="false" ht="15" hidden="false" customHeight="false" outlineLevel="0" collapsed="false">
      <c r="A296" s="35" t="str">
        <f aca="false">IF($B296="","",COUNTA($B$4:$B296))</f>
        <v/>
      </c>
      <c r="B296" s="36"/>
      <c r="C296" s="37"/>
      <c r="D296" s="37"/>
      <c r="E296" s="38"/>
      <c r="F296" s="36"/>
      <c r="G296" s="39"/>
      <c r="H296" s="39"/>
      <c r="I296" s="36"/>
      <c r="J296" s="36"/>
      <c r="K296" s="36"/>
      <c r="L296" s="36"/>
      <c r="M296" s="40" t="str">
        <f aca="false">IF($F296="","",$F296&amp;IF($G296="",""," - RT "&amp;$G296&amp;IF($H296="","","/"&amp;$H296)))</f>
        <v/>
      </c>
      <c r="N296" s="36"/>
      <c r="O296" s="37"/>
      <c r="P296" s="39"/>
      <c r="Q296" s="41"/>
      <c r="R296" s="35" t="str">
        <f aca="true">IF(OR($B296="",$Q296=""),"",DATEDIF($Q296,TODAY(),"Y"))</f>
        <v/>
      </c>
      <c r="S296" s="40" t="str">
        <f aca="false">IF($R296="","",INDEX(usia_label,MATCH($R296,usia_min,1)))</f>
        <v/>
      </c>
      <c r="T296" s="36"/>
      <c r="U296" s="41"/>
      <c r="V296" s="36"/>
      <c r="W296" s="36"/>
      <c r="X296" s="40" t="str">
        <f aca="false">IF($M296="","",$M296&amp;"#"&amp;COUNTIF($M$4:$M296,$M296))</f>
        <v/>
      </c>
      <c r="Y296" s="40" t="str">
        <f aca="false">IF($B296="","",IF($C296="","NIK kosong",IF(LEN($C296)&lt;&gt;16,"NIK bukan 16 digit",IF(COUNTIF($C$4:$C$2003,$C296&amp;"*")&gt;1,"NIK ganda",IF(AND($D296&lt;&gt;"",LEN($D296)&lt;&gt;16),"No. KK bukan 16 digit",IF(AND($F296="",$I296=""),"Alamat kosong",IF($N296="","Jabatan kosong",IF($O296="","No. HP kosong",IF(AND($R296&lt;&gt;"",$R296&lt;17),"Usia di bawah 17","")))))))))</f>
        <v/>
      </c>
      <c r="Z296" s="40" t="str">
        <f aca="false">IF($B296="","",IF(AND(OR(CARI!$C$5="",ISNUMBER(SEARCH(CARI!$C$5,$B296&amp;" "&amp;$C296&amp;" "&amp;$D296&amp;" "&amp;$O296&amp;" "&amp;$I296&amp;" "&amp;$F296&amp;" "&amp;$J296&amp;" "&amp;$K296&amp;" "&amp;$L296&amp;" "&amp;$V296))),OR(CARI!$C$6="",$F296=CARI!$C$6),OR(CARI!$C$7="",$G296=CARI!$C$7),OR(CARI!$C$8="",$T296=CARI!$C$8)),MAX($Z$3:Z295)+1,""))</f>
        <v/>
      </c>
      <c r="AA296" s="40" t="str">
        <f aca="false">IF($Y296="","",MAX($AA$3:AA295)+1)</f>
        <v/>
      </c>
      <c r="AB296" s="40" t="str">
        <f aca="false">IF($F296="","",$F296&amp;"#"&amp;COUNTIF($F$4:$F296,$F296))</f>
        <v/>
      </c>
      <c r="AC296" s="40" t="str">
        <f aca="false">IF($B296="","",IF(AND(OR(CETAK!$J$10="",$F296=CETAK!$J$10),OR(CETAK!$J$11="",$G296=CETAK!$J$11),OR(CETAK!$J$12="",$P296=CETAK!$J$12),OR(CETAK!$J$13="",$N296=CETAK!$J$13),OR(CETAK!$J$14="",$T296=CETAK!$J$14)),MAX($AC$3:AC295)+1,""))</f>
        <v/>
      </c>
      <c r="AD296" s="40" t="str">
        <f aca="false">IF($B296="","",IF(AND(OR(ABSENSI!$H$10="",$F296=ABSENSI!$H$10),OR(ABSENSI!$H$11="",$G296=ABSENSI!$H$11),OR(ABSENSI!$H$12="",$P296=ABSENSI!$H$12)),MAX($AD$3:AD295)+1,""))</f>
        <v/>
      </c>
      <c r="AE296" s="40" t="str">
        <f aca="false">IF($B296="","",IF(AND(OR(KARTU!$K$6="",$F296=KARTU!$K$6),OR(KARTU!$K$7="",$G296=KARTU!$K$7),OR(KARTU!$K$8="",$P296=KARTU!$K$8)),MAX($AE$3:AE295)+1,""))</f>
        <v/>
      </c>
    </row>
    <row r="297" customFormat="false" ht="15" hidden="false" customHeight="false" outlineLevel="0" collapsed="false">
      <c r="A297" s="35" t="str">
        <f aca="false">IF($B297="","",COUNTA($B$4:$B297))</f>
        <v/>
      </c>
      <c r="B297" s="36"/>
      <c r="C297" s="37"/>
      <c r="D297" s="37"/>
      <c r="E297" s="38"/>
      <c r="F297" s="36"/>
      <c r="G297" s="39"/>
      <c r="H297" s="39"/>
      <c r="I297" s="36"/>
      <c r="J297" s="36"/>
      <c r="K297" s="36"/>
      <c r="L297" s="36"/>
      <c r="M297" s="40" t="str">
        <f aca="false">IF($F297="","",$F297&amp;IF($G297="",""," - RT "&amp;$G297&amp;IF($H297="","","/"&amp;$H297)))</f>
        <v/>
      </c>
      <c r="N297" s="36"/>
      <c r="O297" s="37"/>
      <c r="P297" s="39"/>
      <c r="Q297" s="41"/>
      <c r="R297" s="35" t="str">
        <f aca="true">IF(OR($B297="",$Q297=""),"",DATEDIF($Q297,TODAY(),"Y"))</f>
        <v/>
      </c>
      <c r="S297" s="40" t="str">
        <f aca="false">IF($R297="","",INDEX(usia_label,MATCH($R297,usia_min,1)))</f>
        <v/>
      </c>
      <c r="T297" s="36"/>
      <c r="U297" s="41"/>
      <c r="V297" s="36"/>
      <c r="W297" s="36"/>
      <c r="X297" s="40" t="str">
        <f aca="false">IF($M297="","",$M297&amp;"#"&amp;COUNTIF($M$4:$M297,$M297))</f>
        <v/>
      </c>
      <c r="Y297" s="40" t="str">
        <f aca="false">IF($B297="","",IF($C297="","NIK kosong",IF(LEN($C297)&lt;&gt;16,"NIK bukan 16 digit",IF(COUNTIF($C$4:$C$2003,$C297&amp;"*")&gt;1,"NIK ganda",IF(AND($D297&lt;&gt;"",LEN($D297)&lt;&gt;16),"No. KK bukan 16 digit",IF(AND($F297="",$I297=""),"Alamat kosong",IF($N297="","Jabatan kosong",IF($O297="","No. HP kosong",IF(AND($R297&lt;&gt;"",$R297&lt;17),"Usia di bawah 17","")))))))))</f>
        <v/>
      </c>
      <c r="Z297" s="40" t="str">
        <f aca="false">IF($B297="","",IF(AND(OR(CARI!$C$5="",ISNUMBER(SEARCH(CARI!$C$5,$B297&amp;" "&amp;$C297&amp;" "&amp;$D297&amp;" "&amp;$O297&amp;" "&amp;$I297&amp;" "&amp;$F297&amp;" "&amp;$J297&amp;" "&amp;$K297&amp;" "&amp;$L297&amp;" "&amp;$V297))),OR(CARI!$C$6="",$F297=CARI!$C$6),OR(CARI!$C$7="",$G297=CARI!$C$7),OR(CARI!$C$8="",$T297=CARI!$C$8)),MAX($Z$3:Z296)+1,""))</f>
        <v/>
      </c>
      <c r="AA297" s="40" t="str">
        <f aca="false">IF($Y297="","",MAX($AA$3:AA296)+1)</f>
        <v/>
      </c>
      <c r="AB297" s="40" t="str">
        <f aca="false">IF($F297="","",$F297&amp;"#"&amp;COUNTIF($F$4:$F297,$F297))</f>
        <v/>
      </c>
      <c r="AC297" s="40" t="str">
        <f aca="false">IF($B297="","",IF(AND(OR(CETAK!$J$10="",$F297=CETAK!$J$10),OR(CETAK!$J$11="",$G297=CETAK!$J$11),OR(CETAK!$J$12="",$P297=CETAK!$J$12),OR(CETAK!$J$13="",$N297=CETAK!$J$13),OR(CETAK!$J$14="",$T297=CETAK!$J$14)),MAX($AC$3:AC296)+1,""))</f>
        <v/>
      </c>
      <c r="AD297" s="40" t="str">
        <f aca="false">IF($B297="","",IF(AND(OR(ABSENSI!$H$10="",$F297=ABSENSI!$H$10),OR(ABSENSI!$H$11="",$G297=ABSENSI!$H$11),OR(ABSENSI!$H$12="",$P297=ABSENSI!$H$12)),MAX($AD$3:AD296)+1,""))</f>
        <v/>
      </c>
      <c r="AE297" s="40" t="str">
        <f aca="false">IF($B297="","",IF(AND(OR(KARTU!$K$6="",$F297=KARTU!$K$6),OR(KARTU!$K$7="",$G297=KARTU!$K$7),OR(KARTU!$K$8="",$P297=KARTU!$K$8)),MAX($AE$3:AE296)+1,""))</f>
        <v/>
      </c>
    </row>
    <row r="298" customFormat="false" ht="15" hidden="false" customHeight="false" outlineLevel="0" collapsed="false">
      <c r="A298" s="35" t="str">
        <f aca="false">IF($B298="","",COUNTA($B$4:$B298))</f>
        <v/>
      </c>
      <c r="B298" s="36"/>
      <c r="C298" s="37"/>
      <c r="D298" s="37"/>
      <c r="E298" s="38"/>
      <c r="F298" s="36"/>
      <c r="G298" s="39"/>
      <c r="H298" s="39"/>
      <c r="I298" s="36"/>
      <c r="J298" s="36"/>
      <c r="K298" s="36"/>
      <c r="L298" s="36"/>
      <c r="M298" s="40" t="str">
        <f aca="false">IF($F298="","",$F298&amp;IF($G298="",""," - RT "&amp;$G298&amp;IF($H298="","","/"&amp;$H298)))</f>
        <v/>
      </c>
      <c r="N298" s="36"/>
      <c r="O298" s="37"/>
      <c r="P298" s="39"/>
      <c r="Q298" s="41"/>
      <c r="R298" s="35" t="str">
        <f aca="true">IF(OR($B298="",$Q298=""),"",DATEDIF($Q298,TODAY(),"Y"))</f>
        <v/>
      </c>
      <c r="S298" s="40" t="str">
        <f aca="false">IF($R298="","",INDEX(usia_label,MATCH($R298,usia_min,1)))</f>
        <v/>
      </c>
      <c r="T298" s="36"/>
      <c r="U298" s="41"/>
      <c r="V298" s="36"/>
      <c r="W298" s="36"/>
      <c r="X298" s="40" t="str">
        <f aca="false">IF($M298="","",$M298&amp;"#"&amp;COUNTIF($M$4:$M298,$M298))</f>
        <v/>
      </c>
      <c r="Y298" s="40" t="str">
        <f aca="false">IF($B298="","",IF($C298="","NIK kosong",IF(LEN($C298)&lt;&gt;16,"NIK bukan 16 digit",IF(COUNTIF($C$4:$C$2003,$C298&amp;"*")&gt;1,"NIK ganda",IF(AND($D298&lt;&gt;"",LEN($D298)&lt;&gt;16),"No. KK bukan 16 digit",IF(AND($F298="",$I298=""),"Alamat kosong",IF($N298="","Jabatan kosong",IF($O298="","No. HP kosong",IF(AND($R298&lt;&gt;"",$R298&lt;17),"Usia di bawah 17","")))))))))</f>
        <v/>
      </c>
      <c r="Z298" s="40" t="str">
        <f aca="false">IF($B298="","",IF(AND(OR(CARI!$C$5="",ISNUMBER(SEARCH(CARI!$C$5,$B298&amp;" "&amp;$C298&amp;" "&amp;$D298&amp;" "&amp;$O298&amp;" "&amp;$I298&amp;" "&amp;$F298&amp;" "&amp;$J298&amp;" "&amp;$K298&amp;" "&amp;$L298&amp;" "&amp;$V298))),OR(CARI!$C$6="",$F298=CARI!$C$6),OR(CARI!$C$7="",$G298=CARI!$C$7),OR(CARI!$C$8="",$T298=CARI!$C$8)),MAX($Z$3:Z297)+1,""))</f>
        <v/>
      </c>
      <c r="AA298" s="40" t="str">
        <f aca="false">IF($Y298="","",MAX($AA$3:AA297)+1)</f>
        <v/>
      </c>
      <c r="AB298" s="40" t="str">
        <f aca="false">IF($F298="","",$F298&amp;"#"&amp;COUNTIF($F$4:$F298,$F298))</f>
        <v/>
      </c>
      <c r="AC298" s="40" t="str">
        <f aca="false">IF($B298="","",IF(AND(OR(CETAK!$J$10="",$F298=CETAK!$J$10),OR(CETAK!$J$11="",$G298=CETAK!$J$11),OR(CETAK!$J$12="",$P298=CETAK!$J$12),OR(CETAK!$J$13="",$N298=CETAK!$J$13),OR(CETAK!$J$14="",$T298=CETAK!$J$14)),MAX($AC$3:AC297)+1,""))</f>
        <v/>
      </c>
      <c r="AD298" s="40" t="str">
        <f aca="false">IF($B298="","",IF(AND(OR(ABSENSI!$H$10="",$F298=ABSENSI!$H$10),OR(ABSENSI!$H$11="",$G298=ABSENSI!$H$11),OR(ABSENSI!$H$12="",$P298=ABSENSI!$H$12)),MAX($AD$3:AD297)+1,""))</f>
        <v/>
      </c>
      <c r="AE298" s="40" t="str">
        <f aca="false">IF($B298="","",IF(AND(OR(KARTU!$K$6="",$F298=KARTU!$K$6),OR(KARTU!$K$7="",$G298=KARTU!$K$7),OR(KARTU!$K$8="",$P298=KARTU!$K$8)),MAX($AE$3:AE297)+1,""))</f>
        <v/>
      </c>
    </row>
    <row r="299" customFormat="false" ht="15" hidden="false" customHeight="false" outlineLevel="0" collapsed="false">
      <c r="A299" s="35" t="str">
        <f aca="false">IF($B299="","",COUNTA($B$4:$B299))</f>
        <v/>
      </c>
      <c r="B299" s="36"/>
      <c r="C299" s="37"/>
      <c r="D299" s="37"/>
      <c r="E299" s="38"/>
      <c r="F299" s="36"/>
      <c r="G299" s="39"/>
      <c r="H299" s="39"/>
      <c r="I299" s="36"/>
      <c r="J299" s="36"/>
      <c r="K299" s="36"/>
      <c r="L299" s="36"/>
      <c r="M299" s="40" t="str">
        <f aca="false">IF($F299="","",$F299&amp;IF($G299="",""," - RT "&amp;$G299&amp;IF($H299="","","/"&amp;$H299)))</f>
        <v/>
      </c>
      <c r="N299" s="36"/>
      <c r="O299" s="37"/>
      <c r="P299" s="39"/>
      <c r="Q299" s="41"/>
      <c r="R299" s="35" t="str">
        <f aca="true">IF(OR($B299="",$Q299=""),"",DATEDIF($Q299,TODAY(),"Y"))</f>
        <v/>
      </c>
      <c r="S299" s="40" t="str">
        <f aca="false">IF($R299="","",INDEX(usia_label,MATCH($R299,usia_min,1)))</f>
        <v/>
      </c>
      <c r="T299" s="36"/>
      <c r="U299" s="41"/>
      <c r="V299" s="36"/>
      <c r="W299" s="36"/>
      <c r="X299" s="40" t="str">
        <f aca="false">IF($M299="","",$M299&amp;"#"&amp;COUNTIF($M$4:$M299,$M299))</f>
        <v/>
      </c>
      <c r="Y299" s="40" t="str">
        <f aca="false">IF($B299="","",IF($C299="","NIK kosong",IF(LEN($C299)&lt;&gt;16,"NIK bukan 16 digit",IF(COUNTIF($C$4:$C$2003,$C299&amp;"*")&gt;1,"NIK ganda",IF(AND($D299&lt;&gt;"",LEN($D299)&lt;&gt;16),"No. KK bukan 16 digit",IF(AND($F299="",$I299=""),"Alamat kosong",IF($N299="","Jabatan kosong",IF($O299="","No. HP kosong",IF(AND($R299&lt;&gt;"",$R299&lt;17),"Usia di bawah 17","")))))))))</f>
        <v/>
      </c>
      <c r="Z299" s="40" t="str">
        <f aca="false">IF($B299="","",IF(AND(OR(CARI!$C$5="",ISNUMBER(SEARCH(CARI!$C$5,$B299&amp;" "&amp;$C299&amp;" "&amp;$D299&amp;" "&amp;$O299&amp;" "&amp;$I299&amp;" "&amp;$F299&amp;" "&amp;$J299&amp;" "&amp;$K299&amp;" "&amp;$L299&amp;" "&amp;$V299))),OR(CARI!$C$6="",$F299=CARI!$C$6),OR(CARI!$C$7="",$G299=CARI!$C$7),OR(CARI!$C$8="",$T299=CARI!$C$8)),MAX($Z$3:Z298)+1,""))</f>
        <v/>
      </c>
      <c r="AA299" s="40" t="str">
        <f aca="false">IF($Y299="","",MAX($AA$3:AA298)+1)</f>
        <v/>
      </c>
      <c r="AB299" s="40" t="str">
        <f aca="false">IF($F299="","",$F299&amp;"#"&amp;COUNTIF($F$4:$F299,$F299))</f>
        <v/>
      </c>
      <c r="AC299" s="40" t="str">
        <f aca="false">IF($B299="","",IF(AND(OR(CETAK!$J$10="",$F299=CETAK!$J$10),OR(CETAK!$J$11="",$G299=CETAK!$J$11),OR(CETAK!$J$12="",$P299=CETAK!$J$12),OR(CETAK!$J$13="",$N299=CETAK!$J$13),OR(CETAK!$J$14="",$T299=CETAK!$J$14)),MAX($AC$3:AC298)+1,""))</f>
        <v/>
      </c>
      <c r="AD299" s="40" t="str">
        <f aca="false">IF($B299="","",IF(AND(OR(ABSENSI!$H$10="",$F299=ABSENSI!$H$10),OR(ABSENSI!$H$11="",$G299=ABSENSI!$H$11),OR(ABSENSI!$H$12="",$P299=ABSENSI!$H$12)),MAX($AD$3:AD298)+1,""))</f>
        <v/>
      </c>
      <c r="AE299" s="40" t="str">
        <f aca="false">IF($B299="","",IF(AND(OR(KARTU!$K$6="",$F299=KARTU!$K$6),OR(KARTU!$K$7="",$G299=KARTU!$K$7),OR(KARTU!$K$8="",$P299=KARTU!$K$8)),MAX($AE$3:AE298)+1,""))</f>
        <v/>
      </c>
    </row>
    <row r="300" customFormat="false" ht="15" hidden="false" customHeight="false" outlineLevel="0" collapsed="false">
      <c r="A300" s="35" t="str">
        <f aca="false">IF($B300="","",COUNTA($B$4:$B300))</f>
        <v/>
      </c>
      <c r="B300" s="36"/>
      <c r="C300" s="37"/>
      <c r="D300" s="37"/>
      <c r="E300" s="38"/>
      <c r="F300" s="36"/>
      <c r="G300" s="39"/>
      <c r="H300" s="39"/>
      <c r="I300" s="36"/>
      <c r="J300" s="36"/>
      <c r="K300" s="36"/>
      <c r="L300" s="36"/>
      <c r="M300" s="40" t="str">
        <f aca="false">IF($F300="","",$F300&amp;IF($G300="",""," - RT "&amp;$G300&amp;IF($H300="","","/"&amp;$H300)))</f>
        <v/>
      </c>
      <c r="N300" s="36"/>
      <c r="O300" s="37"/>
      <c r="P300" s="39"/>
      <c r="Q300" s="41"/>
      <c r="R300" s="35" t="str">
        <f aca="true">IF(OR($B300="",$Q300=""),"",DATEDIF($Q300,TODAY(),"Y"))</f>
        <v/>
      </c>
      <c r="S300" s="40" t="str">
        <f aca="false">IF($R300="","",INDEX(usia_label,MATCH($R300,usia_min,1)))</f>
        <v/>
      </c>
      <c r="T300" s="36"/>
      <c r="U300" s="41"/>
      <c r="V300" s="36"/>
      <c r="W300" s="36"/>
      <c r="X300" s="40" t="str">
        <f aca="false">IF($M300="","",$M300&amp;"#"&amp;COUNTIF($M$4:$M300,$M300))</f>
        <v/>
      </c>
      <c r="Y300" s="40" t="str">
        <f aca="false">IF($B300="","",IF($C300="","NIK kosong",IF(LEN($C300)&lt;&gt;16,"NIK bukan 16 digit",IF(COUNTIF($C$4:$C$2003,$C300&amp;"*")&gt;1,"NIK ganda",IF(AND($D300&lt;&gt;"",LEN($D300)&lt;&gt;16),"No. KK bukan 16 digit",IF(AND($F300="",$I300=""),"Alamat kosong",IF($N300="","Jabatan kosong",IF($O300="","No. HP kosong",IF(AND($R300&lt;&gt;"",$R300&lt;17),"Usia di bawah 17","")))))))))</f>
        <v/>
      </c>
      <c r="Z300" s="40" t="str">
        <f aca="false">IF($B300="","",IF(AND(OR(CARI!$C$5="",ISNUMBER(SEARCH(CARI!$C$5,$B300&amp;" "&amp;$C300&amp;" "&amp;$D300&amp;" "&amp;$O300&amp;" "&amp;$I300&amp;" "&amp;$F300&amp;" "&amp;$J300&amp;" "&amp;$K300&amp;" "&amp;$L300&amp;" "&amp;$V300))),OR(CARI!$C$6="",$F300=CARI!$C$6),OR(CARI!$C$7="",$G300=CARI!$C$7),OR(CARI!$C$8="",$T300=CARI!$C$8)),MAX($Z$3:Z299)+1,""))</f>
        <v/>
      </c>
      <c r="AA300" s="40" t="str">
        <f aca="false">IF($Y300="","",MAX($AA$3:AA299)+1)</f>
        <v/>
      </c>
      <c r="AB300" s="40" t="str">
        <f aca="false">IF($F300="","",$F300&amp;"#"&amp;COUNTIF($F$4:$F300,$F300))</f>
        <v/>
      </c>
      <c r="AC300" s="40" t="str">
        <f aca="false">IF($B300="","",IF(AND(OR(CETAK!$J$10="",$F300=CETAK!$J$10),OR(CETAK!$J$11="",$G300=CETAK!$J$11),OR(CETAK!$J$12="",$P300=CETAK!$J$12),OR(CETAK!$J$13="",$N300=CETAK!$J$13),OR(CETAK!$J$14="",$T300=CETAK!$J$14)),MAX($AC$3:AC299)+1,""))</f>
        <v/>
      </c>
      <c r="AD300" s="40" t="str">
        <f aca="false">IF($B300="","",IF(AND(OR(ABSENSI!$H$10="",$F300=ABSENSI!$H$10),OR(ABSENSI!$H$11="",$G300=ABSENSI!$H$11),OR(ABSENSI!$H$12="",$P300=ABSENSI!$H$12)),MAX($AD$3:AD299)+1,""))</f>
        <v/>
      </c>
      <c r="AE300" s="40" t="str">
        <f aca="false">IF($B300="","",IF(AND(OR(KARTU!$K$6="",$F300=KARTU!$K$6),OR(KARTU!$K$7="",$G300=KARTU!$K$7),OR(KARTU!$K$8="",$P300=KARTU!$K$8)),MAX($AE$3:AE299)+1,""))</f>
        <v/>
      </c>
    </row>
    <row r="301" customFormat="false" ht="15" hidden="false" customHeight="false" outlineLevel="0" collapsed="false">
      <c r="A301" s="35" t="str">
        <f aca="false">IF($B301="","",COUNTA($B$4:$B301))</f>
        <v/>
      </c>
      <c r="B301" s="36"/>
      <c r="C301" s="37"/>
      <c r="D301" s="37"/>
      <c r="E301" s="38"/>
      <c r="F301" s="36"/>
      <c r="G301" s="39"/>
      <c r="H301" s="39"/>
      <c r="I301" s="36"/>
      <c r="J301" s="36"/>
      <c r="K301" s="36"/>
      <c r="L301" s="36"/>
      <c r="M301" s="40" t="str">
        <f aca="false">IF($F301="","",$F301&amp;IF($G301="",""," - RT "&amp;$G301&amp;IF($H301="","","/"&amp;$H301)))</f>
        <v/>
      </c>
      <c r="N301" s="36"/>
      <c r="O301" s="37"/>
      <c r="P301" s="39"/>
      <c r="Q301" s="41"/>
      <c r="R301" s="35" t="str">
        <f aca="true">IF(OR($B301="",$Q301=""),"",DATEDIF($Q301,TODAY(),"Y"))</f>
        <v/>
      </c>
      <c r="S301" s="40" t="str">
        <f aca="false">IF($R301="","",INDEX(usia_label,MATCH($R301,usia_min,1)))</f>
        <v/>
      </c>
      <c r="T301" s="36"/>
      <c r="U301" s="41"/>
      <c r="V301" s="36"/>
      <c r="W301" s="36"/>
      <c r="X301" s="40" t="str">
        <f aca="false">IF($M301="","",$M301&amp;"#"&amp;COUNTIF($M$4:$M301,$M301))</f>
        <v/>
      </c>
      <c r="Y301" s="40" t="str">
        <f aca="false">IF($B301="","",IF($C301="","NIK kosong",IF(LEN($C301)&lt;&gt;16,"NIK bukan 16 digit",IF(COUNTIF($C$4:$C$2003,$C301&amp;"*")&gt;1,"NIK ganda",IF(AND($D301&lt;&gt;"",LEN($D301)&lt;&gt;16),"No. KK bukan 16 digit",IF(AND($F301="",$I301=""),"Alamat kosong",IF($N301="","Jabatan kosong",IF($O301="","No. HP kosong",IF(AND($R301&lt;&gt;"",$R301&lt;17),"Usia di bawah 17","")))))))))</f>
        <v/>
      </c>
      <c r="Z301" s="40" t="str">
        <f aca="false">IF($B301="","",IF(AND(OR(CARI!$C$5="",ISNUMBER(SEARCH(CARI!$C$5,$B301&amp;" "&amp;$C301&amp;" "&amp;$D301&amp;" "&amp;$O301&amp;" "&amp;$I301&amp;" "&amp;$F301&amp;" "&amp;$J301&amp;" "&amp;$K301&amp;" "&amp;$L301&amp;" "&amp;$V301))),OR(CARI!$C$6="",$F301=CARI!$C$6),OR(CARI!$C$7="",$G301=CARI!$C$7),OR(CARI!$C$8="",$T301=CARI!$C$8)),MAX($Z$3:Z300)+1,""))</f>
        <v/>
      </c>
      <c r="AA301" s="40" t="str">
        <f aca="false">IF($Y301="","",MAX($AA$3:AA300)+1)</f>
        <v/>
      </c>
      <c r="AB301" s="40" t="str">
        <f aca="false">IF($F301="","",$F301&amp;"#"&amp;COUNTIF($F$4:$F301,$F301))</f>
        <v/>
      </c>
      <c r="AC301" s="40" t="str">
        <f aca="false">IF($B301="","",IF(AND(OR(CETAK!$J$10="",$F301=CETAK!$J$10),OR(CETAK!$J$11="",$G301=CETAK!$J$11),OR(CETAK!$J$12="",$P301=CETAK!$J$12),OR(CETAK!$J$13="",$N301=CETAK!$J$13),OR(CETAK!$J$14="",$T301=CETAK!$J$14)),MAX($AC$3:AC300)+1,""))</f>
        <v/>
      </c>
      <c r="AD301" s="40" t="str">
        <f aca="false">IF($B301="","",IF(AND(OR(ABSENSI!$H$10="",$F301=ABSENSI!$H$10),OR(ABSENSI!$H$11="",$G301=ABSENSI!$H$11),OR(ABSENSI!$H$12="",$P301=ABSENSI!$H$12)),MAX($AD$3:AD300)+1,""))</f>
        <v/>
      </c>
      <c r="AE301" s="40" t="str">
        <f aca="false">IF($B301="","",IF(AND(OR(KARTU!$K$6="",$F301=KARTU!$K$6),OR(KARTU!$K$7="",$G301=KARTU!$K$7),OR(KARTU!$K$8="",$P301=KARTU!$K$8)),MAX($AE$3:AE300)+1,""))</f>
        <v/>
      </c>
    </row>
    <row r="302" customFormat="false" ht="15" hidden="false" customHeight="false" outlineLevel="0" collapsed="false">
      <c r="A302" s="35" t="str">
        <f aca="false">IF($B302="","",COUNTA($B$4:$B302))</f>
        <v/>
      </c>
      <c r="B302" s="36"/>
      <c r="C302" s="37"/>
      <c r="D302" s="37"/>
      <c r="E302" s="38"/>
      <c r="F302" s="36"/>
      <c r="G302" s="39"/>
      <c r="H302" s="39"/>
      <c r="I302" s="36"/>
      <c r="J302" s="36"/>
      <c r="K302" s="36"/>
      <c r="L302" s="36"/>
      <c r="M302" s="40" t="str">
        <f aca="false">IF($F302="","",$F302&amp;IF($G302="",""," - RT "&amp;$G302&amp;IF($H302="","","/"&amp;$H302)))</f>
        <v/>
      </c>
      <c r="N302" s="36"/>
      <c r="O302" s="37"/>
      <c r="P302" s="39"/>
      <c r="Q302" s="41"/>
      <c r="R302" s="35" t="str">
        <f aca="true">IF(OR($B302="",$Q302=""),"",DATEDIF($Q302,TODAY(),"Y"))</f>
        <v/>
      </c>
      <c r="S302" s="40" t="str">
        <f aca="false">IF($R302="","",INDEX(usia_label,MATCH($R302,usia_min,1)))</f>
        <v/>
      </c>
      <c r="T302" s="36"/>
      <c r="U302" s="41"/>
      <c r="V302" s="36"/>
      <c r="W302" s="36"/>
      <c r="X302" s="40" t="str">
        <f aca="false">IF($M302="","",$M302&amp;"#"&amp;COUNTIF($M$4:$M302,$M302))</f>
        <v/>
      </c>
      <c r="Y302" s="40" t="str">
        <f aca="false">IF($B302="","",IF($C302="","NIK kosong",IF(LEN($C302)&lt;&gt;16,"NIK bukan 16 digit",IF(COUNTIF($C$4:$C$2003,$C302&amp;"*")&gt;1,"NIK ganda",IF(AND($D302&lt;&gt;"",LEN($D302)&lt;&gt;16),"No. KK bukan 16 digit",IF(AND($F302="",$I302=""),"Alamat kosong",IF($N302="","Jabatan kosong",IF($O302="","No. HP kosong",IF(AND($R302&lt;&gt;"",$R302&lt;17),"Usia di bawah 17","")))))))))</f>
        <v/>
      </c>
      <c r="Z302" s="40" t="str">
        <f aca="false">IF($B302="","",IF(AND(OR(CARI!$C$5="",ISNUMBER(SEARCH(CARI!$C$5,$B302&amp;" "&amp;$C302&amp;" "&amp;$D302&amp;" "&amp;$O302&amp;" "&amp;$I302&amp;" "&amp;$F302&amp;" "&amp;$J302&amp;" "&amp;$K302&amp;" "&amp;$L302&amp;" "&amp;$V302))),OR(CARI!$C$6="",$F302=CARI!$C$6),OR(CARI!$C$7="",$G302=CARI!$C$7),OR(CARI!$C$8="",$T302=CARI!$C$8)),MAX($Z$3:Z301)+1,""))</f>
        <v/>
      </c>
      <c r="AA302" s="40" t="str">
        <f aca="false">IF($Y302="","",MAX($AA$3:AA301)+1)</f>
        <v/>
      </c>
      <c r="AB302" s="40" t="str">
        <f aca="false">IF($F302="","",$F302&amp;"#"&amp;COUNTIF($F$4:$F302,$F302))</f>
        <v/>
      </c>
      <c r="AC302" s="40" t="str">
        <f aca="false">IF($B302="","",IF(AND(OR(CETAK!$J$10="",$F302=CETAK!$J$10),OR(CETAK!$J$11="",$G302=CETAK!$J$11),OR(CETAK!$J$12="",$P302=CETAK!$J$12),OR(CETAK!$J$13="",$N302=CETAK!$J$13),OR(CETAK!$J$14="",$T302=CETAK!$J$14)),MAX($AC$3:AC301)+1,""))</f>
        <v/>
      </c>
      <c r="AD302" s="40" t="str">
        <f aca="false">IF($B302="","",IF(AND(OR(ABSENSI!$H$10="",$F302=ABSENSI!$H$10),OR(ABSENSI!$H$11="",$G302=ABSENSI!$H$11),OR(ABSENSI!$H$12="",$P302=ABSENSI!$H$12)),MAX($AD$3:AD301)+1,""))</f>
        <v/>
      </c>
      <c r="AE302" s="40" t="str">
        <f aca="false">IF($B302="","",IF(AND(OR(KARTU!$K$6="",$F302=KARTU!$K$6),OR(KARTU!$K$7="",$G302=KARTU!$K$7),OR(KARTU!$K$8="",$P302=KARTU!$K$8)),MAX($AE$3:AE301)+1,""))</f>
        <v/>
      </c>
    </row>
    <row r="303" customFormat="false" ht="15" hidden="false" customHeight="false" outlineLevel="0" collapsed="false">
      <c r="A303" s="35" t="str">
        <f aca="false">IF($B303="","",COUNTA($B$4:$B303))</f>
        <v/>
      </c>
      <c r="B303" s="36"/>
      <c r="C303" s="37"/>
      <c r="D303" s="37"/>
      <c r="E303" s="38"/>
      <c r="F303" s="36"/>
      <c r="G303" s="39"/>
      <c r="H303" s="39"/>
      <c r="I303" s="36"/>
      <c r="J303" s="36"/>
      <c r="K303" s="36"/>
      <c r="L303" s="36"/>
      <c r="M303" s="40" t="str">
        <f aca="false">IF($F303="","",$F303&amp;IF($G303="",""," - RT "&amp;$G303&amp;IF($H303="","","/"&amp;$H303)))</f>
        <v/>
      </c>
      <c r="N303" s="36"/>
      <c r="O303" s="37"/>
      <c r="P303" s="39"/>
      <c r="Q303" s="41"/>
      <c r="R303" s="35" t="str">
        <f aca="true">IF(OR($B303="",$Q303=""),"",DATEDIF($Q303,TODAY(),"Y"))</f>
        <v/>
      </c>
      <c r="S303" s="40" t="str">
        <f aca="false">IF($R303="","",INDEX(usia_label,MATCH($R303,usia_min,1)))</f>
        <v/>
      </c>
      <c r="T303" s="36"/>
      <c r="U303" s="41"/>
      <c r="V303" s="36"/>
      <c r="W303" s="36"/>
      <c r="X303" s="40" t="str">
        <f aca="false">IF($M303="","",$M303&amp;"#"&amp;COUNTIF($M$4:$M303,$M303))</f>
        <v/>
      </c>
      <c r="Y303" s="40" t="str">
        <f aca="false">IF($B303="","",IF($C303="","NIK kosong",IF(LEN($C303)&lt;&gt;16,"NIK bukan 16 digit",IF(COUNTIF($C$4:$C$2003,$C303&amp;"*")&gt;1,"NIK ganda",IF(AND($D303&lt;&gt;"",LEN($D303)&lt;&gt;16),"No. KK bukan 16 digit",IF(AND($F303="",$I303=""),"Alamat kosong",IF($N303="","Jabatan kosong",IF($O303="","No. HP kosong",IF(AND($R303&lt;&gt;"",$R303&lt;17),"Usia di bawah 17","")))))))))</f>
        <v/>
      </c>
      <c r="Z303" s="40" t="str">
        <f aca="false">IF($B303="","",IF(AND(OR(CARI!$C$5="",ISNUMBER(SEARCH(CARI!$C$5,$B303&amp;" "&amp;$C303&amp;" "&amp;$D303&amp;" "&amp;$O303&amp;" "&amp;$I303&amp;" "&amp;$F303&amp;" "&amp;$J303&amp;" "&amp;$K303&amp;" "&amp;$L303&amp;" "&amp;$V303))),OR(CARI!$C$6="",$F303=CARI!$C$6),OR(CARI!$C$7="",$G303=CARI!$C$7),OR(CARI!$C$8="",$T303=CARI!$C$8)),MAX($Z$3:Z302)+1,""))</f>
        <v/>
      </c>
      <c r="AA303" s="40" t="str">
        <f aca="false">IF($Y303="","",MAX($AA$3:AA302)+1)</f>
        <v/>
      </c>
      <c r="AB303" s="40" t="str">
        <f aca="false">IF($F303="","",$F303&amp;"#"&amp;COUNTIF($F$4:$F303,$F303))</f>
        <v/>
      </c>
      <c r="AC303" s="40" t="str">
        <f aca="false">IF($B303="","",IF(AND(OR(CETAK!$J$10="",$F303=CETAK!$J$10),OR(CETAK!$J$11="",$G303=CETAK!$J$11),OR(CETAK!$J$12="",$P303=CETAK!$J$12),OR(CETAK!$J$13="",$N303=CETAK!$J$13),OR(CETAK!$J$14="",$T303=CETAK!$J$14)),MAX($AC$3:AC302)+1,""))</f>
        <v/>
      </c>
      <c r="AD303" s="40" t="str">
        <f aca="false">IF($B303="","",IF(AND(OR(ABSENSI!$H$10="",$F303=ABSENSI!$H$10),OR(ABSENSI!$H$11="",$G303=ABSENSI!$H$11),OR(ABSENSI!$H$12="",$P303=ABSENSI!$H$12)),MAX($AD$3:AD302)+1,""))</f>
        <v/>
      </c>
      <c r="AE303" s="40" t="str">
        <f aca="false">IF($B303="","",IF(AND(OR(KARTU!$K$6="",$F303=KARTU!$K$6),OR(KARTU!$K$7="",$G303=KARTU!$K$7),OR(KARTU!$K$8="",$P303=KARTU!$K$8)),MAX($AE$3:AE302)+1,""))</f>
        <v/>
      </c>
    </row>
    <row r="304" customFormat="false" ht="15" hidden="false" customHeight="false" outlineLevel="0" collapsed="false">
      <c r="A304" s="35" t="str">
        <f aca="false">IF($B304="","",COUNTA($B$4:$B304))</f>
        <v/>
      </c>
      <c r="B304" s="36"/>
      <c r="C304" s="37"/>
      <c r="D304" s="37"/>
      <c r="E304" s="38"/>
      <c r="F304" s="36"/>
      <c r="G304" s="39"/>
      <c r="H304" s="39"/>
      <c r="I304" s="36"/>
      <c r="J304" s="36"/>
      <c r="K304" s="36"/>
      <c r="L304" s="36"/>
      <c r="M304" s="40" t="str">
        <f aca="false">IF($F304="","",$F304&amp;IF($G304="",""," - RT "&amp;$G304&amp;IF($H304="","","/"&amp;$H304)))</f>
        <v/>
      </c>
      <c r="N304" s="36"/>
      <c r="O304" s="37"/>
      <c r="P304" s="39"/>
      <c r="Q304" s="41"/>
      <c r="R304" s="35" t="str">
        <f aca="true">IF(OR($B304="",$Q304=""),"",DATEDIF($Q304,TODAY(),"Y"))</f>
        <v/>
      </c>
      <c r="S304" s="40" t="str">
        <f aca="false">IF($R304="","",INDEX(usia_label,MATCH($R304,usia_min,1)))</f>
        <v/>
      </c>
      <c r="T304" s="36"/>
      <c r="U304" s="41"/>
      <c r="V304" s="36"/>
      <c r="W304" s="36"/>
      <c r="X304" s="40" t="str">
        <f aca="false">IF($M304="","",$M304&amp;"#"&amp;COUNTIF($M$4:$M304,$M304))</f>
        <v/>
      </c>
      <c r="Y304" s="40" t="str">
        <f aca="false">IF($B304="","",IF($C304="","NIK kosong",IF(LEN($C304)&lt;&gt;16,"NIK bukan 16 digit",IF(COUNTIF($C$4:$C$2003,$C304&amp;"*")&gt;1,"NIK ganda",IF(AND($D304&lt;&gt;"",LEN($D304)&lt;&gt;16),"No. KK bukan 16 digit",IF(AND($F304="",$I304=""),"Alamat kosong",IF($N304="","Jabatan kosong",IF($O304="","No. HP kosong",IF(AND($R304&lt;&gt;"",$R304&lt;17),"Usia di bawah 17","")))))))))</f>
        <v/>
      </c>
      <c r="Z304" s="40" t="str">
        <f aca="false">IF($B304="","",IF(AND(OR(CARI!$C$5="",ISNUMBER(SEARCH(CARI!$C$5,$B304&amp;" "&amp;$C304&amp;" "&amp;$D304&amp;" "&amp;$O304&amp;" "&amp;$I304&amp;" "&amp;$F304&amp;" "&amp;$J304&amp;" "&amp;$K304&amp;" "&amp;$L304&amp;" "&amp;$V304))),OR(CARI!$C$6="",$F304=CARI!$C$6),OR(CARI!$C$7="",$G304=CARI!$C$7),OR(CARI!$C$8="",$T304=CARI!$C$8)),MAX($Z$3:Z303)+1,""))</f>
        <v/>
      </c>
      <c r="AA304" s="40" t="str">
        <f aca="false">IF($Y304="","",MAX($AA$3:AA303)+1)</f>
        <v/>
      </c>
      <c r="AB304" s="40" t="str">
        <f aca="false">IF($F304="","",$F304&amp;"#"&amp;COUNTIF($F$4:$F304,$F304))</f>
        <v/>
      </c>
      <c r="AC304" s="40" t="str">
        <f aca="false">IF($B304="","",IF(AND(OR(CETAK!$J$10="",$F304=CETAK!$J$10),OR(CETAK!$J$11="",$G304=CETAK!$J$11),OR(CETAK!$J$12="",$P304=CETAK!$J$12),OR(CETAK!$J$13="",$N304=CETAK!$J$13),OR(CETAK!$J$14="",$T304=CETAK!$J$14)),MAX($AC$3:AC303)+1,""))</f>
        <v/>
      </c>
      <c r="AD304" s="40" t="str">
        <f aca="false">IF($B304="","",IF(AND(OR(ABSENSI!$H$10="",$F304=ABSENSI!$H$10),OR(ABSENSI!$H$11="",$G304=ABSENSI!$H$11),OR(ABSENSI!$H$12="",$P304=ABSENSI!$H$12)),MAX($AD$3:AD303)+1,""))</f>
        <v/>
      </c>
      <c r="AE304" s="40" t="str">
        <f aca="false">IF($B304="","",IF(AND(OR(KARTU!$K$6="",$F304=KARTU!$K$6),OR(KARTU!$K$7="",$G304=KARTU!$K$7),OR(KARTU!$K$8="",$P304=KARTU!$K$8)),MAX($AE$3:AE303)+1,""))</f>
        <v/>
      </c>
    </row>
    <row r="305" customFormat="false" ht="15" hidden="false" customHeight="false" outlineLevel="0" collapsed="false">
      <c r="A305" s="35" t="str">
        <f aca="false">IF($B305="","",COUNTA($B$4:$B305))</f>
        <v/>
      </c>
      <c r="B305" s="36"/>
      <c r="C305" s="37"/>
      <c r="D305" s="37"/>
      <c r="E305" s="38"/>
      <c r="F305" s="36"/>
      <c r="G305" s="39"/>
      <c r="H305" s="39"/>
      <c r="I305" s="36"/>
      <c r="J305" s="36"/>
      <c r="K305" s="36"/>
      <c r="L305" s="36"/>
      <c r="M305" s="40" t="str">
        <f aca="false">IF($F305="","",$F305&amp;IF($G305="",""," - RT "&amp;$G305&amp;IF($H305="","","/"&amp;$H305)))</f>
        <v/>
      </c>
      <c r="N305" s="36"/>
      <c r="O305" s="37"/>
      <c r="P305" s="39"/>
      <c r="Q305" s="41"/>
      <c r="R305" s="35" t="str">
        <f aca="true">IF(OR($B305="",$Q305=""),"",DATEDIF($Q305,TODAY(),"Y"))</f>
        <v/>
      </c>
      <c r="S305" s="40" t="str">
        <f aca="false">IF($R305="","",INDEX(usia_label,MATCH($R305,usia_min,1)))</f>
        <v/>
      </c>
      <c r="T305" s="36"/>
      <c r="U305" s="41"/>
      <c r="V305" s="36"/>
      <c r="W305" s="36"/>
      <c r="X305" s="40" t="str">
        <f aca="false">IF($M305="","",$M305&amp;"#"&amp;COUNTIF($M$4:$M305,$M305))</f>
        <v/>
      </c>
      <c r="Y305" s="40" t="str">
        <f aca="false">IF($B305="","",IF($C305="","NIK kosong",IF(LEN($C305)&lt;&gt;16,"NIK bukan 16 digit",IF(COUNTIF($C$4:$C$2003,$C305&amp;"*")&gt;1,"NIK ganda",IF(AND($D305&lt;&gt;"",LEN($D305)&lt;&gt;16),"No. KK bukan 16 digit",IF(AND($F305="",$I305=""),"Alamat kosong",IF($N305="","Jabatan kosong",IF($O305="","No. HP kosong",IF(AND($R305&lt;&gt;"",$R305&lt;17),"Usia di bawah 17","")))))))))</f>
        <v/>
      </c>
      <c r="Z305" s="40" t="str">
        <f aca="false">IF($B305="","",IF(AND(OR(CARI!$C$5="",ISNUMBER(SEARCH(CARI!$C$5,$B305&amp;" "&amp;$C305&amp;" "&amp;$D305&amp;" "&amp;$O305&amp;" "&amp;$I305&amp;" "&amp;$F305&amp;" "&amp;$J305&amp;" "&amp;$K305&amp;" "&amp;$L305&amp;" "&amp;$V305))),OR(CARI!$C$6="",$F305=CARI!$C$6),OR(CARI!$C$7="",$G305=CARI!$C$7),OR(CARI!$C$8="",$T305=CARI!$C$8)),MAX($Z$3:Z304)+1,""))</f>
        <v/>
      </c>
      <c r="AA305" s="40" t="str">
        <f aca="false">IF($Y305="","",MAX($AA$3:AA304)+1)</f>
        <v/>
      </c>
      <c r="AB305" s="40" t="str">
        <f aca="false">IF($F305="","",$F305&amp;"#"&amp;COUNTIF($F$4:$F305,$F305))</f>
        <v/>
      </c>
      <c r="AC305" s="40" t="str">
        <f aca="false">IF($B305="","",IF(AND(OR(CETAK!$J$10="",$F305=CETAK!$J$10),OR(CETAK!$J$11="",$G305=CETAK!$J$11),OR(CETAK!$J$12="",$P305=CETAK!$J$12),OR(CETAK!$J$13="",$N305=CETAK!$J$13),OR(CETAK!$J$14="",$T305=CETAK!$J$14)),MAX($AC$3:AC304)+1,""))</f>
        <v/>
      </c>
      <c r="AD305" s="40" t="str">
        <f aca="false">IF($B305="","",IF(AND(OR(ABSENSI!$H$10="",$F305=ABSENSI!$H$10),OR(ABSENSI!$H$11="",$G305=ABSENSI!$H$11),OR(ABSENSI!$H$12="",$P305=ABSENSI!$H$12)),MAX($AD$3:AD304)+1,""))</f>
        <v/>
      </c>
      <c r="AE305" s="40" t="str">
        <f aca="false">IF($B305="","",IF(AND(OR(KARTU!$K$6="",$F305=KARTU!$K$6),OR(KARTU!$K$7="",$G305=KARTU!$K$7),OR(KARTU!$K$8="",$P305=KARTU!$K$8)),MAX($AE$3:AE304)+1,""))</f>
        <v/>
      </c>
    </row>
    <row r="306" customFormat="false" ht="15" hidden="false" customHeight="false" outlineLevel="0" collapsed="false">
      <c r="A306" s="35" t="str">
        <f aca="false">IF($B306="","",COUNTA($B$4:$B306))</f>
        <v/>
      </c>
      <c r="B306" s="36"/>
      <c r="C306" s="37"/>
      <c r="D306" s="37"/>
      <c r="E306" s="38"/>
      <c r="F306" s="36"/>
      <c r="G306" s="39"/>
      <c r="H306" s="39"/>
      <c r="I306" s="36"/>
      <c r="J306" s="36"/>
      <c r="K306" s="36"/>
      <c r="L306" s="36"/>
      <c r="M306" s="40" t="str">
        <f aca="false">IF($F306="","",$F306&amp;IF($G306="",""," - RT "&amp;$G306&amp;IF($H306="","","/"&amp;$H306)))</f>
        <v/>
      </c>
      <c r="N306" s="36"/>
      <c r="O306" s="37"/>
      <c r="P306" s="39"/>
      <c r="Q306" s="41"/>
      <c r="R306" s="35" t="str">
        <f aca="true">IF(OR($B306="",$Q306=""),"",DATEDIF($Q306,TODAY(),"Y"))</f>
        <v/>
      </c>
      <c r="S306" s="40" t="str">
        <f aca="false">IF($R306="","",INDEX(usia_label,MATCH($R306,usia_min,1)))</f>
        <v/>
      </c>
      <c r="T306" s="36"/>
      <c r="U306" s="41"/>
      <c r="V306" s="36"/>
      <c r="W306" s="36"/>
      <c r="X306" s="40" t="str">
        <f aca="false">IF($M306="","",$M306&amp;"#"&amp;COUNTIF($M$4:$M306,$M306))</f>
        <v/>
      </c>
      <c r="Y306" s="40" t="str">
        <f aca="false">IF($B306="","",IF($C306="","NIK kosong",IF(LEN($C306)&lt;&gt;16,"NIK bukan 16 digit",IF(COUNTIF($C$4:$C$2003,$C306&amp;"*")&gt;1,"NIK ganda",IF(AND($D306&lt;&gt;"",LEN($D306)&lt;&gt;16),"No. KK bukan 16 digit",IF(AND($F306="",$I306=""),"Alamat kosong",IF($N306="","Jabatan kosong",IF($O306="","No. HP kosong",IF(AND($R306&lt;&gt;"",$R306&lt;17),"Usia di bawah 17","")))))))))</f>
        <v/>
      </c>
      <c r="Z306" s="40" t="str">
        <f aca="false">IF($B306="","",IF(AND(OR(CARI!$C$5="",ISNUMBER(SEARCH(CARI!$C$5,$B306&amp;" "&amp;$C306&amp;" "&amp;$D306&amp;" "&amp;$O306&amp;" "&amp;$I306&amp;" "&amp;$F306&amp;" "&amp;$J306&amp;" "&amp;$K306&amp;" "&amp;$L306&amp;" "&amp;$V306))),OR(CARI!$C$6="",$F306=CARI!$C$6),OR(CARI!$C$7="",$G306=CARI!$C$7),OR(CARI!$C$8="",$T306=CARI!$C$8)),MAX($Z$3:Z305)+1,""))</f>
        <v/>
      </c>
      <c r="AA306" s="40" t="str">
        <f aca="false">IF($Y306="","",MAX($AA$3:AA305)+1)</f>
        <v/>
      </c>
      <c r="AB306" s="40" t="str">
        <f aca="false">IF($F306="","",$F306&amp;"#"&amp;COUNTIF($F$4:$F306,$F306))</f>
        <v/>
      </c>
      <c r="AC306" s="40" t="str">
        <f aca="false">IF($B306="","",IF(AND(OR(CETAK!$J$10="",$F306=CETAK!$J$10),OR(CETAK!$J$11="",$G306=CETAK!$J$11),OR(CETAK!$J$12="",$P306=CETAK!$J$12),OR(CETAK!$J$13="",$N306=CETAK!$J$13),OR(CETAK!$J$14="",$T306=CETAK!$J$14)),MAX($AC$3:AC305)+1,""))</f>
        <v/>
      </c>
      <c r="AD306" s="40" t="str">
        <f aca="false">IF($B306="","",IF(AND(OR(ABSENSI!$H$10="",$F306=ABSENSI!$H$10),OR(ABSENSI!$H$11="",$G306=ABSENSI!$H$11),OR(ABSENSI!$H$12="",$P306=ABSENSI!$H$12)),MAX($AD$3:AD305)+1,""))</f>
        <v/>
      </c>
      <c r="AE306" s="40" t="str">
        <f aca="false">IF($B306="","",IF(AND(OR(KARTU!$K$6="",$F306=KARTU!$K$6),OR(KARTU!$K$7="",$G306=KARTU!$K$7),OR(KARTU!$K$8="",$P306=KARTU!$K$8)),MAX($AE$3:AE305)+1,""))</f>
        <v/>
      </c>
    </row>
    <row r="307" customFormat="false" ht="15" hidden="false" customHeight="false" outlineLevel="0" collapsed="false">
      <c r="A307" s="35" t="str">
        <f aca="false">IF($B307="","",COUNTA($B$4:$B307))</f>
        <v/>
      </c>
      <c r="B307" s="36"/>
      <c r="C307" s="37"/>
      <c r="D307" s="37"/>
      <c r="E307" s="38"/>
      <c r="F307" s="36"/>
      <c r="G307" s="39"/>
      <c r="H307" s="39"/>
      <c r="I307" s="36"/>
      <c r="J307" s="36"/>
      <c r="K307" s="36"/>
      <c r="L307" s="36"/>
      <c r="M307" s="40" t="str">
        <f aca="false">IF($F307="","",$F307&amp;IF($G307="",""," - RT "&amp;$G307&amp;IF($H307="","","/"&amp;$H307)))</f>
        <v/>
      </c>
      <c r="N307" s="36"/>
      <c r="O307" s="37"/>
      <c r="P307" s="39"/>
      <c r="Q307" s="41"/>
      <c r="R307" s="35" t="str">
        <f aca="true">IF(OR($B307="",$Q307=""),"",DATEDIF($Q307,TODAY(),"Y"))</f>
        <v/>
      </c>
      <c r="S307" s="40" t="str">
        <f aca="false">IF($R307="","",INDEX(usia_label,MATCH($R307,usia_min,1)))</f>
        <v/>
      </c>
      <c r="T307" s="36"/>
      <c r="U307" s="41"/>
      <c r="V307" s="36"/>
      <c r="W307" s="36"/>
      <c r="X307" s="40" t="str">
        <f aca="false">IF($M307="","",$M307&amp;"#"&amp;COUNTIF($M$4:$M307,$M307))</f>
        <v/>
      </c>
      <c r="Y307" s="40" t="str">
        <f aca="false">IF($B307="","",IF($C307="","NIK kosong",IF(LEN($C307)&lt;&gt;16,"NIK bukan 16 digit",IF(COUNTIF($C$4:$C$2003,$C307&amp;"*")&gt;1,"NIK ganda",IF(AND($D307&lt;&gt;"",LEN($D307)&lt;&gt;16),"No. KK bukan 16 digit",IF(AND($F307="",$I307=""),"Alamat kosong",IF($N307="","Jabatan kosong",IF($O307="","No. HP kosong",IF(AND($R307&lt;&gt;"",$R307&lt;17),"Usia di bawah 17","")))))))))</f>
        <v/>
      </c>
      <c r="Z307" s="40" t="str">
        <f aca="false">IF($B307="","",IF(AND(OR(CARI!$C$5="",ISNUMBER(SEARCH(CARI!$C$5,$B307&amp;" "&amp;$C307&amp;" "&amp;$D307&amp;" "&amp;$O307&amp;" "&amp;$I307&amp;" "&amp;$F307&amp;" "&amp;$J307&amp;" "&amp;$K307&amp;" "&amp;$L307&amp;" "&amp;$V307))),OR(CARI!$C$6="",$F307=CARI!$C$6),OR(CARI!$C$7="",$G307=CARI!$C$7),OR(CARI!$C$8="",$T307=CARI!$C$8)),MAX($Z$3:Z306)+1,""))</f>
        <v/>
      </c>
      <c r="AA307" s="40" t="str">
        <f aca="false">IF($Y307="","",MAX($AA$3:AA306)+1)</f>
        <v/>
      </c>
      <c r="AB307" s="40" t="str">
        <f aca="false">IF($F307="","",$F307&amp;"#"&amp;COUNTIF($F$4:$F307,$F307))</f>
        <v/>
      </c>
      <c r="AC307" s="40" t="str">
        <f aca="false">IF($B307="","",IF(AND(OR(CETAK!$J$10="",$F307=CETAK!$J$10),OR(CETAK!$J$11="",$G307=CETAK!$J$11),OR(CETAK!$J$12="",$P307=CETAK!$J$12),OR(CETAK!$J$13="",$N307=CETAK!$J$13),OR(CETAK!$J$14="",$T307=CETAK!$J$14)),MAX($AC$3:AC306)+1,""))</f>
        <v/>
      </c>
      <c r="AD307" s="40" t="str">
        <f aca="false">IF($B307="","",IF(AND(OR(ABSENSI!$H$10="",$F307=ABSENSI!$H$10),OR(ABSENSI!$H$11="",$G307=ABSENSI!$H$11),OR(ABSENSI!$H$12="",$P307=ABSENSI!$H$12)),MAX($AD$3:AD306)+1,""))</f>
        <v/>
      </c>
      <c r="AE307" s="40" t="str">
        <f aca="false">IF($B307="","",IF(AND(OR(KARTU!$K$6="",$F307=KARTU!$K$6),OR(KARTU!$K$7="",$G307=KARTU!$K$7),OR(KARTU!$K$8="",$P307=KARTU!$K$8)),MAX($AE$3:AE306)+1,""))</f>
        <v/>
      </c>
    </row>
    <row r="308" customFormat="false" ht="15" hidden="false" customHeight="false" outlineLevel="0" collapsed="false">
      <c r="A308" s="35" t="str">
        <f aca="false">IF($B308="","",COUNTA($B$4:$B308))</f>
        <v/>
      </c>
      <c r="B308" s="36"/>
      <c r="C308" s="37"/>
      <c r="D308" s="37"/>
      <c r="E308" s="38"/>
      <c r="F308" s="36"/>
      <c r="G308" s="39"/>
      <c r="H308" s="39"/>
      <c r="I308" s="36"/>
      <c r="J308" s="36"/>
      <c r="K308" s="36"/>
      <c r="L308" s="36"/>
      <c r="M308" s="40" t="str">
        <f aca="false">IF($F308="","",$F308&amp;IF($G308="",""," - RT "&amp;$G308&amp;IF($H308="","","/"&amp;$H308)))</f>
        <v/>
      </c>
      <c r="N308" s="36"/>
      <c r="O308" s="37"/>
      <c r="P308" s="39"/>
      <c r="Q308" s="41"/>
      <c r="R308" s="35" t="str">
        <f aca="true">IF(OR($B308="",$Q308=""),"",DATEDIF($Q308,TODAY(),"Y"))</f>
        <v/>
      </c>
      <c r="S308" s="40" t="str">
        <f aca="false">IF($R308="","",INDEX(usia_label,MATCH($R308,usia_min,1)))</f>
        <v/>
      </c>
      <c r="T308" s="36"/>
      <c r="U308" s="41"/>
      <c r="V308" s="36"/>
      <c r="W308" s="36"/>
      <c r="X308" s="40" t="str">
        <f aca="false">IF($M308="","",$M308&amp;"#"&amp;COUNTIF($M$4:$M308,$M308))</f>
        <v/>
      </c>
      <c r="Y308" s="40" t="str">
        <f aca="false">IF($B308="","",IF($C308="","NIK kosong",IF(LEN($C308)&lt;&gt;16,"NIK bukan 16 digit",IF(COUNTIF($C$4:$C$2003,$C308&amp;"*")&gt;1,"NIK ganda",IF(AND($D308&lt;&gt;"",LEN($D308)&lt;&gt;16),"No. KK bukan 16 digit",IF(AND($F308="",$I308=""),"Alamat kosong",IF($N308="","Jabatan kosong",IF($O308="","No. HP kosong",IF(AND($R308&lt;&gt;"",$R308&lt;17),"Usia di bawah 17","")))))))))</f>
        <v/>
      </c>
      <c r="Z308" s="40" t="str">
        <f aca="false">IF($B308="","",IF(AND(OR(CARI!$C$5="",ISNUMBER(SEARCH(CARI!$C$5,$B308&amp;" "&amp;$C308&amp;" "&amp;$D308&amp;" "&amp;$O308&amp;" "&amp;$I308&amp;" "&amp;$F308&amp;" "&amp;$J308&amp;" "&amp;$K308&amp;" "&amp;$L308&amp;" "&amp;$V308))),OR(CARI!$C$6="",$F308=CARI!$C$6),OR(CARI!$C$7="",$G308=CARI!$C$7),OR(CARI!$C$8="",$T308=CARI!$C$8)),MAX($Z$3:Z307)+1,""))</f>
        <v/>
      </c>
      <c r="AA308" s="40" t="str">
        <f aca="false">IF($Y308="","",MAX($AA$3:AA307)+1)</f>
        <v/>
      </c>
      <c r="AB308" s="40" t="str">
        <f aca="false">IF($F308="","",$F308&amp;"#"&amp;COUNTIF($F$4:$F308,$F308))</f>
        <v/>
      </c>
      <c r="AC308" s="40" t="str">
        <f aca="false">IF($B308="","",IF(AND(OR(CETAK!$J$10="",$F308=CETAK!$J$10),OR(CETAK!$J$11="",$G308=CETAK!$J$11),OR(CETAK!$J$12="",$P308=CETAK!$J$12),OR(CETAK!$J$13="",$N308=CETAK!$J$13),OR(CETAK!$J$14="",$T308=CETAK!$J$14)),MAX($AC$3:AC307)+1,""))</f>
        <v/>
      </c>
      <c r="AD308" s="40" t="str">
        <f aca="false">IF($B308="","",IF(AND(OR(ABSENSI!$H$10="",$F308=ABSENSI!$H$10),OR(ABSENSI!$H$11="",$G308=ABSENSI!$H$11),OR(ABSENSI!$H$12="",$P308=ABSENSI!$H$12)),MAX($AD$3:AD307)+1,""))</f>
        <v/>
      </c>
      <c r="AE308" s="40" t="str">
        <f aca="false">IF($B308="","",IF(AND(OR(KARTU!$K$6="",$F308=KARTU!$K$6),OR(KARTU!$K$7="",$G308=KARTU!$K$7),OR(KARTU!$K$8="",$P308=KARTU!$K$8)),MAX($AE$3:AE307)+1,""))</f>
        <v/>
      </c>
    </row>
    <row r="309" customFormat="false" ht="15" hidden="false" customHeight="false" outlineLevel="0" collapsed="false">
      <c r="A309" s="35" t="str">
        <f aca="false">IF($B309="","",COUNTA($B$4:$B309))</f>
        <v/>
      </c>
      <c r="B309" s="36"/>
      <c r="C309" s="37"/>
      <c r="D309" s="37"/>
      <c r="E309" s="38"/>
      <c r="F309" s="36"/>
      <c r="G309" s="39"/>
      <c r="H309" s="39"/>
      <c r="I309" s="36"/>
      <c r="J309" s="36"/>
      <c r="K309" s="36"/>
      <c r="L309" s="36"/>
      <c r="M309" s="40" t="str">
        <f aca="false">IF($F309="","",$F309&amp;IF($G309="",""," - RT "&amp;$G309&amp;IF($H309="","","/"&amp;$H309)))</f>
        <v/>
      </c>
      <c r="N309" s="36"/>
      <c r="O309" s="37"/>
      <c r="P309" s="39"/>
      <c r="Q309" s="41"/>
      <c r="R309" s="35" t="str">
        <f aca="true">IF(OR($B309="",$Q309=""),"",DATEDIF($Q309,TODAY(),"Y"))</f>
        <v/>
      </c>
      <c r="S309" s="40" t="str">
        <f aca="false">IF($R309="","",INDEX(usia_label,MATCH($R309,usia_min,1)))</f>
        <v/>
      </c>
      <c r="T309" s="36"/>
      <c r="U309" s="41"/>
      <c r="V309" s="36"/>
      <c r="W309" s="36"/>
      <c r="X309" s="40" t="str">
        <f aca="false">IF($M309="","",$M309&amp;"#"&amp;COUNTIF($M$4:$M309,$M309))</f>
        <v/>
      </c>
      <c r="Y309" s="40" t="str">
        <f aca="false">IF($B309="","",IF($C309="","NIK kosong",IF(LEN($C309)&lt;&gt;16,"NIK bukan 16 digit",IF(COUNTIF($C$4:$C$2003,$C309&amp;"*")&gt;1,"NIK ganda",IF(AND($D309&lt;&gt;"",LEN($D309)&lt;&gt;16),"No. KK bukan 16 digit",IF(AND($F309="",$I309=""),"Alamat kosong",IF($N309="","Jabatan kosong",IF($O309="","No. HP kosong",IF(AND($R309&lt;&gt;"",$R309&lt;17),"Usia di bawah 17","")))))))))</f>
        <v/>
      </c>
      <c r="Z309" s="40" t="str">
        <f aca="false">IF($B309="","",IF(AND(OR(CARI!$C$5="",ISNUMBER(SEARCH(CARI!$C$5,$B309&amp;" "&amp;$C309&amp;" "&amp;$D309&amp;" "&amp;$O309&amp;" "&amp;$I309&amp;" "&amp;$F309&amp;" "&amp;$J309&amp;" "&amp;$K309&amp;" "&amp;$L309&amp;" "&amp;$V309))),OR(CARI!$C$6="",$F309=CARI!$C$6),OR(CARI!$C$7="",$G309=CARI!$C$7),OR(CARI!$C$8="",$T309=CARI!$C$8)),MAX($Z$3:Z308)+1,""))</f>
        <v/>
      </c>
      <c r="AA309" s="40" t="str">
        <f aca="false">IF($Y309="","",MAX($AA$3:AA308)+1)</f>
        <v/>
      </c>
      <c r="AB309" s="40" t="str">
        <f aca="false">IF($F309="","",$F309&amp;"#"&amp;COUNTIF($F$4:$F309,$F309))</f>
        <v/>
      </c>
      <c r="AC309" s="40" t="str">
        <f aca="false">IF($B309="","",IF(AND(OR(CETAK!$J$10="",$F309=CETAK!$J$10),OR(CETAK!$J$11="",$G309=CETAK!$J$11),OR(CETAK!$J$12="",$P309=CETAK!$J$12),OR(CETAK!$J$13="",$N309=CETAK!$J$13),OR(CETAK!$J$14="",$T309=CETAK!$J$14)),MAX($AC$3:AC308)+1,""))</f>
        <v/>
      </c>
      <c r="AD309" s="40" t="str">
        <f aca="false">IF($B309="","",IF(AND(OR(ABSENSI!$H$10="",$F309=ABSENSI!$H$10),OR(ABSENSI!$H$11="",$G309=ABSENSI!$H$11),OR(ABSENSI!$H$12="",$P309=ABSENSI!$H$12)),MAX($AD$3:AD308)+1,""))</f>
        <v/>
      </c>
      <c r="AE309" s="40" t="str">
        <f aca="false">IF($B309="","",IF(AND(OR(KARTU!$K$6="",$F309=KARTU!$K$6),OR(KARTU!$K$7="",$G309=KARTU!$K$7),OR(KARTU!$K$8="",$P309=KARTU!$K$8)),MAX($AE$3:AE308)+1,""))</f>
        <v/>
      </c>
    </row>
    <row r="310" customFormat="false" ht="15" hidden="false" customHeight="false" outlineLevel="0" collapsed="false">
      <c r="A310" s="35" t="str">
        <f aca="false">IF($B310="","",COUNTA($B$4:$B310))</f>
        <v/>
      </c>
      <c r="B310" s="36"/>
      <c r="C310" s="37"/>
      <c r="D310" s="37"/>
      <c r="E310" s="38"/>
      <c r="F310" s="36"/>
      <c r="G310" s="39"/>
      <c r="H310" s="39"/>
      <c r="I310" s="36"/>
      <c r="J310" s="36"/>
      <c r="K310" s="36"/>
      <c r="L310" s="36"/>
      <c r="M310" s="40" t="str">
        <f aca="false">IF($F310="","",$F310&amp;IF($G310="",""," - RT "&amp;$G310&amp;IF($H310="","","/"&amp;$H310)))</f>
        <v/>
      </c>
      <c r="N310" s="36"/>
      <c r="O310" s="37"/>
      <c r="P310" s="39"/>
      <c r="Q310" s="41"/>
      <c r="R310" s="35" t="str">
        <f aca="true">IF(OR($B310="",$Q310=""),"",DATEDIF($Q310,TODAY(),"Y"))</f>
        <v/>
      </c>
      <c r="S310" s="40" t="str">
        <f aca="false">IF($R310="","",INDEX(usia_label,MATCH($R310,usia_min,1)))</f>
        <v/>
      </c>
      <c r="T310" s="36"/>
      <c r="U310" s="41"/>
      <c r="V310" s="36"/>
      <c r="W310" s="36"/>
      <c r="X310" s="40" t="str">
        <f aca="false">IF($M310="","",$M310&amp;"#"&amp;COUNTIF($M$4:$M310,$M310))</f>
        <v/>
      </c>
      <c r="Y310" s="40" t="str">
        <f aca="false">IF($B310="","",IF($C310="","NIK kosong",IF(LEN($C310)&lt;&gt;16,"NIK bukan 16 digit",IF(COUNTIF($C$4:$C$2003,$C310&amp;"*")&gt;1,"NIK ganda",IF(AND($D310&lt;&gt;"",LEN($D310)&lt;&gt;16),"No. KK bukan 16 digit",IF(AND($F310="",$I310=""),"Alamat kosong",IF($N310="","Jabatan kosong",IF($O310="","No. HP kosong",IF(AND($R310&lt;&gt;"",$R310&lt;17),"Usia di bawah 17","")))))))))</f>
        <v/>
      </c>
      <c r="Z310" s="40" t="str">
        <f aca="false">IF($B310="","",IF(AND(OR(CARI!$C$5="",ISNUMBER(SEARCH(CARI!$C$5,$B310&amp;" "&amp;$C310&amp;" "&amp;$D310&amp;" "&amp;$O310&amp;" "&amp;$I310&amp;" "&amp;$F310&amp;" "&amp;$J310&amp;" "&amp;$K310&amp;" "&amp;$L310&amp;" "&amp;$V310))),OR(CARI!$C$6="",$F310=CARI!$C$6),OR(CARI!$C$7="",$G310=CARI!$C$7),OR(CARI!$C$8="",$T310=CARI!$C$8)),MAX($Z$3:Z309)+1,""))</f>
        <v/>
      </c>
      <c r="AA310" s="40" t="str">
        <f aca="false">IF($Y310="","",MAX($AA$3:AA309)+1)</f>
        <v/>
      </c>
      <c r="AB310" s="40" t="str">
        <f aca="false">IF($F310="","",$F310&amp;"#"&amp;COUNTIF($F$4:$F310,$F310))</f>
        <v/>
      </c>
      <c r="AC310" s="40" t="str">
        <f aca="false">IF($B310="","",IF(AND(OR(CETAK!$J$10="",$F310=CETAK!$J$10),OR(CETAK!$J$11="",$G310=CETAK!$J$11),OR(CETAK!$J$12="",$P310=CETAK!$J$12),OR(CETAK!$J$13="",$N310=CETAK!$J$13),OR(CETAK!$J$14="",$T310=CETAK!$J$14)),MAX($AC$3:AC309)+1,""))</f>
        <v/>
      </c>
      <c r="AD310" s="40" t="str">
        <f aca="false">IF($B310="","",IF(AND(OR(ABSENSI!$H$10="",$F310=ABSENSI!$H$10),OR(ABSENSI!$H$11="",$G310=ABSENSI!$H$11),OR(ABSENSI!$H$12="",$P310=ABSENSI!$H$12)),MAX($AD$3:AD309)+1,""))</f>
        <v/>
      </c>
      <c r="AE310" s="40" t="str">
        <f aca="false">IF($B310="","",IF(AND(OR(KARTU!$K$6="",$F310=KARTU!$K$6),OR(KARTU!$K$7="",$G310=KARTU!$K$7),OR(KARTU!$K$8="",$P310=KARTU!$K$8)),MAX($AE$3:AE309)+1,""))</f>
        <v/>
      </c>
    </row>
    <row r="311" customFormat="false" ht="15" hidden="false" customHeight="false" outlineLevel="0" collapsed="false">
      <c r="A311" s="35" t="str">
        <f aca="false">IF($B311="","",COUNTA($B$4:$B311))</f>
        <v/>
      </c>
      <c r="B311" s="36"/>
      <c r="C311" s="37"/>
      <c r="D311" s="37"/>
      <c r="E311" s="38"/>
      <c r="F311" s="36"/>
      <c r="G311" s="39"/>
      <c r="H311" s="39"/>
      <c r="I311" s="36"/>
      <c r="J311" s="36"/>
      <c r="K311" s="36"/>
      <c r="L311" s="36"/>
      <c r="M311" s="40" t="str">
        <f aca="false">IF($F311="","",$F311&amp;IF($G311="",""," - RT "&amp;$G311&amp;IF($H311="","","/"&amp;$H311)))</f>
        <v/>
      </c>
      <c r="N311" s="36"/>
      <c r="O311" s="37"/>
      <c r="P311" s="39"/>
      <c r="Q311" s="41"/>
      <c r="R311" s="35" t="str">
        <f aca="true">IF(OR($B311="",$Q311=""),"",DATEDIF($Q311,TODAY(),"Y"))</f>
        <v/>
      </c>
      <c r="S311" s="40" t="str">
        <f aca="false">IF($R311="","",INDEX(usia_label,MATCH($R311,usia_min,1)))</f>
        <v/>
      </c>
      <c r="T311" s="36"/>
      <c r="U311" s="41"/>
      <c r="V311" s="36"/>
      <c r="W311" s="36"/>
      <c r="X311" s="40" t="str">
        <f aca="false">IF($M311="","",$M311&amp;"#"&amp;COUNTIF($M$4:$M311,$M311))</f>
        <v/>
      </c>
      <c r="Y311" s="40" t="str">
        <f aca="false">IF($B311="","",IF($C311="","NIK kosong",IF(LEN($C311)&lt;&gt;16,"NIK bukan 16 digit",IF(COUNTIF($C$4:$C$2003,$C311&amp;"*")&gt;1,"NIK ganda",IF(AND($D311&lt;&gt;"",LEN($D311)&lt;&gt;16),"No. KK bukan 16 digit",IF(AND($F311="",$I311=""),"Alamat kosong",IF($N311="","Jabatan kosong",IF($O311="","No. HP kosong",IF(AND($R311&lt;&gt;"",$R311&lt;17),"Usia di bawah 17","")))))))))</f>
        <v/>
      </c>
      <c r="Z311" s="40" t="str">
        <f aca="false">IF($B311="","",IF(AND(OR(CARI!$C$5="",ISNUMBER(SEARCH(CARI!$C$5,$B311&amp;" "&amp;$C311&amp;" "&amp;$D311&amp;" "&amp;$O311&amp;" "&amp;$I311&amp;" "&amp;$F311&amp;" "&amp;$J311&amp;" "&amp;$K311&amp;" "&amp;$L311&amp;" "&amp;$V311))),OR(CARI!$C$6="",$F311=CARI!$C$6),OR(CARI!$C$7="",$G311=CARI!$C$7),OR(CARI!$C$8="",$T311=CARI!$C$8)),MAX($Z$3:Z310)+1,""))</f>
        <v/>
      </c>
      <c r="AA311" s="40" t="str">
        <f aca="false">IF($Y311="","",MAX($AA$3:AA310)+1)</f>
        <v/>
      </c>
      <c r="AB311" s="40" t="str">
        <f aca="false">IF($F311="","",$F311&amp;"#"&amp;COUNTIF($F$4:$F311,$F311))</f>
        <v/>
      </c>
      <c r="AC311" s="40" t="str">
        <f aca="false">IF($B311="","",IF(AND(OR(CETAK!$J$10="",$F311=CETAK!$J$10),OR(CETAK!$J$11="",$G311=CETAK!$J$11),OR(CETAK!$J$12="",$P311=CETAK!$J$12),OR(CETAK!$J$13="",$N311=CETAK!$J$13),OR(CETAK!$J$14="",$T311=CETAK!$J$14)),MAX($AC$3:AC310)+1,""))</f>
        <v/>
      </c>
      <c r="AD311" s="40" t="str">
        <f aca="false">IF($B311="","",IF(AND(OR(ABSENSI!$H$10="",$F311=ABSENSI!$H$10),OR(ABSENSI!$H$11="",$G311=ABSENSI!$H$11),OR(ABSENSI!$H$12="",$P311=ABSENSI!$H$12)),MAX($AD$3:AD310)+1,""))</f>
        <v/>
      </c>
      <c r="AE311" s="40" t="str">
        <f aca="false">IF($B311="","",IF(AND(OR(KARTU!$K$6="",$F311=KARTU!$K$6),OR(KARTU!$K$7="",$G311=KARTU!$K$7),OR(KARTU!$K$8="",$P311=KARTU!$K$8)),MAX($AE$3:AE310)+1,""))</f>
        <v/>
      </c>
    </row>
    <row r="312" customFormat="false" ht="15" hidden="false" customHeight="false" outlineLevel="0" collapsed="false">
      <c r="A312" s="35" t="str">
        <f aca="false">IF($B312="","",COUNTA($B$4:$B312))</f>
        <v/>
      </c>
      <c r="B312" s="36"/>
      <c r="C312" s="37"/>
      <c r="D312" s="37"/>
      <c r="E312" s="38"/>
      <c r="F312" s="36"/>
      <c r="G312" s="39"/>
      <c r="H312" s="39"/>
      <c r="I312" s="36"/>
      <c r="J312" s="36"/>
      <c r="K312" s="36"/>
      <c r="L312" s="36"/>
      <c r="M312" s="40" t="str">
        <f aca="false">IF($F312="","",$F312&amp;IF($G312="",""," - RT "&amp;$G312&amp;IF($H312="","","/"&amp;$H312)))</f>
        <v/>
      </c>
      <c r="N312" s="36"/>
      <c r="O312" s="37"/>
      <c r="P312" s="39"/>
      <c r="Q312" s="41"/>
      <c r="R312" s="35" t="str">
        <f aca="true">IF(OR($B312="",$Q312=""),"",DATEDIF($Q312,TODAY(),"Y"))</f>
        <v/>
      </c>
      <c r="S312" s="40" t="str">
        <f aca="false">IF($R312="","",INDEX(usia_label,MATCH($R312,usia_min,1)))</f>
        <v/>
      </c>
      <c r="T312" s="36"/>
      <c r="U312" s="41"/>
      <c r="V312" s="36"/>
      <c r="W312" s="36"/>
      <c r="X312" s="40" t="str">
        <f aca="false">IF($M312="","",$M312&amp;"#"&amp;COUNTIF($M$4:$M312,$M312))</f>
        <v/>
      </c>
      <c r="Y312" s="40" t="str">
        <f aca="false">IF($B312="","",IF($C312="","NIK kosong",IF(LEN($C312)&lt;&gt;16,"NIK bukan 16 digit",IF(COUNTIF($C$4:$C$2003,$C312&amp;"*")&gt;1,"NIK ganda",IF(AND($D312&lt;&gt;"",LEN($D312)&lt;&gt;16),"No. KK bukan 16 digit",IF(AND($F312="",$I312=""),"Alamat kosong",IF($N312="","Jabatan kosong",IF($O312="","No. HP kosong",IF(AND($R312&lt;&gt;"",$R312&lt;17),"Usia di bawah 17","")))))))))</f>
        <v/>
      </c>
      <c r="Z312" s="40" t="str">
        <f aca="false">IF($B312="","",IF(AND(OR(CARI!$C$5="",ISNUMBER(SEARCH(CARI!$C$5,$B312&amp;" "&amp;$C312&amp;" "&amp;$D312&amp;" "&amp;$O312&amp;" "&amp;$I312&amp;" "&amp;$F312&amp;" "&amp;$J312&amp;" "&amp;$K312&amp;" "&amp;$L312&amp;" "&amp;$V312))),OR(CARI!$C$6="",$F312=CARI!$C$6),OR(CARI!$C$7="",$G312=CARI!$C$7),OR(CARI!$C$8="",$T312=CARI!$C$8)),MAX($Z$3:Z311)+1,""))</f>
        <v/>
      </c>
      <c r="AA312" s="40" t="str">
        <f aca="false">IF($Y312="","",MAX($AA$3:AA311)+1)</f>
        <v/>
      </c>
      <c r="AB312" s="40" t="str">
        <f aca="false">IF($F312="","",$F312&amp;"#"&amp;COUNTIF($F$4:$F312,$F312))</f>
        <v/>
      </c>
      <c r="AC312" s="40" t="str">
        <f aca="false">IF($B312="","",IF(AND(OR(CETAK!$J$10="",$F312=CETAK!$J$10),OR(CETAK!$J$11="",$G312=CETAK!$J$11),OR(CETAK!$J$12="",$P312=CETAK!$J$12),OR(CETAK!$J$13="",$N312=CETAK!$J$13),OR(CETAK!$J$14="",$T312=CETAK!$J$14)),MAX($AC$3:AC311)+1,""))</f>
        <v/>
      </c>
      <c r="AD312" s="40" t="str">
        <f aca="false">IF($B312="","",IF(AND(OR(ABSENSI!$H$10="",$F312=ABSENSI!$H$10),OR(ABSENSI!$H$11="",$G312=ABSENSI!$H$11),OR(ABSENSI!$H$12="",$P312=ABSENSI!$H$12)),MAX($AD$3:AD311)+1,""))</f>
        <v/>
      </c>
      <c r="AE312" s="40" t="str">
        <f aca="false">IF($B312="","",IF(AND(OR(KARTU!$K$6="",$F312=KARTU!$K$6),OR(KARTU!$K$7="",$G312=KARTU!$K$7),OR(KARTU!$K$8="",$P312=KARTU!$K$8)),MAX($AE$3:AE311)+1,""))</f>
        <v/>
      </c>
    </row>
    <row r="313" customFormat="false" ht="15" hidden="false" customHeight="false" outlineLevel="0" collapsed="false">
      <c r="A313" s="35" t="str">
        <f aca="false">IF($B313="","",COUNTA($B$4:$B313))</f>
        <v/>
      </c>
      <c r="B313" s="36"/>
      <c r="C313" s="37"/>
      <c r="D313" s="37"/>
      <c r="E313" s="38"/>
      <c r="F313" s="36"/>
      <c r="G313" s="39"/>
      <c r="H313" s="39"/>
      <c r="I313" s="36"/>
      <c r="J313" s="36"/>
      <c r="K313" s="36"/>
      <c r="L313" s="36"/>
      <c r="M313" s="40" t="str">
        <f aca="false">IF($F313="","",$F313&amp;IF($G313="",""," - RT "&amp;$G313&amp;IF($H313="","","/"&amp;$H313)))</f>
        <v/>
      </c>
      <c r="N313" s="36"/>
      <c r="O313" s="37"/>
      <c r="P313" s="39"/>
      <c r="Q313" s="41"/>
      <c r="R313" s="35" t="str">
        <f aca="true">IF(OR($B313="",$Q313=""),"",DATEDIF($Q313,TODAY(),"Y"))</f>
        <v/>
      </c>
      <c r="S313" s="40" t="str">
        <f aca="false">IF($R313="","",INDEX(usia_label,MATCH($R313,usia_min,1)))</f>
        <v/>
      </c>
      <c r="T313" s="36"/>
      <c r="U313" s="41"/>
      <c r="V313" s="36"/>
      <c r="W313" s="36"/>
      <c r="X313" s="40" t="str">
        <f aca="false">IF($M313="","",$M313&amp;"#"&amp;COUNTIF($M$4:$M313,$M313))</f>
        <v/>
      </c>
      <c r="Y313" s="40" t="str">
        <f aca="false">IF($B313="","",IF($C313="","NIK kosong",IF(LEN($C313)&lt;&gt;16,"NIK bukan 16 digit",IF(COUNTIF($C$4:$C$2003,$C313&amp;"*")&gt;1,"NIK ganda",IF(AND($D313&lt;&gt;"",LEN($D313)&lt;&gt;16),"No. KK bukan 16 digit",IF(AND($F313="",$I313=""),"Alamat kosong",IF($N313="","Jabatan kosong",IF($O313="","No. HP kosong",IF(AND($R313&lt;&gt;"",$R313&lt;17),"Usia di bawah 17","")))))))))</f>
        <v/>
      </c>
      <c r="Z313" s="40" t="str">
        <f aca="false">IF($B313="","",IF(AND(OR(CARI!$C$5="",ISNUMBER(SEARCH(CARI!$C$5,$B313&amp;" "&amp;$C313&amp;" "&amp;$D313&amp;" "&amp;$O313&amp;" "&amp;$I313&amp;" "&amp;$F313&amp;" "&amp;$J313&amp;" "&amp;$K313&amp;" "&amp;$L313&amp;" "&amp;$V313))),OR(CARI!$C$6="",$F313=CARI!$C$6),OR(CARI!$C$7="",$G313=CARI!$C$7),OR(CARI!$C$8="",$T313=CARI!$C$8)),MAX($Z$3:Z312)+1,""))</f>
        <v/>
      </c>
      <c r="AA313" s="40" t="str">
        <f aca="false">IF($Y313="","",MAX($AA$3:AA312)+1)</f>
        <v/>
      </c>
      <c r="AB313" s="40" t="str">
        <f aca="false">IF($F313="","",$F313&amp;"#"&amp;COUNTIF($F$4:$F313,$F313))</f>
        <v/>
      </c>
      <c r="AC313" s="40" t="str">
        <f aca="false">IF($B313="","",IF(AND(OR(CETAK!$J$10="",$F313=CETAK!$J$10),OR(CETAK!$J$11="",$G313=CETAK!$J$11),OR(CETAK!$J$12="",$P313=CETAK!$J$12),OR(CETAK!$J$13="",$N313=CETAK!$J$13),OR(CETAK!$J$14="",$T313=CETAK!$J$14)),MAX($AC$3:AC312)+1,""))</f>
        <v/>
      </c>
      <c r="AD313" s="40" t="str">
        <f aca="false">IF($B313="","",IF(AND(OR(ABSENSI!$H$10="",$F313=ABSENSI!$H$10),OR(ABSENSI!$H$11="",$G313=ABSENSI!$H$11),OR(ABSENSI!$H$12="",$P313=ABSENSI!$H$12)),MAX($AD$3:AD312)+1,""))</f>
        <v/>
      </c>
      <c r="AE313" s="40" t="str">
        <f aca="false">IF($B313="","",IF(AND(OR(KARTU!$K$6="",$F313=KARTU!$K$6),OR(KARTU!$K$7="",$G313=KARTU!$K$7),OR(KARTU!$K$8="",$P313=KARTU!$K$8)),MAX($AE$3:AE312)+1,""))</f>
        <v/>
      </c>
    </row>
    <row r="314" customFormat="false" ht="15" hidden="false" customHeight="false" outlineLevel="0" collapsed="false">
      <c r="A314" s="35" t="str">
        <f aca="false">IF($B314="","",COUNTA($B$4:$B314))</f>
        <v/>
      </c>
      <c r="B314" s="36"/>
      <c r="C314" s="37"/>
      <c r="D314" s="37"/>
      <c r="E314" s="38"/>
      <c r="F314" s="36"/>
      <c r="G314" s="39"/>
      <c r="H314" s="39"/>
      <c r="I314" s="36"/>
      <c r="J314" s="36"/>
      <c r="K314" s="36"/>
      <c r="L314" s="36"/>
      <c r="M314" s="40" t="str">
        <f aca="false">IF($F314="","",$F314&amp;IF($G314="",""," - RT "&amp;$G314&amp;IF($H314="","","/"&amp;$H314)))</f>
        <v/>
      </c>
      <c r="N314" s="36"/>
      <c r="O314" s="37"/>
      <c r="P314" s="39"/>
      <c r="Q314" s="41"/>
      <c r="R314" s="35" t="str">
        <f aca="true">IF(OR($B314="",$Q314=""),"",DATEDIF($Q314,TODAY(),"Y"))</f>
        <v/>
      </c>
      <c r="S314" s="40" t="str">
        <f aca="false">IF($R314="","",INDEX(usia_label,MATCH($R314,usia_min,1)))</f>
        <v/>
      </c>
      <c r="T314" s="36"/>
      <c r="U314" s="41"/>
      <c r="V314" s="36"/>
      <c r="W314" s="36"/>
      <c r="X314" s="40" t="str">
        <f aca="false">IF($M314="","",$M314&amp;"#"&amp;COUNTIF($M$4:$M314,$M314))</f>
        <v/>
      </c>
      <c r="Y314" s="40" t="str">
        <f aca="false">IF($B314="","",IF($C314="","NIK kosong",IF(LEN($C314)&lt;&gt;16,"NIK bukan 16 digit",IF(COUNTIF($C$4:$C$2003,$C314&amp;"*")&gt;1,"NIK ganda",IF(AND($D314&lt;&gt;"",LEN($D314)&lt;&gt;16),"No. KK bukan 16 digit",IF(AND($F314="",$I314=""),"Alamat kosong",IF($N314="","Jabatan kosong",IF($O314="","No. HP kosong",IF(AND($R314&lt;&gt;"",$R314&lt;17),"Usia di bawah 17","")))))))))</f>
        <v/>
      </c>
      <c r="Z314" s="40" t="str">
        <f aca="false">IF($B314="","",IF(AND(OR(CARI!$C$5="",ISNUMBER(SEARCH(CARI!$C$5,$B314&amp;" "&amp;$C314&amp;" "&amp;$D314&amp;" "&amp;$O314&amp;" "&amp;$I314&amp;" "&amp;$F314&amp;" "&amp;$J314&amp;" "&amp;$K314&amp;" "&amp;$L314&amp;" "&amp;$V314))),OR(CARI!$C$6="",$F314=CARI!$C$6),OR(CARI!$C$7="",$G314=CARI!$C$7),OR(CARI!$C$8="",$T314=CARI!$C$8)),MAX($Z$3:Z313)+1,""))</f>
        <v/>
      </c>
      <c r="AA314" s="40" t="str">
        <f aca="false">IF($Y314="","",MAX($AA$3:AA313)+1)</f>
        <v/>
      </c>
      <c r="AB314" s="40" t="str">
        <f aca="false">IF($F314="","",$F314&amp;"#"&amp;COUNTIF($F$4:$F314,$F314))</f>
        <v/>
      </c>
      <c r="AC314" s="40" t="str">
        <f aca="false">IF($B314="","",IF(AND(OR(CETAK!$J$10="",$F314=CETAK!$J$10),OR(CETAK!$J$11="",$G314=CETAK!$J$11),OR(CETAK!$J$12="",$P314=CETAK!$J$12),OR(CETAK!$J$13="",$N314=CETAK!$J$13),OR(CETAK!$J$14="",$T314=CETAK!$J$14)),MAX($AC$3:AC313)+1,""))</f>
        <v/>
      </c>
      <c r="AD314" s="40" t="str">
        <f aca="false">IF($B314="","",IF(AND(OR(ABSENSI!$H$10="",$F314=ABSENSI!$H$10),OR(ABSENSI!$H$11="",$G314=ABSENSI!$H$11),OR(ABSENSI!$H$12="",$P314=ABSENSI!$H$12)),MAX($AD$3:AD313)+1,""))</f>
        <v/>
      </c>
      <c r="AE314" s="40" t="str">
        <f aca="false">IF($B314="","",IF(AND(OR(KARTU!$K$6="",$F314=KARTU!$K$6),OR(KARTU!$K$7="",$G314=KARTU!$K$7),OR(KARTU!$K$8="",$P314=KARTU!$K$8)),MAX($AE$3:AE313)+1,""))</f>
        <v/>
      </c>
    </row>
    <row r="315" customFormat="false" ht="15" hidden="false" customHeight="false" outlineLevel="0" collapsed="false">
      <c r="A315" s="35" t="str">
        <f aca="false">IF($B315="","",COUNTA($B$4:$B315))</f>
        <v/>
      </c>
      <c r="B315" s="36"/>
      <c r="C315" s="37"/>
      <c r="D315" s="37"/>
      <c r="E315" s="38"/>
      <c r="F315" s="36"/>
      <c r="G315" s="39"/>
      <c r="H315" s="39"/>
      <c r="I315" s="36"/>
      <c r="J315" s="36"/>
      <c r="K315" s="36"/>
      <c r="L315" s="36"/>
      <c r="M315" s="40" t="str">
        <f aca="false">IF($F315="","",$F315&amp;IF($G315="",""," - RT "&amp;$G315&amp;IF($H315="","","/"&amp;$H315)))</f>
        <v/>
      </c>
      <c r="N315" s="36"/>
      <c r="O315" s="37"/>
      <c r="P315" s="39"/>
      <c r="Q315" s="41"/>
      <c r="R315" s="35" t="str">
        <f aca="true">IF(OR($B315="",$Q315=""),"",DATEDIF($Q315,TODAY(),"Y"))</f>
        <v/>
      </c>
      <c r="S315" s="40" t="str">
        <f aca="false">IF($R315="","",INDEX(usia_label,MATCH($R315,usia_min,1)))</f>
        <v/>
      </c>
      <c r="T315" s="36"/>
      <c r="U315" s="41"/>
      <c r="V315" s="36"/>
      <c r="W315" s="36"/>
      <c r="X315" s="40" t="str">
        <f aca="false">IF($M315="","",$M315&amp;"#"&amp;COUNTIF($M$4:$M315,$M315))</f>
        <v/>
      </c>
      <c r="Y315" s="40" t="str">
        <f aca="false">IF($B315="","",IF($C315="","NIK kosong",IF(LEN($C315)&lt;&gt;16,"NIK bukan 16 digit",IF(COUNTIF($C$4:$C$2003,$C315&amp;"*")&gt;1,"NIK ganda",IF(AND($D315&lt;&gt;"",LEN($D315)&lt;&gt;16),"No. KK bukan 16 digit",IF(AND($F315="",$I315=""),"Alamat kosong",IF($N315="","Jabatan kosong",IF($O315="","No. HP kosong",IF(AND($R315&lt;&gt;"",$R315&lt;17),"Usia di bawah 17","")))))))))</f>
        <v/>
      </c>
      <c r="Z315" s="40" t="str">
        <f aca="false">IF($B315="","",IF(AND(OR(CARI!$C$5="",ISNUMBER(SEARCH(CARI!$C$5,$B315&amp;" "&amp;$C315&amp;" "&amp;$D315&amp;" "&amp;$O315&amp;" "&amp;$I315&amp;" "&amp;$F315&amp;" "&amp;$J315&amp;" "&amp;$K315&amp;" "&amp;$L315&amp;" "&amp;$V315))),OR(CARI!$C$6="",$F315=CARI!$C$6),OR(CARI!$C$7="",$G315=CARI!$C$7),OR(CARI!$C$8="",$T315=CARI!$C$8)),MAX($Z$3:Z314)+1,""))</f>
        <v/>
      </c>
      <c r="AA315" s="40" t="str">
        <f aca="false">IF($Y315="","",MAX($AA$3:AA314)+1)</f>
        <v/>
      </c>
      <c r="AB315" s="40" t="str">
        <f aca="false">IF($F315="","",$F315&amp;"#"&amp;COUNTIF($F$4:$F315,$F315))</f>
        <v/>
      </c>
      <c r="AC315" s="40" t="str">
        <f aca="false">IF($B315="","",IF(AND(OR(CETAK!$J$10="",$F315=CETAK!$J$10),OR(CETAK!$J$11="",$G315=CETAK!$J$11),OR(CETAK!$J$12="",$P315=CETAK!$J$12),OR(CETAK!$J$13="",$N315=CETAK!$J$13),OR(CETAK!$J$14="",$T315=CETAK!$J$14)),MAX($AC$3:AC314)+1,""))</f>
        <v/>
      </c>
      <c r="AD315" s="40" t="str">
        <f aca="false">IF($B315="","",IF(AND(OR(ABSENSI!$H$10="",$F315=ABSENSI!$H$10),OR(ABSENSI!$H$11="",$G315=ABSENSI!$H$11),OR(ABSENSI!$H$12="",$P315=ABSENSI!$H$12)),MAX($AD$3:AD314)+1,""))</f>
        <v/>
      </c>
      <c r="AE315" s="40" t="str">
        <f aca="false">IF($B315="","",IF(AND(OR(KARTU!$K$6="",$F315=KARTU!$K$6),OR(KARTU!$K$7="",$G315=KARTU!$K$7),OR(KARTU!$K$8="",$P315=KARTU!$K$8)),MAX($AE$3:AE314)+1,""))</f>
        <v/>
      </c>
    </row>
    <row r="316" customFormat="false" ht="15" hidden="false" customHeight="false" outlineLevel="0" collapsed="false">
      <c r="A316" s="35" t="str">
        <f aca="false">IF($B316="","",COUNTA($B$4:$B316))</f>
        <v/>
      </c>
      <c r="B316" s="36"/>
      <c r="C316" s="37"/>
      <c r="D316" s="37"/>
      <c r="E316" s="38"/>
      <c r="F316" s="36"/>
      <c r="G316" s="39"/>
      <c r="H316" s="39"/>
      <c r="I316" s="36"/>
      <c r="J316" s="36"/>
      <c r="K316" s="36"/>
      <c r="L316" s="36"/>
      <c r="M316" s="40" t="str">
        <f aca="false">IF($F316="","",$F316&amp;IF($G316="",""," - RT "&amp;$G316&amp;IF($H316="","","/"&amp;$H316)))</f>
        <v/>
      </c>
      <c r="N316" s="36"/>
      <c r="O316" s="37"/>
      <c r="P316" s="39"/>
      <c r="Q316" s="41"/>
      <c r="R316" s="35" t="str">
        <f aca="true">IF(OR($B316="",$Q316=""),"",DATEDIF($Q316,TODAY(),"Y"))</f>
        <v/>
      </c>
      <c r="S316" s="40" t="str">
        <f aca="false">IF($R316="","",INDEX(usia_label,MATCH($R316,usia_min,1)))</f>
        <v/>
      </c>
      <c r="T316" s="36"/>
      <c r="U316" s="41"/>
      <c r="V316" s="36"/>
      <c r="W316" s="36"/>
      <c r="X316" s="40" t="str">
        <f aca="false">IF($M316="","",$M316&amp;"#"&amp;COUNTIF($M$4:$M316,$M316))</f>
        <v/>
      </c>
      <c r="Y316" s="40" t="str">
        <f aca="false">IF($B316="","",IF($C316="","NIK kosong",IF(LEN($C316)&lt;&gt;16,"NIK bukan 16 digit",IF(COUNTIF($C$4:$C$2003,$C316&amp;"*")&gt;1,"NIK ganda",IF(AND($D316&lt;&gt;"",LEN($D316)&lt;&gt;16),"No. KK bukan 16 digit",IF(AND($F316="",$I316=""),"Alamat kosong",IF($N316="","Jabatan kosong",IF($O316="","No. HP kosong",IF(AND($R316&lt;&gt;"",$R316&lt;17),"Usia di bawah 17","")))))))))</f>
        <v/>
      </c>
      <c r="Z316" s="40" t="str">
        <f aca="false">IF($B316="","",IF(AND(OR(CARI!$C$5="",ISNUMBER(SEARCH(CARI!$C$5,$B316&amp;" "&amp;$C316&amp;" "&amp;$D316&amp;" "&amp;$O316&amp;" "&amp;$I316&amp;" "&amp;$F316&amp;" "&amp;$J316&amp;" "&amp;$K316&amp;" "&amp;$L316&amp;" "&amp;$V316))),OR(CARI!$C$6="",$F316=CARI!$C$6),OR(CARI!$C$7="",$G316=CARI!$C$7),OR(CARI!$C$8="",$T316=CARI!$C$8)),MAX($Z$3:Z315)+1,""))</f>
        <v/>
      </c>
      <c r="AA316" s="40" t="str">
        <f aca="false">IF($Y316="","",MAX($AA$3:AA315)+1)</f>
        <v/>
      </c>
      <c r="AB316" s="40" t="str">
        <f aca="false">IF($F316="","",$F316&amp;"#"&amp;COUNTIF($F$4:$F316,$F316))</f>
        <v/>
      </c>
      <c r="AC316" s="40" t="str">
        <f aca="false">IF($B316="","",IF(AND(OR(CETAK!$J$10="",$F316=CETAK!$J$10),OR(CETAK!$J$11="",$G316=CETAK!$J$11),OR(CETAK!$J$12="",$P316=CETAK!$J$12),OR(CETAK!$J$13="",$N316=CETAK!$J$13),OR(CETAK!$J$14="",$T316=CETAK!$J$14)),MAX($AC$3:AC315)+1,""))</f>
        <v/>
      </c>
      <c r="AD316" s="40" t="str">
        <f aca="false">IF($B316="","",IF(AND(OR(ABSENSI!$H$10="",$F316=ABSENSI!$H$10),OR(ABSENSI!$H$11="",$G316=ABSENSI!$H$11),OR(ABSENSI!$H$12="",$P316=ABSENSI!$H$12)),MAX($AD$3:AD315)+1,""))</f>
        <v/>
      </c>
      <c r="AE316" s="40" t="str">
        <f aca="false">IF($B316="","",IF(AND(OR(KARTU!$K$6="",$F316=KARTU!$K$6),OR(KARTU!$K$7="",$G316=KARTU!$K$7),OR(KARTU!$K$8="",$P316=KARTU!$K$8)),MAX($AE$3:AE315)+1,""))</f>
        <v/>
      </c>
    </row>
    <row r="317" customFormat="false" ht="15" hidden="false" customHeight="false" outlineLevel="0" collapsed="false">
      <c r="A317" s="35" t="str">
        <f aca="false">IF($B317="","",COUNTA($B$4:$B317))</f>
        <v/>
      </c>
      <c r="B317" s="36"/>
      <c r="C317" s="37"/>
      <c r="D317" s="37"/>
      <c r="E317" s="38"/>
      <c r="F317" s="36"/>
      <c r="G317" s="39"/>
      <c r="H317" s="39"/>
      <c r="I317" s="36"/>
      <c r="J317" s="36"/>
      <c r="K317" s="36"/>
      <c r="L317" s="36"/>
      <c r="M317" s="40" t="str">
        <f aca="false">IF($F317="","",$F317&amp;IF($G317="",""," - RT "&amp;$G317&amp;IF($H317="","","/"&amp;$H317)))</f>
        <v/>
      </c>
      <c r="N317" s="36"/>
      <c r="O317" s="37"/>
      <c r="P317" s="39"/>
      <c r="Q317" s="41"/>
      <c r="R317" s="35" t="str">
        <f aca="true">IF(OR($B317="",$Q317=""),"",DATEDIF($Q317,TODAY(),"Y"))</f>
        <v/>
      </c>
      <c r="S317" s="40" t="str">
        <f aca="false">IF($R317="","",INDEX(usia_label,MATCH($R317,usia_min,1)))</f>
        <v/>
      </c>
      <c r="T317" s="36"/>
      <c r="U317" s="41"/>
      <c r="V317" s="36"/>
      <c r="W317" s="36"/>
      <c r="X317" s="40" t="str">
        <f aca="false">IF($M317="","",$M317&amp;"#"&amp;COUNTIF($M$4:$M317,$M317))</f>
        <v/>
      </c>
      <c r="Y317" s="40" t="str">
        <f aca="false">IF($B317="","",IF($C317="","NIK kosong",IF(LEN($C317)&lt;&gt;16,"NIK bukan 16 digit",IF(COUNTIF($C$4:$C$2003,$C317&amp;"*")&gt;1,"NIK ganda",IF(AND($D317&lt;&gt;"",LEN($D317)&lt;&gt;16),"No. KK bukan 16 digit",IF(AND($F317="",$I317=""),"Alamat kosong",IF($N317="","Jabatan kosong",IF($O317="","No. HP kosong",IF(AND($R317&lt;&gt;"",$R317&lt;17),"Usia di bawah 17","")))))))))</f>
        <v/>
      </c>
      <c r="Z317" s="40" t="str">
        <f aca="false">IF($B317="","",IF(AND(OR(CARI!$C$5="",ISNUMBER(SEARCH(CARI!$C$5,$B317&amp;" "&amp;$C317&amp;" "&amp;$D317&amp;" "&amp;$O317&amp;" "&amp;$I317&amp;" "&amp;$F317&amp;" "&amp;$J317&amp;" "&amp;$K317&amp;" "&amp;$L317&amp;" "&amp;$V317))),OR(CARI!$C$6="",$F317=CARI!$C$6),OR(CARI!$C$7="",$G317=CARI!$C$7),OR(CARI!$C$8="",$T317=CARI!$C$8)),MAX($Z$3:Z316)+1,""))</f>
        <v/>
      </c>
      <c r="AA317" s="40" t="str">
        <f aca="false">IF($Y317="","",MAX($AA$3:AA316)+1)</f>
        <v/>
      </c>
      <c r="AB317" s="40" t="str">
        <f aca="false">IF($F317="","",$F317&amp;"#"&amp;COUNTIF($F$4:$F317,$F317))</f>
        <v/>
      </c>
      <c r="AC317" s="40" t="str">
        <f aca="false">IF($B317="","",IF(AND(OR(CETAK!$J$10="",$F317=CETAK!$J$10),OR(CETAK!$J$11="",$G317=CETAK!$J$11),OR(CETAK!$J$12="",$P317=CETAK!$J$12),OR(CETAK!$J$13="",$N317=CETAK!$J$13),OR(CETAK!$J$14="",$T317=CETAK!$J$14)),MAX($AC$3:AC316)+1,""))</f>
        <v/>
      </c>
      <c r="AD317" s="40" t="str">
        <f aca="false">IF($B317="","",IF(AND(OR(ABSENSI!$H$10="",$F317=ABSENSI!$H$10),OR(ABSENSI!$H$11="",$G317=ABSENSI!$H$11),OR(ABSENSI!$H$12="",$P317=ABSENSI!$H$12)),MAX($AD$3:AD316)+1,""))</f>
        <v/>
      </c>
      <c r="AE317" s="40" t="str">
        <f aca="false">IF($B317="","",IF(AND(OR(KARTU!$K$6="",$F317=KARTU!$K$6),OR(KARTU!$K$7="",$G317=KARTU!$K$7),OR(KARTU!$K$8="",$P317=KARTU!$K$8)),MAX($AE$3:AE316)+1,""))</f>
        <v/>
      </c>
    </row>
    <row r="318" customFormat="false" ht="15" hidden="false" customHeight="false" outlineLevel="0" collapsed="false">
      <c r="A318" s="35" t="str">
        <f aca="false">IF($B318="","",COUNTA($B$4:$B318))</f>
        <v/>
      </c>
      <c r="B318" s="36"/>
      <c r="C318" s="37"/>
      <c r="D318" s="37"/>
      <c r="E318" s="38"/>
      <c r="F318" s="36"/>
      <c r="G318" s="39"/>
      <c r="H318" s="39"/>
      <c r="I318" s="36"/>
      <c r="J318" s="36"/>
      <c r="K318" s="36"/>
      <c r="L318" s="36"/>
      <c r="M318" s="40" t="str">
        <f aca="false">IF($F318="","",$F318&amp;IF($G318="",""," - RT "&amp;$G318&amp;IF($H318="","","/"&amp;$H318)))</f>
        <v/>
      </c>
      <c r="N318" s="36"/>
      <c r="O318" s="37"/>
      <c r="P318" s="39"/>
      <c r="Q318" s="41"/>
      <c r="R318" s="35" t="str">
        <f aca="true">IF(OR($B318="",$Q318=""),"",DATEDIF($Q318,TODAY(),"Y"))</f>
        <v/>
      </c>
      <c r="S318" s="40" t="str">
        <f aca="false">IF($R318="","",INDEX(usia_label,MATCH($R318,usia_min,1)))</f>
        <v/>
      </c>
      <c r="T318" s="36"/>
      <c r="U318" s="41"/>
      <c r="V318" s="36"/>
      <c r="W318" s="36"/>
      <c r="X318" s="40" t="str">
        <f aca="false">IF($M318="","",$M318&amp;"#"&amp;COUNTIF($M$4:$M318,$M318))</f>
        <v/>
      </c>
      <c r="Y318" s="40" t="str">
        <f aca="false">IF($B318="","",IF($C318="","NIK kosong",IF(LEN($C318)&lt;&gt;16,"NIK bukan 16 digit",IF(COUNTIF($C$4:$C$2003,$C318&amp;"*")&gt;1,"NIK ganda",IF(AND($D318&lt;&gt;"",LEN($D318)&lt;&gt;16),"No. KK bukan 16 digit",IF(AND($F318="",$I318=""),"Alamat kosong",IF($N318="","Jabatan kosong",IF($O318="","No. HP kosong",IF(AND($R318&lt;&gt;"",$R318&lt;17),"Usia di bawah 17","")))))))))</f>
        <v/>
      </c>
      <c r="Z318" s="40" t="str">
        <f aca="false">IF($B318="","",IF(AND(OR(CARI!$C$5="",ISNUMBER(SEARCH(CARI!$C$5,$B318&amp;" "&amp;$C318&amp;" "&amp;$D318&amp;" "&amp;$O318&amp;" "&amp;$I318&amp;" "&amp;$F318&amp;" "&amp;$J318&amp;" "&amp;$K318&amp;" "&amp;$L318&amp;" "&amp;$V318))),OR(CARI!$C$6="",$F318=CARI!$C$6),OR(CARI!$C$7="",$G318=CARI!$C$7),OR(CARI!$C$8="",$T318=CARI!$C$8)),MAX($Z$3:Z317)+1,""))</f>
        <v/>
      </c>
      <c r="AA318" s="40" t="str">
        <f aca="false">IF($Y318="","",MAX($AA$3:AA317)+1)</f>
        <v/>
      </c>
      <c r="AB318" s="40" t="str">
        <f aca="false">IF($F318="","",$F318&amp;"#"&amp;COUNTIF($F$4:$F318,$F318))</f>
        <v/>
      </c>
      <c r="AC318" s="40" t="str">
        <f aca="false">IF($B318="","",IF(AND(OR(CETAK!$J$10="",$F318=CETAK!$J$10),OR(CETAK!$J$11="",$G318=CETAK!$J$11),OR(CETAK!$J$12="",$P318=CETAK!$J$12),OR(CETAK!$J$13="",$N318=CETAK!$J$13),OR(CETAK!$J$14="",$T318=CETAK!$J$14)),MAX($AC$3:AC317)+1,""))</f>
        <v/>
      </c>
      <c r="AD318" s="40" t="str">
        <f aca="false">IF($B318="","",IF(AND(OR(ABSENSI!$H$10="",$F318=ABSENSI!$H$10),OR(ABSENSI!$H$11="",$G318=ABSENSI!$H$11),OR(ABSENSI!$H$12="",$P318=ABSENSI!$H$12)),MAX($AD$3:AD317)+1,""))</f>
        <v/>
      </c>
      <c r="AE318" s="40" t="str">
        <f aca="false">IF($B318="","",IF(AND(OR(KARTU!$K$6="",$F318=KARTU!$K$6),OR(KARTU!$K$7="",$G318=KARTU!$K$7),OR(KARTU!$K$8="",$P318=KARTU!$K$8)),MAX($AE$3:AE317)+1,""))</f>
        <v/>
      </c>
    </row>
    <row r="319" customFormat="false" ht="15" hidden="false" customHeight="false" outlineLevel="0" collapsed="false">
      <c r="A319" s="35" t="str">
        <f aca="false">IF($B319="","",COUNTA($B$4:$B319))</f>
        <v/>
      </c>
      <c r="B319" s="36"/>
      <c r="C319" s="37"/>
      <c r="D319" s="37"/>
      <c r="E319" s="38"/>
      <c r="F319" s="36"/>
      <c r="G319" s="39"/>
      <c r="H319" s="39"/>
      <c r="I319" s="36"/>
      <c r="J319" s="36"/>
      <c r="K319" s="36"/>
      <c r="L319" s="36"/>
      <c r="M319" s="40" t="str">
        <f aca="false">IF($F319="","",$F319&amp;IF($G319="",""," - RT "&amp;$G319&amp;IF($H319="","","/"&amp;$H319)))</f>
        <v/>
      </c>
      <c r="N319" s="36"/>
      <c r="O319" s="37"/>
      <c r="P319" s="39"/>
      <c r="Q319" s="41"/>
      <c r="R319" s="35" t="str">
        <f aca="true">IF(OR($B319="",$Q319=""),"",DATEDIF($Q319,TODAY(),"Y"))</f>
        <v/>
      </c>
      <c r="S319" s="40" t="str">
        <f aca="false">IF($R319="","",INDEX(usia_label,MATCH($R319,usia_min,1)))</f>
        <v/>
      </c>
      <c r="T319" s="36"/>
      <c r="U319" s="41"/>
      <c r="V319" s="36"/>
      <c r="W319" s="36"/>
      <c r="X319" s="40" t="str">
        <f aca="false">IF($M319="","",$M319&amp;"#"&amp;COUNTIF($M$4:$M319,$M319))</f>
        <v/>
      </c>
      <c r="Y319" s="40" t="str">
        <f aca="false">IF($B319="","",IF($C319="","NIK kosong",IF(LEN($C319)&lt;&gt;16,"NIK bukan 16 digit",IF(COUNTIF($C$4:$C$2003,$C319&amp;"*")&gt;1,"NIK ganda",IF(AND($D319&lt;&gt;"",LEN($D319)&lt;&gt;16),"No. KK bukan 16 digit",IF(AND($F319="",$I319=""),"Alamat kosong",IF($N319="","Jabatan kosong",IF($O319="","No. HP kosong",IF(AND($R319&lt;&gt;"",$R319&lt;17),"Usia di bawah 17","")))))))))</f>
        <v/>
      </c>
      <c r="Z319" s="40" t="str">
        <f aca="false">IF($B319="","",IF(AND(OR(CARI!$C$5="",ISNUMBER(SEARCH(CARI!$C$5,$B319&amp;" "&amp;$C319&amp;" "&amp;$D319&amp;" "&amp;$O319&amp;" "&amp;$I319&amp;" "&amp;$F319&amp;" "&amp;$J319&amp;" "&amp;$K319&amp;" "&amp;$L319&amp;" "&amp;$V319))),OR(CARI!$C$6="",$F319=CARI!$C$6),OR(CARI!$C$7="",$G319=CARI!$C$7),OR(CARI!$C$8="",$T319=CARI!$C$8)),MAX($Z$3:Z318)+1,""))</f>
        <v/>
      </c>
      <c r="AA319" s="40" t="str">
        <f aca="false">IF($Y319="","",MAX($AA$3:AA318)+1)</f>
        <v/>
      </c>
      <c r="AB319" s="40" t="str">
        <f aca="false">IF($F319="","",$F319&amp;"#"&amp;COUNTIF($F$4:$F319,$F319))</f>
        <v/>
      </c>
      <c r="AC319" s="40" t="str">
        <f aca="false">IF($B319="","",IF(AND(OR(CETAK!$J$10="",$F319=CETAK!$J$10),OR(CETAK!$J$11="",$G319=CETAK!$J$11),OR(CETAK!$J$12="",$P319=CETAK!$J$12),OR(CETAK!$J$13="",$N319=CETAK!$J$13),OR(CETAK!$J$14="",$T319=CETAK!$J$14)),MAX($AC$3:AC318)+1,""))</f>
        <v/>
      </c>
      <c r="AD319" s="40" t="str">
        <f aca="false">IF($B319="","",IF(AND(OR(ABSENSI!$H$10="",$F319=ABSENSI!$H$10),OR(ABSENSI!$H$11="",$G319=ABSENSI!$H$11),OR(ABSENSI!$H$12="",$P319=ABSENSI!$H$12)),MAX($AD$3:AD318)+1,""))</f>
        <v/>
      </c>
      <c r="AE319" s="40" t="str">
        <f aca="false">IF($B319="","",IF(AND(OR(KARTU!$K$6="",$F319=KARTU!$K$6),OR(KARTU!$K$7="",$G319=KARTU!$K$7),OR(KARTU!$K$8="",$P319=KARTU!$K$8)),MAX($AE$3:AE318)+1,""))</f>
        <v/>
      </c>
    </row>
    <row r="320" customFormat="false" ht="15" hidden="false" customHeight="false" outlineLevel="0" collapsed="false">
      <c r="A320" s="35" t="str">
        <f aca="false">IF($B320="","",COUNTA($B$4:$B320))</f>
        <v/>
      </c>
      <c r="B320" s="36"/>
      <c r="C320" s="37"/>
      <c r="D320" s="37"/>
      <c r="E320" s="38"/>
      <c r="F320" s="36"/>
      <c r="G320" s="39"/>
      <c r="H320" s="39"/>
      <c r="I320" s="36"/>
      <c r="J320" s="36"/>
      <c r="K320" s="36"/>
      <c r="L320" s="36"/>
      <c r="M320" s="40" t="str">
        <f aca="false">IF($F320="","",$F320&amp;IF($G320="",""," - RT "&amp;$G320&amp;IF($H320="","","/"&amp;$H320)))</f>
        <v/>
      </c>
      <c r="N320" s="36"/>
      <c r="O320" s="37"/>
      <c r="P320" s="39"/>
      <c r="Q320" s="41"/>
      <c r="R320" s="35" t="str">
        <f aca="true">IF(OR($B320="",$Q320=""),"",DATEDIF($Q320,TODAY(),"Y"))</f>
        <v/>
      </c>
      <c r="S320" s="40" t="str">
        <f aca="false">IF($R320="","",INDEX(usia_label,MATCH($R320,usia_min,1)))</f>
        <v/>
      </c>
      <c r="T320" s="36"/>
      <c r="U320" s="41"/>
      <c r="V320" s="36"/>
      <c r="W320" s="36"/>
      <c r="X320" s="40" t="str">
        <f aca="false">IF($M320="","",$M320&amp;"#"&amp;COUNTIF($M$4:$M320,$M320))</f>
        <v/>
      </c>
      <c r="Y320" s="40" t="str">
        <f aca="false">IF($B320="","",IF($C320="","NIK kosong",IF(LEN($C320)&lt;&gt;16,"NIK bukan 16 digit",IF(COUNTIF($C$4:$C$2003,$C320&amp;"*")&gt;1,"NIK ganda",IF(AND($D320&lt;&gt;"",LEN($D320)&lt;&gt;16),"No. KK bukan 16 digit",IF(AND($F320="",$I320=""),"Alamat kosong",IF($N320="","Jabatan kosong",IF($O320="","No. HP kosong",IF(AND($R320&lt;&gt;"",$R320&lt;17),"Usia di bawah 17","")))))))))</f>
        <v/>
      </c>
      <c r="Z320" s="40" t="str">
        <f aca="false">IF($B320="","",IF(AND(OR(CARI!$C$5="",ISNUMBER(SEARCH(CARI!$C$5,$B320&amp;" "&amp;$C320&amp;" "&amp;$D320&amp;" "&amp;$O320&amp;" "&amp;$I320&amp;" "&amp;$F320&amp;" "&amp;$J320&amp;" "&amp;$K320&amp;" "&amp;$L320&amp;" "&amp;$V320))),OR(CARI!$C$6="",$F320=CARI!$C$6),OR(CARI!$C$7="",$G320=CARI!$C$7),OR(CARI!$C$8="",$T320=CARI!$C$8)),MAX($Z$3:Z319)+1,""))</f>
        <v/>
      </c>
      <c r="AA320" s="40" t="str">
        <f aca="false">IF($Y320="","",MAX($AA$3:AA319)+1)</f>
        <v/>
      </c>
      <c r="AB320" s="40" t="str">
        <f aca="false">IF($F320="","",$F320&amp;"#"&amp;COUNTIF($F$4:$F320,$F320))</f>
        <v/>
      </c>
      <c r="AC320" s="40" t="str">
        <f aca="false">IF($B320="","",IF(AND(OR(CETAK!$J$10="",$F320=CETAK!$J$10),OR(CETAK!$J$11="",$G320=CETAK!$J$11),OR(CETAK!$J$12="",$P320=CETAK!$J$12),OR(CETAK!$J$13="",$N320=CETAK!$J$13),OR(CETAK!$J$14="",$T320=CETAK!$J$14)),MAX($AC$3:AC319)+1,""))</f>
        <v/>
      </c>
      <c r="AD320" s="40" t="str">
        <f aca="false">IF($B320="","",IF(AND(OR(ABSENSI!$H$10="",$F320=ABSENSI!$H$10),OR(ABSENSI!$H$11="",$G320=ABSENSI!$H$11),OR(ABSENSI!$H$12="",$P320=ABSENSI!$H$12)),MAX($AD$3:AD319)+1,""))</f>
        <v/>
      </c>
      <c r="AE320" s="40" t="str">
        <f aca="false">IF($B320="","",IF(AND(OR(KARTU!$K$6="",$F320=KARTU!$K$6),OR(KARTU!$K$7="",$G320=KARTU!$K$7),OR(KARTU!$K$8="",$P320=KARTU!$K$8)),MAX($AE$3:AE319)+1,""))</f>
        <v/>
      </c>
    </row>
    <row r="321" customFormat="false" ht="15" hidden="false" customHeight="false" outlineLevel="0" collapsed="false">
      <c r="A321" s="35" t="str">
        <f aca="false">IF($B321="","",COUNTA($B$4:$B321))</f>
        <v/>
      </c>
      <c r="B321" s="36"/>
      <c r="C321" s="37"/>
      <c r="D321" s="37"/>
      <c r="E321" s="38"/>
      <c r="F321" s="36"/>
      <c r="G321" s="39"/>
      <c r="H321" s="39"/>
      <c r="I321" s="36"/>
      <c r="J321" s="36"/>
      <c r="K321" s="36"/>
      <c r="L321" s="36"/>
      <c r="M321" s="40" t="str">
        <f aca="false">IF($F321="","",$F321&amp;IF($G321="",""," - RT "&amp;$G321&amp;IF($H321="","","/"&amp;$H321)))</f>
        <v/>
      </c>
      <c r="N321" s="36"/>
      <c r="O321" s="37"/>
      <c r="P321" s="39"/>
      <c r="Q321" s="41"/>
      <c r="R321" s="35" t="str">
        <f aca="true">IF(OR($B321="",$Q321=""),"",DATEDIF($Q321,TODAY(),"Y"))</f>
        <v/>
      </c>
      <c r="S321" s="40" t="str">
        <f aca="false">IF($R321="","",INDEX(usia_label,MATCH($R321,usia_min,1)))</f>
        <v/>
      </c>
      <c r="T321" s="36"/>
      <c r="U321" s="41"/>
      <c r="V321" s="36"/>
      <c r="W321" s="36"/>
      <c r="X321" s="40" t="str">
        <f aca="false">IF($M321="","",$M321&amp;"#"&amp;COUNTIF($M$4:$M321,$M321))</f>
        <v/>
      </c>
      <c r="Y321" s="40" t="str">
        <f aca="false">IF($B321="","",IF($C321="","NIK kosong",IF(LEN($C321)&lt;&gt;16,"NIK bukan 16 digit",IF(COUNTIF($C$4:$C$2003,$C321&amp;"*")&gt;1,"NIK ganda",IF(AND($D321&lt;&gt;"",LEN($D321)&lt;&gt;16),"No. KK bukan 16 digit",IF(AND($F321="",$I321=""),"Alamat kosong",IF($N321="","Jabatan kosong",IF($O321="","No. HP kosong",IF(AND($R321&lt;&gt;"",$R321&lt;17),"Usia di bawah 17","")))))))))</f>
        <v/>
      </c>
      <c r="Z321" s="40" t="str">
        <f aca="false">IF($B321="","",IF(AND(OR(CARI!$C$5="",ISNUMBER(SEARCH(CARI!$C$5,$B321&amp;" "&amp;$C321&amp;" "&amp;$D321&amp;" "&amp;$O321&amp;" "&amp;$I321&amp;" "&amp;$F321&amp;" "&amp;$J321&amp;" "&amp;$K321&amp;" "&amp;$L321&amp;" "&amp;$V321))),OR(CARI!$C$6="",$F321=CARI!$C$6),OR(CARI!$C$7="",$G321=CARI!$C$7),OR(CARI!$C$8="",$T321=CARI!$C$8)),MAX($Z$3:Z320)+1,""))</f>
        <v/>
      </c>
      <c r="AA321" s="40" t="str">
        <f aca="false">IF($Y321="","",MAX($AA$3:AA320)+1)</f>
        <v/>
      </c>
      <c r="AB321" s="40" t="str">
        <f aca="false">IF($F321="","",$F321&amp;"#"&amp;COUNTIF($F$4:$F321,$F321))</f>
        <v/>
      </c>
      <c r="AC321" s="40" t="str">
        <f aca="false">IF($B321="","",IF(AND(OR(CETAK!$J$10="",$F321=CETAK!$J$10),OR(CETAK!$J$11="",$G321=CETAK!$J$11),OR(CETAK!$J$12="",$P321=CETAK!$J$12),OR(CETAK!$J$13="",$N321=CETAK!$J$13),OR(CETAK!$J$14="",$T321=CETAK!$J$14)),MAX($AC$3:AC320)+1,""))</f>
        <v/>
      </c>
      <c r="AD321" s="40" t="str">
        <f aca="false">IF($B321="","",IF(AND(OR(ABSENSI!$H$10="",$F321=ABSENSI!$H$10),OR(ABSENSI!$H$11="",$G321=ABSENSI!$H$11),OR(ABSENSI!$H$12="",$P321=ABSENSI!$H$12)),MAX($AD$3:AD320)+1,""))</f>
        <v/>
      </c>
      <c r="AE321" s="40" t="str">
        <f aca="false">IF($B321="","",IF(AND(OR(KARTU!$K$6="",$F321=KARTU!$K$6),OR(KARTU!$K$7="",$G321=KARTU!$K$7),OR(KARTU!$K$8="",$P321=KARTU!$K$8)),MAX($AE$3:AE320)+1,""))</f>
        <v/>
      </c>
    </row>
    <row r="322" customFormat="false" ht="15" hidden="false" customHeight="false" outlineLevel="0" collapsed="false">
      <c r="A322" s="35" t="str">
        <f aca="false">IF($B322="","",COUNTA($B$4:$B322))</f>
        <v/>
      </c>
      <c r="B322" s="36"/>
      <c r="C322" s="37"/>
      <c r="D322" s="37"/>
      <c r="E322" s="38"/>
      <c r="F322" s="36"/>
      <c r="G322" s="39"/>
      <c r="H322" s="39"/>
      <c r="I322" s="36"/>
      <c r="J322" s="36"/>
      <c r="K322" s="36"/>
      <c r="L322" s="36"/>
      <c r="M322" s="40" t="str">
        <f aca="false">IF($F322="","",$F322&amp;IF($G322="",""," - RT "&amp;$G322&amp;IF($H322="","","/"&amp;$H322)))</f>
        <v/>
      </c>
      <c r="N322" s="36"/>
      <c r="O322" s="37"/>
      <c r="P322" s="39"/>
      <c r="Q322" s="41"/>
      <c r="R322" s="35" t="str">
        <f aca="true">IF(OR($B322="",$Q322=""),"",DATEDIF($Q322,TODAY(),"Y"))</f>
        <v/>
      </c>
      <c r="S322" s="40" t="str">
        <f aca="false">IF($R322="","",INDEX(usia_label,MATCH($R322,usia_min,1)))</f>
        <v/>
      </c>
      <c r="T322" s="36"/>
      <c r="U322" s="41"/>
      <c r="V322" s="36"/>
      <c r="W322" s="36"/>
      <c r="X322" s="40" t="str">
        <f aca="false">IF($M322="","",$M322&amp;"#"&amp;COUNTIF($M$4:$M322,$M322))</f>
        <v/>
      </c>
      <c r="Y322" s="40" t="str">
        <f aca="false">IF($B322="","",IF($C322="","NIK kosong",IF(LEN($C322)&lt;&gt;16,"NIK bukan 16 digit",IF(COUNTIF($C$4:$C$2003,$C322&amp;"*")&gt;1,"NIK ganda",IF(AND($D322&lt;&gt;"",LEN($D322)&lt;&gt;16),"No. KK bukan 16 digit",IF(AND($F322="",$I322=""),"Alamat kosong",IF($N322="","Jabatan kosong",IF($O322="","No. HP kosong",IF(AND($R322&lt;&gt;"",$R322&lt;17),"Usia di bawah 17","")))))))))</f>
        <v/>
      </c>
      <c r="Z322" s="40" t="str">
        <f aca="false">IF($B322="","",IF(AND(OR(CARI!$C$5="",ISNUMBER(SEARCH(CARI!$C$5,$B322&amp;" "&amp;$C322&amp;" "&amp;$D322&amp;" "&amp;$O322&amp;" "&amp;$I322&amp;" "&amp;$F322&amp;" "&amp;$J322&amp;" "&amp;$K322&amp;" "&amp;$L322&amp;" "&amp;$V322))),OR(CARI!$C$6="",$F322=CARI!$C$6),OR(CARI!$C$7="",$G322=CARI!$C$7),OR(CARI!$C$8="",$T322=CARI!$C$8)),MAX($Z$3:Z321)+1,""))</f>
        <v/>
      </c>
      <c r="AA322" s="40" t="str">
        <f aca="false">IF($Y322="","",MAX($AA$3:AA321)+1)</f>
        <v/>
      </c>
      <c r="AB322" s="40" t="str">
        <f aca="false">IF($F322="","",$F322&amp;"#"&amp;COUNTIF($F$4:$F322,$F322))</f>
        <v/>
      </c>
      <c r="AC322" s="40" t="str">
        <f aca="false">IF($B322="","",IF(AND(OR(CETAK!$J$10="",$F322=CETAK!$J$10),OR(CETAK!$J$11="",$G322=CETAK!$J$11),OR(CETAK!$J$12="",$P322=CETAK!$J$12),OR(CETAK!$J$13="",$N322=CETAK!$J$13),OR(CETAK!$J$14="",$T322=CETAK!$J$14)),MAX($AC$3:AC321)+1,""))</f>
        <v/>
      </c>
      <c r="AD322" s="40" t="str">
        <f aca="false">IF($B322="","",IF(AND(OR(ABSENSI!$H$10="",$F322=ABSENSI!$H$10),OR(ABSENSI!$H$11="",$G322=ABSENSI!$H$11),OR(ABSENSI!$H$12="",$P322=ABSENSI!$H$12)),MAX($AD$3:AD321)+1,""))</f>
        <v/>
      </c>
      <c r="AE322" s="40" t="str">
        <f aca="false">IF($B322="","",IF(AND(OR(KARTU!$K$6="",$F322=KARTU!$K$6),OR(KARTU!$K$7="",$G322=KARTU!$K$7),OR(KARTU!$K$8="",$P322=KARTU!$K$8)),MAX($AE$3:AE321)+1,""))</f>
        <v/>
      </c>
    </row>
    <row r="323" customFormat="false" ht="15" hidden="false" customHeight="false" outlineLevel="0" collapsed="false">
      <c r="A323" s="35" t="str">
        <f aca="false">IF($B323="","",COUNTA($B$4:$B323))</f>
        <v/>
      </c>
      <c r="B323" s="36"/>
      <c r="C323" s="37"/>
      <c r="D323" s="37"/>
      <c r="E323" s="38"/>
      <c r="F323" s="36"/>
      <c r="G323" s="39"/>
      <c r="H323" s="39"/>
      <c r="I323" s="36"/>
      <c r="J323" s="36"/>
      <c r="K323" s="36"/>
      <c r="L323" s="36"/>
      <c r="M323" s="40" t="str">
        <f aca="false">IF($F323="","",$F323&amp;IF($G323="",""," - RT "&amp;$G323&amp;IF($H323="","","/"&amp;$H323)))</f>
        <v/>
      </c>
      <c r="N323" s="36"/>
      <c r="O323" s="37"/>
      <c r="P323" s="39"/>
      <c r="Q323" s="41"/>
      <c r="R323" s="35" t="str">
        <f aca="true">IF(OR($B323="",$Q323=""),"",DATEDIF($Q323,TODAY(),"Y"))</f>
        <v/>
      </c>
      <c r="S323" s="40" t="str">
        <f aca="false">IF($R323="","",INDEX(usia_label,MATCH($R323,usia_min,1)))</f>
        <v/>
      </c>
      <c r="T323" s="36"/>
      <c r="U323" s="41"/>
      <c r="V323" s="36"/>
      <c r="W323" s="36"/>
      <c r="X323" s="40" t="str">
        <f aca="false">IF($M323="","",$M323&amp;"#"&amp;COUNTIF($M$4:$M323,$M323))</f>
        <v/>
      </c>
      <c r="Y323" s="40" t="str">
        <f aca="false">IF($B323="","",IF($C323="","NIK kosong",IF(LEN($C323)&lt;&gt;16,"NIK bukan 16 digit",IF(COUNTIF($C$4:$C$2003,$C323&amp;"*")&gt;1,"NIK ganda",IF(AND($D323&lt;&gt;"",LEN($D323)&lt;&gt;16),"No. KK bukan 16 digit",IF(AND($F323="",$I323=""),"Alamat kosong",IF($N323="","Jabatan kosong",IF($O323="","No. HP kosong",IF(AND($R323&lt;&gt;"",$R323&lt;17),"Usia di bawah 17","")))))))))</f>
        <v/>
      </c>
      <c r="Z323" s="40" t="str">
        <f aca="false">IF($B323="","",IF(AND(OR(CARI!$C$5="",ISNUMBER(SEARCH(CARI!$C$5,$B323&amp;" "&amp;$C323&amp;" "&amp;$D323&amp;" "&amp;$O323&amp;" "&amp;$I323&amp;" "&amp;$F323&amp;" "&amp;$J323&amp;" "&amp;$K323&amp;" "&amp;$L323&amp;" "&amp;$V323))),OR(CARI!$C$6="",$F323=CARI!$C$6),OR(CARI!$C$7="",$G323=CARI!$C$7),OR(CARI!$C$8="",$T323=CARI!$C$8)),MAX($Z$3:Z322)+1,""))</f>
        <v/>
      </c>
      <c r="AA323" s="40" t="str">
        <f aca="false">IF($Y323="","",MAX($AA$3:AA322)+1)</f>
        <v/>
      </c>
      <c r="AB323" s="40" t="str">
        <f aca="false">IF($F323="","",$F323&amp;"#"&amp;COUNTIF($F$4:$F323,$F323))</f>
        <v/>
      </c>
      <c r="AC323" s="40" t="str">
        <f aca="false">IF($B323="","",IF(AND(OR(CETAK!$J$10="",$F323=CETAK!$J$10),OR(CETAK!$J$11="",$G323=CETAK!$J$11),OR(CETAK!$J$12="",$P323=CETAK!$J$12),OR(CETAK!$J$13="",$N323=CETAK!$J$13),OR(CETAK!$J$14="",$T323=CETAK!$J$14)),MAX($AC$3:AC322)+1,""))</f>
        <v/>
      </c>
      <c r="AD323" s="40" t="str">
        <f aca="false">IF($B323="","",IF(AND(OR(ABSENSI!$H$10="",$F323=ABSENSI!$H$10),OR(ABSENSI!$H$11="",$G323=ABSENSI!$H$11),OR(ABSENSI!$H$12="",$P323=ABSENSI!$H$12)),MAX($AD$3:AD322)+1,""))</f>
        <v/>
      </c>
      <c r="AE323" s="40" t="str">
        <f aca="false">IF($B323="","",IF(AND(OR(KARTU!$K$6="",$F323=KARTU!$K$6),OR(KARTU!$K$7="",$G323=KARTU!$K$7),OR(KARTU!$K$8="",$P323=KARTU!$K$8)),MAX($AE$3:AE322)+1,""))</f>
        <v/>
      </c>
    </row>
    <row r="324" customFormat="false" ht="15" hidden="false" customHeight="false" outlineLevel="0" collapsed="false">
      <c r="A324" s="35" t="str">
        <f aca="false">IF($B324="","",COUNTA($B$4:$B324))</f>
        <v/>
      </c>
      <c r="B324" s="36"/>
      <c r="C324" s="37"/>
      <c r="D324" s="37"/>
      <c r="E324" s="38"/>
      <c r="F324" s="36"/>
      <c r="G324" s="39"/>
      <c r="H324" s="39"/>
      <c r="I324" s="36"/>
      <c r="J324" s="36"/>
      <c r="K324" s="36"/>
      <c r="L324" s="36"/>
      <c r="M324" s="40" t="str">
        <f aca="false">IF($F324="","",$F324&amp;IF($G324="",""," - RT "&amp;$G324&amp;IF($H324="","","/"&amp;$H324)))</f>
        <v/>
      </c>
      <c r="N324" s="36"/>
      <c r="O324" s="37"/>
      <c r="P324" s="39"/>
      <c r="Q324" s="41"/>
      <c r="R324" s="35" t="str">
        <f aca="true">IF(OR($B324="",$Q324=""),"",DATEDIF($Q324,TODAY(),"Y"))</f>
        <v/>
      </c>
      <c r="S324" s="40" t="str">
        <f aca="false">IF($R324="","",INDEX(usia_label,MATCH($R324,usia_min,1)))</f>
        <v/>
      </c>
      <c r="T324" s="36"/>
      <c r="U324" s="41"/>
      <c r="V324" s="36"/>
      <c r="W324" s="36"/>
      <c r="X324" s="40" t="str">
        <f aca="false">IF($M324="","",$M324&amp;"#"&amp;COUNTIF($M$4:$M324,$M324))</f>
        <v/>
      </c>
      <c r="Y324" s="40" t="str">
        <f aca="false">IF($B324="","",IF($C324="","NIK kosong",IF(LEN($C324)&lt;&gt;16,"NIK bukan 16 digit",IF(COUNTIF($C$4:$C$2003,$C324&amp;"*")&gt;1,"NIK ganda",IF(AND($D324&lt;&gt;"",LEN($D324)&lt;&gt;16),"No. KK bukan 16 digit",IF(AND($F324="",$I324=""),"Alamat kosong",IF($N324="","Jabatan kosong",IF($O324="","No. HP kosong",IF(AND($R324&lt;&gt;"",$R324&lt;17),"Usia di bawah 17","")))))))))</f>
        <v/>
      </c>
      <c r="Z324" s="40" t="str">
        <f aca="false">IF($B324="","",IF(AND(OR(CARI!$C$5="",ISNUMBER(SEARCH(CARI!$C$5,$B324&amp;" "&amp;$C324&amp;" "&amp;$D324&amp;" "&amp;$O324&amp;" "&amp;$I324&amp;" "&amp;$F324&amp;" "&amp;$J324&amp;" "&amp;$K324&amp;" "&amp;$L324&amp;" "&amp;$V324))),OR(CARI!$C$6="",$F324=CARI!$C$6),OR(CARI!$C$7="",$G324=CARI!$C$7),OR(CARI!$C$8="",$T324=CARI!$C$8)),MAX($Z$3:Z323)+1,""))</f>
        <v/>
      </c>
      <c r="AA324" s="40" t="str">
        <f aca="false">IF($Y324="","",MAX($AA$3:AA323)+1)</f>
        <v/>
      </c>
      <c r="AB324" s="40" t="str">
        <f aca="false">IF($F324="","",$F324&amp;"#"&amp;COUNTIF($F$4:$F324,$F324))</f>
        <v/>
      </c>
      <c r="AC324" s="40" t="str">
        <f aca="false">IF($B324="","",IF(AND(OR(CETAK!$J$10="",$F324=CETAK!$J$10),OR(CETAK!$J$11="",$G324=CETAK!$J$11),OR(CETAK!$J$12="",$P324=CETAK!$J$12),OR(CETAK!$J$13="",$N324=CETAK!$J$13),OR(CETAK!$J$14="",$T324=CETAK!$J$14)),MAX($AC$3:AC323)+1,""))</f>
        <v/>
      </c>
      <c r="AD324" s="40" t="str">
        <f aca="false">IF($B324="","",IF(AND(OR(ABSENSI!$H$10="",$F324=ABSENSI!$H$10),OR(ABSENSI!$H$11="",$G324=ABSENSI!$H$11),OR(ABSENSI!$H$12="",$P324=ABSENSI!$H$12)),MAX($AD$3:AD323)+1,""))</f>
        <v/>
      </c>
      <c r="AE324" s="40" t="str">
        <f aca="false">IF($B324="","",IF(AND(OR(KARTU!$K$6="",$F324=KARTU!$K$6),OR(KARTU!$K$7="",$G324=KARTU!$K$7),OR(KARTU!$K$8="",$P324=KARTU!$K$8)),MAX($AE$3:AE323)+1,""))</f>
        <v/>
      </c>
    </row>
    <row r="325" customFormat="false" ht="15" hidden="false" customHeight="false" outlineLevel="0" collapsed="false">
      <c r="A325" s="35" t="str">
        <f aca="false">IF($B325="","",COUNTA($B$4:$B325))</f>
        <v/>
      </c>
      <c r="B325" s="36"/>
      <c r="C325" s="37"/>
      <c r="D325" s="37"/>
      <c r="E325" s="38"/>
      <c r="F325" s="36"/>
      <c r="G325" s="39"/>
      <c r="H325" s="39"/>
      <c r="I325" s="36"/>
      <c r="J325" s="36"/>
      <c r="K325" s="36"/>
      <c r="L325" s="36"/>
      <c r="M325" s="40" t="str">
        <f aca="false">IF($F325="","",$F325&amp;IF($G325="",""," - RT "&amp;$G325&amp;IF($H325="","","/"&amp;$H325)))</f>
        <v/>
      </c>
      <c r="N325" s="36"/>
      <c r="O325" s="37"/>
      <c r="P325" s="39"/>
      <c r="Q325" s="41"/>
      <c r="R325" s="35" t="str">
        <f aca="true">IF(OR($B325="",$Q325=""),"",DATEDIF($Q325,TODAY(),"Y"))</f>
        <v/>
      </c>
      <c r="S325" s="40" t="str">
        <f aca="false">IF($R325="","",INDEX(usia_label,MATCH($R325,usia_min,1)))</f>
        <v/>
      </c>
      <c r="T325" s="36"/>
      <c r="U325" s="41"/>
      <c r="V325" s="36"/>
      <c r="W325" s="36"/>
      <c r="X325" s="40" t="str">
        <f aca="false">IF($M325="","",$M325&amp;"#"&amp;COUNTIF($M$4:$M325,$M325))</f>
        <v/>
      </c>
      <c r="Y325" s="40" t="str">
        <f aca="false">IF($B325="","",IF($C325="","NIK kosong",IF(LEN($C325)&lt;&gt;16,"NIK bukan 16 digit",IF(COUNTIF($C$4:$C$2003,$C325&amp;"*")&gt;1,"NIK ganda",IF(AND($D325&lt;&gt;"",LEN($D325)&lt;&gt;16),"No. KK bukan 16 digit",IF(AND($F325="",$I325=""),"Alamat kosong",IF($N325="","Jabatan kosong",IF($O325="","No. HP kosong",IF(AND($R325&lt;&gt;"",$R325&lt;17),"Usia di bawah 17","")))))))))</f>
        <v/>
      </c>
      <c r="Z325" s="40" t="str">
        <f aca="false">IF($B325="","",IF(AND(OR(CARI!$C$5="",ISNUMBER(SEARCH(CARI!$C$5,$B325&amp;" "&amp;$C325&amp;" "&amp;$D325&amp;" "&amp;$O325&amp;" "&amp;$I325&amp;" "&amp;$F325&amp;" "&amp;$J325&amp;" "&amp;$K325&amp;" "&amp;$L325&amp;" "&amp;$V325))),OR(CARI!$C$6="",$F325=CARI!$C$6),OR(CARI!$C$7="",$G325=CARI!$C$7),OR(CARI!$C$8="",$T325=CARI!$C$8)),MAX($Z$3:Z324)+1,""))</f>
        <v/>
      </c>
      <c r="AA325" s="40" t="str">
        <f aca="false">IF($Y325="","",MAX($AA$3:AA324)+1)</f>
        <v/>
      </c>
      <c r="AB325" s="40" t="str">
        <f aca="false">IF($F325="","",$F325&amp;"#"&amp;COUNTIF($F$4:$F325,$F325))</f>
        <v/>
      </c>
      <c r="AC325" s="40" t="str">
        <f aca="false">IF($B325="","",IF(AND(OR(CETAK!$J$10="",$F325=CETAK!$J$10),OR(CETAK!$J$11="",$G325=CETAK!$J$11),OR(CETAK!$J$12="",$P325=CETAK!$J$12),OR(CETAK!$J$13="",$N325=CETAK!$J$13),OR(CETAK!$J$14="",$T325=CETAK!$J$14)),MAX($AC$3:AC324)+1,""))</f>
        <v/>
      </c>
      <c r="AD325" s="40" t="str">
        <f aca="false">IF($B325="","",IF(AND(OR(ABSENSI!$H$10="",$F325=ABSENSI!$H$10),OR(ABSENSI!$H$11="",$G325=ABSENSI!$H$11),OR(ABSENSI!$H$12="",$P325=ABSENSI!$H$12)),MAX($AD$3:AD324)+1,""))</f>
        <v/>
      </c>
      <c r="AE325" s="40" t="str">
        <f aca="false">IF($B325="","",IF(AND(OR(KARTU!$K$6="",$F325=KARTU!$K$6),OR(KARTU!$K$7="",$G325=KARTU!$K$7),OR(KARTU!$K$8="",$P325=KARTU!$K$8)),MAX($AE$3:AE324)+1,""))</f>
        <v/>
      </c>
    </row>
    <row r="326" customFormat="false" ht="15" hidden="false" customHeight="false" outlineLevel="0" collapsed="false">
      <c r="A326" s="35" t="str">
        <f aca="false">IF($B326="","",COUNTA($B$4:$B326))</f>
        <v/>
      </c>
      <c r="B326" s="36"/>
      <c r="C326" s="37"/>
      <c r="D326" s="37"/>
      <c r="E326" s="38"/>
      <c r="F326" s="36"/>
      <c r="G326" s="39"/>
      <c r="H326" s="39"/>
      <c r="I326" s="36"/>
      <c r="J326" s="36"/>
      <c r="K326" s="36"/>
      <c r="L326" s="36"/>
      <c r="M326" s="40" t="str">
        <f aca="false">IF($F326="","",$F326&amp;IF($G326="",""," - RT "&amp;$G326&amp;IF($H326="","","/"&amp;$H326)))</f>
        <v/>
      </c>
      <c r="N326" s="36"/>
      <c r="O326" s="37"/>
      <c r="P326" s="39"/>
      <c r="Q326" s="41"/>
      <c r="R326" s="35" t="str">
        <f aca="true">IF(OR($B326="",$Q326=""),"",DATEDIF($Q326,TODAY(),"Y"))</f>
        <v/>
      </c>
      <c r="S326" s="40" t="str">
        <f aca="false">IF($R326="","",INDEX(usia_label,MATCH($R326,usia_min,1)))</f>
        <v/>
      </c>
      <c r="T326" s="36"/>
      <c r="U326" s="41"/>
      <c r="V326" s="36"/>
      <c r="W326" s="36"/>
      <c r="X326" s="40" t="str">
        <f aca="false">IF($M326="","",$M326&amp;"#"&amp;COUNTIF($M$4:$M326,$M326))</f>
        <v/>
      </c>
      <c r="Y326" s="40" t="str">
        <f aca="false">IF($B326="","",IF($C326="","NIK kosong",IF(LEN($C326)&lt;&gt;16,"NIK bukan 16 digit",IF(COUNTIF($C$4:$C$2003,$C326&amp;"*")&gt;1,"NIK ganda",IF(AND($D326&lt;&gt;"",LEN($D326)&lt;&gt;16),"No. KK bukan 16 digit",IF(AND($F326="",$I326=""),"Alamat kosong",IF($N326="","Jabatan kosong",IF($O326="","No. HP kosong",IF(AND($R326&lt;&gt;"",$R326&lt;17),"Usia di bawah 17","")))))))))</f>
        <v/>
      </c>
      <c r="Z326" s="40" t="str">
        <f aca="false">IF($B326="","",IF(AND(OR(CARI!$C$5="",ISNUMBER(SEARCH(CARI!$C$5,$B326&amp;" "&amp;$C326&amp;" "&amp;$D326&amp;" "&amp;$O326&amp;" "&amp;$I326&amp;" "&amp;$F326&amp;" "&amp;$J326&amp;" "&amp;$K326&amp;" "&amp;$L326&amp;" "&amp;$V326))),OR(CARI!$C$6="",$F326=CARI!$C$6),OR(CARI!$C$7="",$G326=CARI!$C$7),OR(CARI!$C$8="",$T326=CARI!$C$8)),MAX($Z$3:Z325)+1,""))</f>
        <v/>
      </c>
      <c r="AA326" s="40" t="str">
        <f aca="false">IF($Y326="","",MAX($AA$3:AA325)+1)</f>
        <v/>
      </c>
      <c r="AB326" s="40" t="str">
        <f aca="false">IF($F326="","",$F326&amp;"#"&amp;COUNTIF($F$4:$F326,$F326))</f>
        <v/>
      </c>
      <c r="AC326" s="40" t="str">
        <f aca="false">IF($B326="","",IF(AND(OR(CETAK!$J$10="",$F326=CETAK!$J$10),OR(CETAK!$J$11="",$G326=CETAK!$J$11),OR(CETAK!$J$12="",$P326=CETAK!$J$12),OR(CETAK!$J$13="",$N326=CETAK!$J$13),OR(CETAK!$J$14="",$T326=CETAK!$J$14)),MAX($AC$3:AC325)+1,""))</f>
        <v/>
      </c>
      <c r="AD326" s="40" t="str">
        <f aca="false">IF($B326="","",IF(AND(OR(ABSENSI!$H$10="",$F326=ABSENSI!$H$10),OR(ABSENSI!$H$11="",$G326=ABSENSI!$H$11),OR(ABSENSI!$H$12="",$P326=ABSENSI!$H$12)),MAX($AD$3:AD325)+1,""))</f>
        <v/>
      </c>
      <c r="AE326" s="40" t="str">
        <f aca="false">IF($B326="","",IF(AND(OR(KARTU!$K$6="",$F326=KARTU!$K$6),OR(KARTU!$K$7="",$G326=KARTU!$K$7),OR(KARTU!$K$8="",$P326=KARTU!$K$8)),MAX($AE$3:AE325)+1,""))</f>
        <v/>
      </c>
    </row>
    <row r="327" customFormat="false" ht="15" hidden="false" customHeight="false" outlineLevel="0" collapsed="false">
      <c r="A327" s="35" t="str">
        <f aca="false">IF($B327="","",COUNTA($B$4:$B327))</f>
        <v/>
      </c>
      <c r="B327" s="36"/>
      <c r="C327" s="37"/>
      <c r="D327" s="37"/>
      <c r="E327" s="38"/>
      <c r="F327" s="36"/>
      <c r="G327" s="39"/>
      <c r="H327" s="39"/>
      <c r="I327" s="36"/>
      <c r="J327" s="36"/>
      <c r="K327" s="36"/>
      <c r="L327" s="36"/>
      <c r="M327" s="40" t="str">
        <f aca="false">IF($F327="","",$F327&amp;IF($G327="",""," - RT "&amp;$G327&amp;IF($H327="","","/"&amp;$H327)))</f>
        <v/>
      </c>
      <c r="N327" s="36"/>
      <c r="O327" s="37"/>
      <c r="P327" s="39"/>
      <c r="Q327" s="41"/>
      <c r="R327" s="35" t="str">
        <f aca="true">IF(OR($B327="",$Q327=""),"",DATEDIF($Q327,TODAY(),"Y"))</f>
        <v/>
      </c>
      <c r="S327" s="40" t="str">
        <f aca="false">IF($R327="","",INDEX(usia_label,MATCH($R327,usia_min,1)))</f>
        <v/>
      </c>
      <c r="T327" s="36"/>
      <c r="U327" s="41"/>
      <c r="V327" s="36"/>
      <c r="W327" s="36"/>
      <c r="X327" s="40" t="str">
        <f aca="false">IF($M327="","",$M327&amp;"#"&amp;COUNTIF($M$4:$M327,$M327))</f>
        <v/>
      </c>
      <c r="Y327" s="40" t="str">
        <f aca="false">IF($B327="","",IF($C327="","NIK kosong",IF(LEN($C327)&lt;&gt;16,"NIK bukan 16 digit",IF(COUNTIF($C$4:$C$2003,$C327&amp;"*")&gt;1,"NIK ganda",IF(AND($D327&lt;&gt;"",LEN($D327)&lt;&gt;16),"No. KK bukan 16 digit",IF(AND($F327="",$I327=""),"Alamat kosong",IF($N327="","Jabatan kosong",IF($O327="","No. HP kosong",IF(AND($R327&lt;&gt;"",$R327&lt;17),"Usia di bawah 17","")))))))))</f>
        <v/>
      </c>
      <c r="Z327" s="40" t="str">
        <f aca="false">IF($B327="","",IF(AND(OR(CARI!$C$5="",ISNUMBER(SEARCH(CARI!$C$5,$B327&amp;" "&amp;$C327&amp;" "&amp;$D327&amp;" "&amp;$O327&amp;" "&amp;$I327&amp;" "&amp;$F327&amp;" "&amp;$J327&amp;" "&amp;$K327&amp;" "&amp;$L327&amp;" "&amp;$V327))),OR(CARI!$C$6="",$F327=CARI!$C$6),OR(CARI!$C$7="",$G327=CARI!$C$7),OR(CARI!$C$8="",$T327=CARI!$C$8)),MAX($Z$3:Z326)+1,""))</f>
        <v/>
      </c>
      <c r="AA327" s="40" t="str">
        <f aca="false">IF($Y327="","",MAX($AA$3:AA326)+1)</f>
        <v/>
      </c>
      <c r="AB327" s="40" t="str">
        <f aca="false">IF($F327="","",$F327&amp;"#"&amp;COUNTIF($F$4:$F327,$F327))</f>
        <v/>
      </c>
      <c r="AC327" s="40" t="str">
        <f aca="false">IF($B327="","",IF(AND(OR(CETAK!$J$10="",$F327=CETAK!$J$10),OR(CETAK!$J$11="",$G327=CETAK!$J$11),OR(CETAK!$J$12="",$P327=CETAK!$J$12),OR(CETAK!$J$13="",$N327=CETAK!$J$13),OR(CETAK!$J$14="",$T327=CETAK!$J$14)),MAX($AC$3:AC326)+1,""))</f>
        <v/>
      </c>
      <c r="AD327" s="40" t="str">
        <f aca="false">IF($B327="","",IF(AND(OR(ABSENSI!$H$10="",$F327=ABSENSI!$H$10),OR(ABSENSI!$H$11="",$G327=ABSENSI!$H$11),OR(ABSENSI!$H$12="",$P327=ABSENSI!$H$12)),MAX($AD$3:AD326)+1,""))</f>
        <v/>
      </c>
      <c r="AE327" s="40" t="str">
        <f aca="false">IF($B327="","",IF(AND(OR(KARTU!$K$6="",$F327=KARTU!$K$6),OR(KARTU!$K$7="",$G327=KARTU!$K$7),OR(KARTU!$K$8="",$P327=KARTU!$K$8)),MAX($AE$3:AE326)+1,""))</f>
        <v/>
      </c>
    </row>
    <row r="328" customFormat="false" ht="15" hidden="false" customHeight="false" outlineLevel="0" collapsed="false">
      <c r="A328" s="35" t="str">
        <f aca="false">IF($B328="","",COUNTA($B$4:$B328))</f>
        <v/>
      </c>
      <c r="B328" s="36"/>
      <c r="C328" s="37"/>
      <c r="D328" s="37"/>
      <c r="E328" s="38"/>
      <c r="F328" s="36"/>
      <c r="G328" s="39"/>
      <c r="H328" s="39"/>
      <c r="I328" s="36"/>
      <c r="J328" s="36"/>
      <c r="K328" s="36"/>
      <c r="L328" s="36"/>
      <c r="M328" s="40" t="str">
        <f aca="false">IF($F328="","",$F328&amp;IF($G328="",""," - RT "&amp;$G328&amp;IF($H328="","","/"&amp;$H328)))</f>
        <v/>
      </c>
      <c r="N328" s="36"/>
      <c r="O328" s="37"/>
      <c r="P328" s="39"/>
      <c r="Q328" s="41"/>
      <c r="R328" s="35" t="str">
        <f aca="true">IF(OR($B328="",$Q328=""),"",DATEDIF($Q328,TODAY(),"Y"))</f>
        <v/>
      </c>
      <c r="S328" s="40" t="str">
        <f aca="false">IF($R328="","",INDEX(usia_label,MATCH($R328,usia_min,1)))</f>
        <v/>
      </c>
      <c r="T328" s="36"/>
      <c r="U328" s="41"/>
      <c r="V328" s="36"/>
      <c r="W328" s="36"/>
      <c r="X328" s="40" t="str">
        <f aca="false">IF($M328="","",$M328&amp;"#"&amp;COUNTIF($M$4:$M328,$M328))</f>
        <v/>
      </c>
      <c r="Y328" s="40" t="str">
        <f aca="false">IF($B328="","",IF($C328="","NIK kosong",IF(LEN($C328)&lt;&gt;16,"NIK bukan 16 digit",IF(COUNTIF($C$4:$C$2003,$C328&amp;"*")&gt;1,"NIK ganda",IF(AND($D328&lt;&gt;"",LEN($D328)&lt;&gt;16),"No. KK bukan 16 digit",IF(AND($F328="",$I328=""),"Alamat kosong",IF($N328="","Jabatan kosong",IF($O328="","No. HP kosong",IF(AND($R328&lt;&gt;"",$R328&lt;17),"Usia di bawah 17","")))))))))</f>
        <v/>
      </c>
      <c r="Z328" s="40" t="str">
        <f aca="false">IF($B328="","",IF(AND(OR(CARI!$C$5="",ISNUMBER(SEARCH(CARI!$C$5,$B328&amp;" "&amp;$C328&amp;" "&amp;$D328&amp;" "&amp;$O328&amp;" "&amp;$I328&amp;" "&amp;$F328&amp;" "&amp;$J328&amp;" "&amp;$K328&amp;" "&amp;$L328&amp;" "&amp;$V328))),OR(CARI!$C$6="",$F328=CARI!$C$6),OR(CARI!$C$7="",$G328=CARI!$C$7),OR(CARI!$C$8="",$T328=CARI!$C$8)),MAX($Z$3:Z327)+1,""))</f>
        <v/>
      </c>
      <c r="AA328" s="40" t="str">
        <f aca="false">IF($Y328="","",MAX($AA$3:AA327)+1)</f>
        <v/>
      </c>
      <c r="AB328" s="40" t="str">
        <f aca="false">IF($F328="","",$F328&amp;"#"&amp;COUNTIF($F$4:$F328,$F328))</f>
        <v/>
      </c>
      <c r="AC328" s="40" t="str">
        <f aca="false">IF($B328="","",IF(AND(OR(CETAK!$J$10="",$F328=CETAK!$J$10),OR(CETAK!$J$11="",$G328=CETAK!$J$11),OR(CETAK!$J$12="",$P328=CETAK!$J$12),OR(CETAK!$J$13="",$N328=CETAK!$J$13),OR(CETAK!$J$14="",$T328=CETAK!$J$14)),MAX($AC$3:AC327)+1,""))</f>
        <v/>
      </c>
      <c r="AD328" s="40" t="str">
        <f aca="false">IF($B328="","",IF(AND(OR(ABSENSI!$H$10="",$F328=ABSENSI!$H$10),OR(ABSENSI!$H$11="",$G328=ABSENSI!$H$11),OR(ABSENSI!$H$12="",$P328=ABSENSI!$H$12)),MAX($AD$3:AD327)+1,""))</f>
        <v/>
      </c>
      <c r="AE328" s="40" t="str">
        <f aca="false">IF($B328="","",IF(AND(OR(KARTU!$K$6="",$F328=KARTU!$K$6),OR(KARTU!$K$7="",$G328=KARTU!$K$7),OR(KARTU!$K$8="",$P328=KARTU!$K$8)),MAX($AE$3:AE327)+1,""))</f>
        <v/>
      </c>
    </row>
    <row r="329" customFormat="false" ht="15" hidden="false" customHeight="false" outlineLevel="0" collapsed="false">
      <c r="A329" s="35" t="str">
        <f aca="false">IF($B329="","",COUNTA($B$4:$B329))</f>
        <v/>
      </c>
      <c r="B329" s="36"/>
      <c r="C329" s="37"/>
      <c r="D329" s="37"/>
      <c r="E329" s="38"/>
      <c r="F329" s="36"/>
      <c r="G329" s="39"/>
      <c r="H329" s="39"/>
      <c r="I329" s="36"/>
      <c r="J329" s="36"/>
      <c r="K329" s="36"/>
      <c r="L329" s="36"/>
      <c r="M329" s="40" t="str">
        <f aca="false">IF($F329="","",$F329&amp;IF($G329="",""," - RT "&amp;$G329&amp;IF($H329="","","/"&amp;$H329)))</f>
        <v/>
      </c>
      <c r="N329" s="36"/>
      <c r="O329" s="37"/>
      <c r="P329" s="39"/>
      <c r="Q329" s="41"/>
      <c r="R329" s="35" t="str">
        <f aca="true">IF(OR($B329="",$Q329=""),"",DATEDIF($Q329,TODAY(),"Y"))</f>
        <v/>
      </c>
      <c r="S329" s="40" t="str">
        <f aca="false">IF($R329="","",INDEX(usia_label,MATCH($R329,usia_min,1)))</f>
        <v/>
      </c>
      <c r="T329" s="36"/>
      <c r="U329" s="41"/>
      <c r="V329" s="36"/>
      <c r="W329" s="36"/>
      <c r="X329" s="40" t="str">
        <f aca="false">IF($M329="","",$M329&amp;"#"&amp;COUNTIF($M$4:$M329,$M329))</f>
        <v/>
      </c>
      <c r="Y329" s="40" t="str">
        <f aca="false">IF($B329="","",IF($C329="","NIK kosong",IF(LEN($C329)&lt;&gt;16,"NIK bukan 16 digit",IF(COUNTIF($C$4:$C$2003,$C329&amp;"*")&gt;1,"NIK ganda",IF(AND($D329&lt;&gt;"",LEN($D329)&lt;&gt;16),"No. KK bukan 16 digit",IF(AND($F329="",$I329=""),"Alamat kosong",IF($N329="","Jabatan kosong",IF($O329="","No. HP kosong",IF(AND($R329&lt;&gt;"",$R329&lt;17),"Usia di bawah 17","")))))))))</f>
        <v/>
      </c>
      <c r="Z329" s="40" t="str">
        <f aca="false">IF($B329="","",IF(AND(OR(CARI!$C$5="",ISNUMBER(SEARCH(CARI!$C$5,$B329&amp;" "&amp;$C329&amp;" "&amp;$D329&amp;" "&amp;$O329&amp;" "&amp;$I329&amp;" "&amp;$F329&amp;" "&amp;$J329&amp;" "&amp;$K329&amp;" "&amp;$L329&amp;" "&amp;$V329))),OR(CARI!$C$6="",$F329=CARI!$C$6),OR(CARI!$C$7="",$G329=CARI!$C$7),OR(CARI!$C$8="",$T329=CARI!$C$8)),MAX($Z$3:Z328)+1,""))</f>
        <v/>
      </c>
      <c r="AA329" s="40" t="str">
        <f aca="false">IF($Y329="","",MAX($AA$3:AA328)+1)</f>
        <v/>
      </c>
      <c r="AB329" s="40" t="str">
        <f aca="false">IF($F329="","",$F329&amp;"#"&amp;COUNTIF($F$4:$F329,$F329))</f>
        <v/>
      </c>
      <c r="AC329" s="40" t="str">
        <f aca="false">IF($B329="","",IF(AND(OR(CETAK!$J$10="",$F329=CETAK!$J$10),OR(CETAK!$J$11="",$G329=CETAK!$J$11),OR(CETAK!$J$12="",$P329=CETAK!$J$12),OR(CETAK!$J$13="",$N329=CETAK!$J$13),OR(CETAK!$J$14="",$T329=CETAK!$J$14)),MAX($AC$3:AC328)+1,""))</f>
        <v/>
      </c>
      <c r="AD329" s="40" t="str">
        <f aca="false">IF($B329="","",IF(AND(OR(ABSENSI!$H$10="",$F329=ABSENSI!$H$10),OR(ABSENSI!$H$11="",$G329=ABSENSI!$H$11),OR(ABSENSI!$H$12="",$P329=ABSENSI!$H$12)),MAX($AD$3:AD328)+1,""))</f>
        <v/>
      </c>
      <c r="AE329" s="40" t="str">
        <f aca="false">IF($B329="","",IF(AND(OR(KARTU!$K$6="",$F329=KARTU!$K$6),OR(KARTU!$K$7="",$G329=KARTU!$K$7),OR(KARTU!$K$8="",$P329=KARTU!$K$8)),MAX($AE$3:AE328)+1,""))</f>
        <v/>
      </c>
    </row>
    <row r="330" customFormat="false" ht="15" hidden="false" customHeight="false" outlineLevel="0" collapsed="false">
      <c r="A330" s="35" t="str">
        <f aca="false">IF($B330="","",COUNTA($B$4:$B330))</f>
        <v/>
      </c>
      <c r="B330" s="36"/>
      <c r="C330" s="37"/>
      <c r="D330" s="37"/>
      <c r="E330" s="38"/>
      <c r="F330" s="36"/>
      <c r="G330" s="39"/>
      <c r="H330" s="39"/>
      <c r="I330" s="36"/>
      <c r="J330" s="36"/>
      <c r="K330" s="36"/>
      <c r="L330" s="36"/>
      <c r="M330" s="40" t="str">
        <f aca="false">IF($F330="","",$F330&amp;IF($G330="",""," - RT "&amp;$G330&amp;IF($H330="","","/"&amp;$H330)))</f>
        <v/>
      </c>
      <c r="N330" s="36"/>
      <c r="O330" s="37"/>
      <c r="P330" s="39"/>
      <c r="Q330" s="41"/>
      <c r="R330" s="35" t="str">
        <f aca="true">IF(OR($B330="",$Q330=""),"",DATEDIF($Q330,TODAY(),"Y"))</f>
        <v/>
      </c>
      <c r="S330" s="40" t="str">
        <f aca="false">IF($R330="","",INDEX(usia_label,MATCH($R330,usia_min,1)))</f>
        <v/>
      </c>
      <c r="T330" s="36"/>
      <c r="U330" s="41"/>
      <c r="V330" s="36"/>
      <c r="W330" s="36"/>
      <c r="X330" s="40" t="str">
        <f aca="false">IF($M330="","",$M330&amp;"#"&amp;COUNTIF($M$4:$M330,$M330))</f>
        <v/>
      </c>
      <c r="Y330" s="40" t="str">
        <f aca="false">IF($B330="","",IF($C330="","NIK kosong",IF(LEN($C330)&lt;&gt;16,"NIK bukan 16 digit",IF(COUNTIF($C$4:$C$2003,$C330&amp;"*")&gt;1,"NIK ganda",IF(AND($D330&lt;&gt;"",LEN($D330)&lt;&gt;16),"No. KK bukan 16 digit",IF(AND($F330="",$I330=""),"Alamat kosong",IF($N330="","Jabatan kosong",IF($O330="","No. HP kosong",IF(AND($R330&lt;&gt;"",$R330&lt;17),"Usia di bawah 17","")))))))))</f>
        <v/>
      </c>
      <c r="Z330" s="40" t="str">
        <f aca="false">IF($B330="","",IF(AND(OR(CARI!$C$5="",ISNUMBER(SEARCH(CARI!$C$5,$B330&amp;" "&amp;$C330&amp;" "&amp;$D330&amp;" "&amp;$O330&amp;" "&amp;$I330&amp;" "&amp;$F330&amp;" "&amp;$J330&amp;" "&amp;$K330&amp;" "&amp;$L330&amp;" "&amp;$V330))),OR(CARI!$C$6="",$F330=CARI!$C$6),OR(CARI!$C$7="",$G330=CARI!$C$7),OR(CARI!$C$8="",$T330=CARI!$C$8)),MAX($Z$3:Z329)+1,""))</f>
        <v/>
      </c>
      <c r="AA330" s="40" t="str">
        <f aca="false">IF($Y330="","",MAX($AA$3:AA329)+1)</f>
        <v/>
      </c>
      <c r="AB330" s="40" t="str">
        <f aca="false">IF($F330="","",$F330&amp;"#"&amp;COUNTIF($F$4:$F330,$F330))</f>
        <v/>
      </c>
      <c r="AC330" s="40" t="str">
        <f aca="false">IF($B330="","",IF(AND(OR(CETAK!$J$10="",$F330=CETAK!$J$10),OR(CETAK!$J$11="",$G330=CETAK!$J$11),OR(CETAK!$J$12="",$P330=CETAK!$J$12),OR(CETAK!$J$13="",$N330=CETAK!$J$13),OR(CETAK!$J$14="",$T330=CETAK!$J$14)),MAX($AC$3:AC329)+1,""))</f>
        <v/>
      </c>
      <c r="AD330" s="40" t="str">
        <f aca="false">IF($B330="","",IF(AND(OR(ABSENSI!$H$10="",$F330=ABSENSI!$H$10),OR(ABSENSI!$H$11="",$G330=ABSENSI!$H$11),OR(ABSENSI!$H$12="",$P330=ABSENSI!$H$12)),MAX($AD$3:AD329)+1,""))</f>
        <v/>
      </c>
      <c r="AE330" s="40" t="str">
        <f aca="false">IF($B330="","",IF(AND(OR(KARTU!$K$6="",$F330=KARTU!$K$6),OR(KARTU!$K$7="",$G330=KARTU!$K$7),OR(KARTU!$K$8="",$P330=KARTU!$K$8)),MAX($AE$3:AE329)+1,""))</f>
        <v/>
      </c>
    </row>
    <row r="331" customFormat="false" ht="15" hidden="false" customHeight="false" outlineLevel="0" collapsed="false">
      <c r="A331" s="35" t="str">
        <f aca="false">IF($B331="","",COUNTA($B$4:$B331))</f>
        <v/>
      </c>
      <c r="B331" s="36"/>
      <c r="C331" s="37"/>
      <c r="D331" s="37"/>
      <c r="E331" s="38"/>
      <c r="F331" s="36"/>
      <c r="G331" s="39"/>
      <c r="H331" s="39"/>
      <c r="I331" s="36"/>
      <c r="J331" s="36"/>
      <c r="K331" s="36"/>
      <c r="L331" s="36"/>
      <c r="M331" s="40" t="str">
        <f aca="false">IF($F331="","",$F331&amp;IF($G331="",""," - RT "&amp;$G331&amp;IF($H331="","","/"&amp;$H331)))</f>
        <v/>
      </c>
      <c r="N331" s="36"/>
      <c r="O331" s="37"/>
      <c r="P331" s="39"/>
      <c r="Q331" s="41"/>
      <c r="R331" s="35" t="str">
        <f aca="true">IF(OR($B331="",$Q331=""),"",DATEDIF($Q331,TODAY(),"Y"))</f>
        <v/>
      </c>
      <c r="S331" s="40" t="str">
        <f aca="false">IF($R331="","",INDEX(usia_label,MATCH($R331,usia_min,1)))</f>
        <v/>
      </c>
      <c r="T331" s="36"/>
      <c r="U331" s="41"/>
      <c r="V331" s="36"/>
      <c r="W331" s="36"/>
      <c r="X331" s="40" t="str">
        <f aca="false">IF($M331="","",$M331&amp;"#"&amp;COUNTIF($M$4:$M331,$M331))</f>
        <v/>
      </c>
      <c r="Y331" s="40" t="str">
        <f aca="false">IF($B331="","",IF($C331="","NIK kosong",IF(LEN($C331)&lt;&gt;16,"NIK bukan 16 digit",IF(COUNTIF($C$4:$C$2003,$C331&amp;"*")&gt;1,"NIK ganda",IF(AND($D331&lt;&gt;"",LEN($D331)&lt;&gt;16),"No. KK bukan 16 digit",IF(AND($F331="",$I331=""),"Alamat kosong",IF($N331="","Jabatan kosong",IF($O331="","No. HP kosong",IF(AND($R331&lt;&gt;"",$R331&lt;17),"Usia di bawah 17","")))))))))</f>
        <v/>
      </c>
      <c r="Z331" s="40" t="str">
        <f aca="false">IF($B331="","",IF(AND(OR(CARI!$C$5="",ISNUMBER(SEARCH(CARI!$C$5,$B331&amp;" "&amp;$C331&amp;" "&amp;$D331&amp;" "&amp;$O331&amp;" "&amp;$I331&amp;" "&amp;$F331&amp;" "&amp;$J331&amp;" "&amp;$K331&amp;" "&amp;$L331&amp;" "&amp;$V331))),OR(CARI!$C$6="",$F331=CARI!$C$6),OR(CARI!$C$7="",$G331=CARI!$C$7),OR(CARI!$C$8="",$T331=CARI!$C$8)),MAX($Z$3:Z330)+1,""))</f>
        <v/>
      </c>
      <c r="AA331" s="40" t="str">
        <f aca="false">IF($Y331="","",MAX($AA$3:AA330)+1)</f>
        <v/>
      </c>
      <c r="AB331" s="40" t="str">
        <f aca="false">IF($F331="","",$F331&amp;"#"&amp;COUNTIF($F$4:$F331,$F331))</f>
        <v/>
      </c>
      <c r="AC331" s="40" t="str">
        <f aca="false">IF($B331="","",IF(AND(OR(CETAK!$J$10="",$F331=CETAK!$J$10),OR(CETAK!$J$11="",$G331=CETAK!$J$11),OR(CETAK!$J$12="",$P331=CETAK!$J$12),OR(CETAK!$J$13="",$N331=CETAK!$J$13),OR(CETAK!$J$14="",$T331=CETAK!$J$14)),MAX($AC$3:AC330)+1,""))</f>
        <v/>
      </c>
      <c r="AD331" s="40" t="str">
        <f aca="false">IF($B331="","",IF(AND(OR(ABSENSI!$H$10="",$F331=ABSENSI!$H$10),OR(ABSENSI!$H$11="",$G331=ABSENSI!$H$11),OR(ABSENSI!$H$12="",$P331=ABSENSI!$H$12)),MAX($AD$3:AD330)+1,""))</f>
        <v/>
      </c>
      <c r="AE331" s="40" t="str">
        <f aca="false">IF($B331="","",IF(AND(OR(KARTU!$K$6="",$F331=KARTU!$K$6),OR(KARTU!$K$7="",$G331=KARTU!$K$7),OR(KARTU!$K$8="",$P331=KARTU!$K$8)),MAX($AE$3:AE330)+1,""))</f>
        <v/>
      </c>
    </row>
    <row r="332" customFormat="false" ht="15" hidden="false" customHeight="false" outlineLevel="0" collapsed="false">
      <c r="A332" s="35" t="str">
        <f aca="false">IF($B332="","",COUNTA($B$4:$B332))</f>
        <v/>
      </c>
      <c r="B332" s="36"/>
      <c r="C332" s="37"/>
      <c r="D332" s="37"/>
      <c r="E332" s="38"/>
      <c r="F332" s="36"/>
      <c r="G332" s="39"/>
      <c r="H332" s="39"/>
      <c r="I332" s="36"/>
      <c r="J332" s="36"/>
      <c r="K332" s="36"/>
      <c r="L332" s="36"/>
      <c r="M332" s="40" t="str">
        <f aca="false">IF($F332="","",$F332&amp;IF($G332="",""," - RT "&amp;$G332&amp;IF($H332="","","/"&amp;$H332)))</f>
        <v/>
      </c>
      <c r="N332" s="36"/>
      <c r="O332" s="37"/>
      <c r="P332" s="39"/>
      <c r="Q332" s="41"/>
      <c r="R332" s="35" t="str">
        <f aca="true">IF(OR($B332="",$Q332=""),"",DATEDIF($Q332,TODAY(),"Y"))</f>
        <v/>
      </c>
      <c r="S332" s="40" t="str">
        <f aca="false">IF($R332="","",INDEX(usia_label,MATCH($R332,usia_min,1)))</f>
        <v/>
      </c>
      <c r="T332" s="36"/>
      <c r="U332" s="41"/>
      <c r="V332" s="36"/>
      <c r="W332" s="36"/>
      <c r="X332" s="40" t="str">
        <f aca="false">IF($M332="","",$M332&amp;"#"&amp;COUNTIF($M$4:$M332,$M332))</f>
        <v/>
      </c>
      <c r="Y332" s="40" t="str">
        <f aca="false">IF($B332="","",IF($C332="","NIK kosong",IF(LEN($C332)&lt;&gt;16,"NIK bukan 16 digit",IF(COUNTIF($C$4:$C$2003,$C332&amp;"*")&gt;1,"NIK ganda",IF(AND($D332&lt;&gt;"",LEN($D332)&lt;&gt;16),"No. KK bukan 16 digit",IF(AND($F332="",$I332=""),"Alamat kosong",IF($N332="","Jabatan kosong",IF($O332="","No. HP kosong",IF(AND($R332&lt;&gt;"",$R332&lt;17),"Usia di bawah 17","")))))))))</f>
        <v/>
      </c>
      <c r="Z332" s="40" t="str">
        <f aca="false">IF($B332="","",IF(AND(OR(CARI!$C$5="",ISNUMBER(SEARCH(CARI!$C$5,$B332&amp;" "&amp;$C332&amp;" "&amp;$D332&amp;" "&amp;$O332&amp;" "&amp;$I332&amp;" "&amp;$F332&amp;" "&amp;$J332&amp;" "&amp;$K332&amp;" "&amp;$L332&amp;" "&amp;$V332))),OR(CARI!$C$6="",$F332=CARI!$C$6),OR(CARI!$C$7="",$G332=CARI!$C$7),OR(CARI!$C$8="",$T332=CARI!$C$8)),MAX($Z$3:Z331)+1,""))</f>
        <v/>
      </c>
      <c r="AA332" s="40" t="str">
        <f aca="false">IF($Y332="","",MAX($AA$3:AA331)+1)</f>
        <v/>
      </c>
      <c r="AB332" s="40" t="str">
        <f aca="false">IF($F332="","",$F332&amp;"#"&amp;COUNTIF($F$4:$F332,$F332))</f>
        <v/>
      </c>
      <c r="AC332" s="40" t="str">
        <f aca="false">IF($B332="","",IF(AND(OR(CETAK!$J$10="",$F332=CETAK!$J$10),OR(CETAK!$J$11="",$G332=CETAK!$J$11),OR(CETAK!$J$12="",$P332=CETAK!$J$12),OR(CETAK!$J$13="",$N332=CETAK!$J$13),OR(CETAK!$J$14="",$T332=CETAK!$J$14)),MAX($AC$3:AC331)+1,""))</f>
        <v/>
      </c>
      <c r="AD332" s="40" t="str">
        <f aca="false">IF($B332="","",IF(AND(OR(ABSENSI!$H$10="",$F332=ABSENSI!$H$10),OR(ABSENSI!$H$11="",$G332=ABSENSI!$H$11),OR(ABSENSI!$H$12="",$P332=ABSENSI!$H$12)),MAX($AD$3:AD331)+1,""))</f>
        <v/>
      </c>
      <c r="AE332" s="40" t="str">
        <f aca="false">IF($B332="","",IF(AND(OR(KARTU!$K$6="",$F332=KARTU!$K$6),OR(KARTU!$K$7="",$G332=KARTU!$K$7),OR(KARTU!$K$8="",$P332=KARTU!$K$8)),MAX($AE$3:AE331)+1,""))</f>
        <v/>
      </c>
    </row>
    <row r="333" customFormat="false" ht="15" hidden="false" customHeight="false" outlineLevel="0" collapsed="false">
      <c r="A333" s="35" t="str">
        <f aca="false">IF($B333="","",COUNTA($B$4:$B333))</f>
        <v/>
      </c>
      <c r="B333" s="36"/>
      <c r="C333" s="37"/>
      <c r="D333" s="37"/>
      <c r="E333" s="38"/>
      <c r="F333" s="36"/>
      <c r="G333" s="39"/>
      <c r="H333" s="39"/>
      <c r="I333" s="36"/>
      <c r="J333" s="36"/>
      <c r="K333" s="36"/>
      <c r="L333" s="36"/>
      <c r="M333" s="40" t="str">
        <f aca="false">IF($F333="","",$F333&amp;IF($G333="",""," - RT "&amp;$G333&amp;IF($H333="","","/"&amp;$H333)))</f>
        <v/>
      </c>
      <c r="N333" s="36"/>
      <c r="O333" s="37"/>
      <c r="P333" s="39"/>
      <c r="Q333" s="41"/>
      <c r="R333" s="35" t="str">
        <f aca="true">IF(OR($B333="",$Q333=""),"",DATEDIF($Q333,TODAY(),"Y"))</f>
        <v/>
      </c>
      <c r="S333" s="40" t="str">
        <f aca="false">IF($R333="","",INDEX(usia_label,MATCH($R333,usia_min,1)))</f>
        <v/>
      </c>
      <c r="T333" s="36"/>
      <c r="U333" s="41"/>
      <c r="V333" s="36"/>
      <c r="W333" s="36"/>
      <c r="X333" s="40" t="str">
        <f aca="false">IF($M333="","",$M333&amp;"#"&amp;COUNTIF($M$4:$M333,$M333))</f>
        <v/>
      </c>
      <c r="Y333" s="40" t="str">
        <f aca="false">IF($B333="","",IF($C333="","NIK kosong",IF(LEN($C333)&lt;&gt;16,"NIK bukan 16 digit",IF(COUNTIF($C$4:$C$2003,$C333&amp;"*")&gt;1,"NIK ganda",IF(AND($D333&lt;&gt;"",LEN($D333)&lt;&gt;16),"No. KK bukan 16 digit",IF(AND($F333="",$I333=""),"Alamat kosong",IF($N333="","Jabatan kosong",IF($O333="","No. HP kosong",IF(AND($R333&lt;&gt;"",$R333&lt;17),"Usia di bawah 17","")))))))))</f>
        <v/>
      </c>
      <c r="Z333" s="40" t="str">
        <f aca="false">IF($B333="","",IF(AND(OR(CARI!$C$5="",ISNUMBER(SEARCH(CARI!$C$5,$B333&amp;" "&amp;$C333&amp;" "&amp;$D333&amp;" "&amp;$O333&amp;" "&amp;$I333&amp;" "&amp;$F333&amp;" "&amp;$J333&amp;" "&amp;$K333&amp;" "&amp;$L333&amp;" "&amp;$V333))),OR(CARI!$C$6="",$F333=CARI!$C$6),OR(CARI!$C$7="",$G333=CARI!$C$7),OR(CARI!$C$8="",$T333=CARI!$C$8)),MAX($Z$3:Z332)+1,""))</f>
        <v/>
      </c>
      <c r="AA333" s="40" t="str">
        <f aca="false">IF($Y333="","",MAX($AA$3:AA332)+1)</f>
        <v/>
      </c>
      <c r="AB333" s="40" t="str">
        <f aca="false">IF($F333="","",$F333&amp;"#"&amp;COUNTIF($F$4:$F333,$F333))</f>
        <v/>
      </c>
      <c r="AC333" s="40" t="str">
        <f aca="false">IF($B333="","",IF(AND(OR(CETAK!$J$10="",$F333=CETAK!$J$10),OR(CETAK!$J$11="",$G333=CETAK!$J$11),OR(CETAK!$J$12="",$P333=CETAK!$J$12),OR(CETAK!$J$13="",$N333=CETAK!$J$13),OR(CETAK!$J$14="",$T333=CETAK!$J$14)),MAX($AC$3:AC332)+1,""))</f>
        <v/>
      </c>
      <c r="AD333" s="40" t="str">
        <f aca="false">IF($B333="","",IF(AND(OR(ABSENSI!$H$10="",$F333=ABSENSI!$H$10),OR(ABSENSI!$H$11="",$G333=ABSENSI!$H$11),OR(ABSENSI!$H$12="",$P333=ABSENSI!$H$12)),MAX($AD$3:AD332)+1,""))</f>
        <v/>
      </c>
      <c r="AE333" s="40" t="str">
        <f aca="false">IF($B333="","",IF(AND(OR(KARTU!$K$6="",$F333=KARTU!$K$6),OR(KARTU!$K$7="",$G333=KARTU!$K$7),OR(KARTU!$K$8="",$P333=KARTU!$K$8)),MAX($AE$3:AE332)+1,""))</f>
        <v/>
      </c>
    </row>
    <row r="334" customFormat="false" ht="15" hidden="false" customHeight="false" outlineLevel="0" collapsed="false">
      <c r="A334" s="35" t="str">
        <f aca="false">IF($B334="","",COUNTA($B$4:$B334))</f>
        <v/>
      </c>
      <c r="B334" s="36"/>
      <c r="C334" s="37"/>
      <c r="D334" s="37"/>
      <c r="E334" s="38"/>
      <c r="F334" s="36"/>
      <c r="G334" s="39"/>
      <c r="H334" s="39"/>
      <c r="I334" s="36"/>
      <c r="J334" s="36"/>
      <c r="K334" s="36"/>
      <c r="L334" s="36"/>
      <c r="M334" s="40" t="str">
        <f aca="false">IF($F334="","",$F334&amp;IF($G334="",""," - RT "&amp;$G334&amp;IF($H334="","","/"&amp;$H334)))</f>
        <v/>
      </c>
      <c r="N334" s="36"/>
      <c r="O334" s="37"/>
      <c r="P334" s="39"/>
      <c r="Q334" s="41"/>
      <c r="R334" s="35" t="str">
        <f aca="true">IF(OR($B334="",$Q334=""),"",DATEDIF($Q334,TODAY(),"Y"))</f>
        <v/>
      </c>
      <c r="S334" s="40" t="str">
        <f aca="false">IF($R334="","",INDEX(usia_label,MATCH($R334,usia_min,1)))</f>
        <v/>
      </c>
      <c r="T334" s="36"/>
      <c r="U334" s="41"/>
      <c r="V334" s="36"/>
      <c r="W334" s="36"/>
      <c r="X334" s="40" t="str">
        <f aca="false">IF($M334="","",$M334&amp;"#"&amp;COUNTIF($M$4:$M334,$M334))</f>
        <v/>
      </c>
      <c r="Y334" s="40" t="str">
        <f aca="false">IF($B334="","",IF($C334="","NIK kosong",IF(LEN($C334)&lt;&gt;16,"NIK bukan 16 digit",IF(COUNTIF($C$4:$C$2003,$C334&amp;"*")&gt;1,"NIK ganda",IF(AND($D334&lt;&gt;"",LEN($D334)&lt;&gt;16),"No. KK bukan 16 digit",IF(AND($F334="",$I334=""),"Alamat kosong",IF($N334="","Jabatan kosong",IF($O334="","No. HP kosong",IF(AND($R334&lt;&gt;"",$R334&lt;17),"Usia di bawah 17","")))))))))</f>
        <v/>
      </c>
      <c r="Z334" s="40" t="str">
        <f aca="false">IF($B334="","",IF(AND(OR(CARI!$C$5="",ISNUMBER(SEARCH(CARI!$C$5,$B334&amp;" "&amp;$C334&amp;" "&amp;$D334&amp;" "&amp;$O334&amp;" "&amp;$I334&amp;" "&amp;$F334&amp;" "&amp;$J334&amp;" "&amp;$K334&amp;" "&amp;$L334&amp;" "&amp;$V334))),OR(CARI!$C$6="",$F334=CARI!$C$6),OR(CARI!$C$7="",$G334=CARI!$C$7),OR(CARI!$C$8="",$T334=CARI!$C$8)),MAX($Z$3:Z333)+1,""))</f>
        <v/>
      </c>
      <c r="AA334" s="40" t="str">
        <f aca="false">IF($Y334="","",MAX($AA$3:AA333)+1)</f>
        <v/>
      </c>
      <c r="AB334" s="40" t="str">
        <f aca="false">IF($F334="","",$F334&amp;"#"&amp;COUNTIF($F$4:$F334,$F334))</f>
        <v/>
      </c>
      <c r="AC334" s="40" t="str">
        <f aca="false">IF($B334="","",IF(AND(OR(CETAK!$J$10="",$F334=CETAK!$J$10),OR(CETAK!$J$11="",$G334=CETAK!$J$11),OR(CETAK!$J$12="",$P334=CETAK!$J$12),OR(CETAK!$J$13="",$N334=CETAK!$J$13),OR(CETAK!$J$14="",$T334=CETAK!$J$14)),MAX($AC$3:AC333)+1,""))</f>
        <v/>
      </c>
      <c r="AD334" s="40" t="str">
        <f aca="false">IF($B334="","",IF(AND(OR(ABSENSI!$H$10="",$F334=ABSENSI!$H$10),OR(ABSENSI!$H$11="",$G334=ABSENSI!$H$11),OR(ABSENSI!$H$12="",$P334=ABSENSI!$H$12)),MAX($AD$3:AD333)+1,""))</f>
        <v/>
      </c>
      <c r="AE334" s="40" t="str">
        <f aca="false">IF($B334="","",IF(AND(OR(KARTU!$K$6="",$F334=KARTU!$K$6),OR(KARTU!$K$7="",$G334=KARTU!$K$7),OR(KARTU!$K$8="",$P334=KARTU!$K$8)),MAX($AE$3:AE333)+1,""))</f>
        <v/>
      </c>
    </row>
    <row r="335" customFormat="false" ht="15" hidden="false" customHeight="false" outlineLevel="0" collapsed="false">
      <c r="A335" s="35" t="str">
        <f aca="false">IF($B335="","",COUNTA($B$4:$B335))</f>
        <v/>
      </c>
      <c r="B335" s="36"/>
      <c r="C335" s="37"/>
      <c r="D335" s="37"/>
      <c r="E335" s="38"/>
      <c r="F335" s="36"/>
      <c r="G335" s="39"/>
      <c r="H335" s="39"/>
      <c r="I335" s="36"/>
      <c r="J335" s="36"/>
      <c r="K335" s="36"/>
      <c r="L335" s="36"/>
      <c r="M335" s="40" t="str">
        <f aca="false">IF($F335="","",$F335&amp;IF($G335="",""," - RT "&amp;$G335&amp;IF($H335="","","/"&amp;$H335)))</f>
        <v/>
      </c>
      <c r="N335" s="36"/>
      <c r="O335" s="37"/>
      <c r="P335" s="39"/>
      <c r="Q335" s="41"/>
      <c r="R335" s="35" t="str">
        <f aca="true">IF(OR($B335="",$Q335=""),"",DATEDIF($Q335,TODAY(),"Y"))</f>
        <v/>
      </c>
      <c r="S335" s="40" t="str">
        <f aca="false">IF($R335="","",INDEX(usia_label,MATCH($R335,usia_min,1)))</f>
        <v/>
      </c>
      <c r="T335" s="36"/>
      <c r="U335" s="41"/>
      <c r="V335" s="36"/>
      <c r="W335" s="36"/>
      <c r="X335" s="40" t="str">
        <f aca="false">IF($M335="","",$M335&amp;"#"&amp;COUNTIF($M$4:$M335,$M335))</f>
        <v/>
      </c>
      <c r="Y335" s="40" t="str">
        <f aca="false">IF($B335="","",IF($C335="","NIK kosong",IF(LEN($C335)&lt;&gt;16,"NIK bukan 16 digit",IF(COUNTIF($C$4:$C$2003,$C335&amp;"*")&gt;1,"NIK ganda",IF(AND($D335&lt;&gt;"",LEN($D335)&lt;&gt;16),"No. KK bukan 16 digit",IF(AND($F335="",$I335=""),"Alamat kosong",IF($N335="","Jabatan kosong",IF($O335="","No. HP kosong",IF(AND($R335&lt;&gt;"",$R335&lt;17),"Usia di bawah 17","")))))))))</f>
        <v/>
      </c>
      <c r="Z335" s="40" t="str">
        <f aca="false">IF($B335="","",IF(AND(OR(CARI!$C$5="",ISNUMBER(SEARCH(CARI!$C$5,$B335&amp;" "&amp;$C335&amp;" "&amp;$D335&amp;" "&amp;$O335&amp;" "&amp;$I335&amp;" "&amp;$F335&amp;" "&amp;$J335&amp;" "&amp;$K335&amp;" "&amp;$L335&amp;" "&amp;$V335))),OR(CARI!$C$6="",$F335=CARI!$C$6),OR(CARI!$C$7="",$G335=CARI!$C$7),OR(CARI!$C$8="",$T335=CARI!$C$8)),MAX($Z$3:Z334)+1,""))</f>
        <v/>
      </c>
      <c r="AA335" s="40" t="str">
        <f aca="false">IF($Y335="","",MAX($AA$3:AA334)+1)</f>
        <v/>
      </c>
      <c r="AB335" s="40" t="str">
        <f aca="false">IF($F335="","",$F335&amp;"#"&amp;COUNTIF($F$4:$F335,$F335))</f>
        <v/>
      </c>
      <c r="AC335" s="40" t="str">
        <f aca="false">IF($B335="","",IF(AND(OR(CETAK!$J$10="",$F335=CETAK!$J$10),OR(CETAK!$J$11="",$G335=CETAK!$J$11),OR(CETAK!$J$12="",$P335=CETAK!$J$12),OR(CETAK!$J$13="",$N335=CETAK!$J$13),OR(CETAK!$J$14="",$T335=CETAK!$J$14)),MAX($AC$3:AC334)+1,""))</f>
        <v/>
      </c>
      <c r="AD335" s="40" t="str">
        <f aca="false">IF($B335="","",IF(AND(OR(ABSENSI!$H$10="",$F335=ABSENSI!$H$10),OR(ABSENSI!$H$11="",$G335=ABSENSI!$H$11),OR(ABSENSI!$H$12="",$P335=ABSENSI!$H$12)),MAX($AD$3:AD334)+1,""))</f>
        <v/>
      </c>
      <c r="AE335" s="40" t="str">
        <f aca="false">IF($B335="","",IF(AND(OR(KARTU!$K$6="",$F335=KARTU!$K$6),OR(KARTU!$K$7="",$G335=KARTU!$K$7),OR(KARTU!$K$8="",$P335=KARTU!$K$8)),MAX($AE$3:AE334)+1,""))</f>
        <v/>
      </c>
    </row>
    <row r="336" customFormat="false" ht="15" hidden="false" customHeight="false" outlineLevel="0" collapsed="false">
      <c r="A336" s="35" t="str">
        <f aca="false">IF($B336="","",COUNTA($B$4:$B336))</f>
        <v/>
      </c>
      <c r="B336" s="36"/>
      <c r="C336" s="37"/>
      <c r="D336" s="37"/>
      <c r="E336" s="38"/>
      <c r="F336" s="36"/>
      <c r="G336" s="39"/>
      <c r="H336" s="39"/>
      <c r="I336" s="36"/>
      <c r="J336" s="36"/>
      <c r="K336" s="36"/>
      <c r="L336" s="36"/>
      <c r="M336" s="40" t="str">
        <f aca="false">IF($F336="","",$F336&amp;IF($G336="",""," - RT "&amp;$G336&amp;IF($H336="","","/"&amp;$H336)))</f>
        <v/>
      </c>
      <c r="N336" s="36"/>
      <c r="O336" s="37"/>
      <c r="P336" s="39"/>
      <c r="Q336" s="41"/>
      <c r="R336" s="35" t="str">
        <f aca="true">IF(OR($B336="",$Q336=""),"",DATEDIF($Q336,TODAY(),"Y"))</f>
        <v/>
      </c>
      <c r="S336" s="40" t="str">
        <f aca="false">IF($R336="","",INDEX(usia_label,MATCH($R336,usia_min,1)))</f>
        <v/>
      </c>
      <c r="T336" s="36"/>
      <c r="U336" s="41"/>
      <c r="V336" s="36"/>
      <c r="W336" s="36"/>
      <c r="X336" s="40" t="str">
        <f aca="false">IF($M336="","",$M336&amp;"#"&amp;COUNTIF($M$4:$M336,$M336))</f>
        <v/>
      </c>
      <c r="Y336" s="40" t="str">
        <f aca="false">IF($B336="","",IF($C336="","NIK kosong",IF(LEN($C336)&lt;&gt;16,"NIK bukan 16 digit",IF(COUNTIF($C$4:$C$2003,$C336&amp;"*")&gt;1,"NIK ganda",IF(AND($D336&lt;&gt;"",LEN($D336)&lt;&gt;16),"No. KK bukan 16 digit",IF(AND($F336="",$I336=""),"Alamat kosong",IF($N336="","Jabatan kosong",IF($O336="","No. HP kosong",IF(AND($R336&lt;&gt;"",$R336&lt;17),"Usia di bawah 17","")))))))))</f>
        <v/>
      </c>
      <c r="Z336" s="40" t="str">
        <f aca="false">IF($B336="","",IF(AND(OR(CARI!$C$5="",ISNUMBER(SEARCH(CARI!$C$5,$B336&amp;" "&amp;$C336&amp;" "&amp;$D336&amp;" "&amp;$O336&amp;" "&amp;$I336&amp;" "&amp;$F336&amp;" "&amp;$J336&amp;" "&amp;$K336&amp;" "&amp;$L336&amp;" "&amp;$V336))),OR(CARI!$C$6="",$F336=CARI!$C$6),OR(CARI!$C$7="",$G336=CARI!$C$7),OR(CARI!$C$8="",$T336=CARI!$C$8)),MAX($Z$3:Z335)+1,""))</f>
        <v/>
      </c>
      <c r="AA336" s="40" t="str">
        <f aca="false">IF($Y336="","",MAX($AA$3:AA335)+1)</f>
        <v/>
      </c>
      <c r="AB336" s="40" t="str">
        <f aca="false">IF($F336="","",$F336&amp;"#"&amp;COUNTIF($F$4:$F336,$F336))</f>
        <v/>
      </c>
      <c r="AC336" s="40" t="str">
        <f aca="false">IF($B336="","",IF(AND(OR(CETAK!$J$10="",$F336=CETAK!$J$10),OR(CETAK!$J$11="",$G336=CETAK!$J$11),OR(CETAK!$J$12="",$P336=CETAK!$J$12),OR(CETAK!$J$13="",$N336=CETAK!$J$13),OR(CETAK!$J$14="",$T336=CETAK!$J$14)),MAX($AC$3:AC335)+1,""))</f>
        <v/>
      </c>
      <c r="AD336" s="40" t="str">
        <f aca="false">IF($B336="","",IF(AND(OR(ABSENSI!$H$10="",$F336=ABSENSI!$H$10),OR(ABSENSI!$H$11="",$G336=ABSENSI!$H$11),OR(ABSENSI!$H$12="",$P336=ABSENSI!$H$12)),MAX($AD$3:AD335)+1,""))</f>
        <v/>
      </c>
      <c r="AE336" s="40" t="str">
        <f aca="false">IF($B336="","",IF(AND(OR(KARTU!$K$6="",$F336=KARTU!$K$6),OR(KARTU!$K$7="",$G336=KARTU!$K$7),OR(KARTU!$K$8="",$P336=KARTU!$K$8)),MAX($AE$3:AE335)+1,""))</f>
        <v/>
      </c>
    </row>
    <row r="337" customFormat="false" ht="15" hidden="false" customHeight="false" outlineLevel="0" collapsed="false">
      <c r="A337" s="35" t="str">
        <f aca="false">IF($B337="","",COUNTA($B$4:$B337))</f>
        <v/>
      </c>
      <c r="B337" s="36"/>
      <c r="C337" s="37"/>
      <c r="D337" s="37"/>
      <c r="E337" s="38"/>
      <c r="F337" s="36"/>
      <c r="G337" s="39"/>
      <c r="H337" s="39"/>
      <c r="I337" s="36"/>
      <c r="J337" s="36"/>
      <c r="K337" s="36"/>
      <c r="L337" s="36"/>
      <c r="M337" s="40" t="str">
        <f aca="false">IF($F337="","",$F337&amp;IF($G337="",""," - RT "&amp;$G337&amp;IF($H337="","","/"&amp;$H337)))</f>
        <v/>
      </c>
      <c r="N337" s="36"/>
      <c r="O337" s="37"/>
      <c r="P337" s="39"/>
      <c r="Q337" s="41"/>
      <c r="R337" s="35" t="str">
        <f aca="true">IF(OR($B337="",$Q337=""),"",DATEDIF($Q337,TODAY(),"Y"))</f>
        <v/>
      </c>
      <c r="S337" s="40" t="str">
        <f aca="false">IF($R337="","",INDEX(usia_label,MATCH($R337,usia_min,1)))</f>
        <v/>
      </c>
      <c r="T337" s="36"/>
      <c r="U337" s="41"/>
      <c r="V337" s="36"/>
      <c r="W337" s="36"/>
      <c r="X337" s="40" t="str">
        <f aca="false">IF($M337="","",$M337&amp;"#"&amp;COUNTIF($M$4:$M337,$M337))</f>
        <v/>
      </c>
      <c r="Y337" s="40" t="str">
        <f aca="false">IF($B337="","",IF($C337="","NIK kosong",IF(LEN($C337)&lt;&gt;16,"NIK bukan 16 digit",IF(COUNTIF($C$4:$C$2003,$C337&amp;"*")&gt;1,"NIK ganda",IF(AND($D337&lt;&gt;"",LEN($D337)&lt;&gt;16),"No. KK bukan 16 digit",IF(AND($F337="",$I337=""),"Alamat kosong",IF($N337="","Jabatan kosong",IF($O337="","No. HP kosong",IF(AND($R337&lt;&gt;"",$R337&lt;17),"Usia di bawah 17","")))))))))</f>
        <v/>
      </c>
      <c r="Z337" s="40" t="str">
        <f aca="false">IF($B337="","",IF(AND(OR(CARI!$C$5="",ISNUMBER(SEARCH(CARI!$C$5,$B337&amp;" "&amp;$C337&amp;" "&amp;$D337&amp;" "&amp;$O337&amp;" "&amp;$I337&amp;" "&amp;$F337&amp;" "&amp;$J337&amp;" "&amp;$K337&amp;" "&amp;$L337&amp;" "&amp;$V337))),OR(CARI!$C$6="",$F337=CARI!$C$6),OR(CARI!$C$7="",$G337=CARI!$C$7),OR(CARI!$C$8="",$T337=CARI!$C$8)),MAX($Z$3:Z336)+1,""))</f>
        <v/>
      </c>
      <c r="AA337" s="40" t="str">
        <f aca="false">IF($Y337="","",MAX($AA$3:AA336)+1)</f>
        <v/>
      </c>
      <c r="AB337" s="40" t="str">
        <f aca="false">IF($F337="","",$F337&amp;"#"&amp;COUNTIF($F$4:$F337,$F337))</f>
        <v/>
      </c>
      <c r="AC337" s="40" t="str">
        <f aca="false">IF($B337="","",IF(AND(OR(CETAK!$J$10="",$F337=CETAK!$J$10),OR(CETAK!$J$11="",$G337=CETAK!$J$11),OR(CETAK!$J$12="",$P337=CETAK!$J$12),OR(CETAK!$J$13="",$N337=CETAK!$J$13),OR(CETAK!$J$14="",$T337=CETAK!$J$14)),MAX($AC$3:AC336)+1,""))</f>
        <v/>
      </c>
      <c r="AD337" s="40" t="str">
        <f aca="false">IF($B337="","",IF(AND(OR(ABSENSI!$H$10="",$F337=ABSENSI!$H$10),OR(ABSENSI!$H$11="",$G337=ABSENSI!$H$11),OR(ABSENSI!$H$12="",$P337=ABSENSI!$H$12)),MAX($AD$3:AD336)+1,""))</f>
        <v/>
      </c>
      <c r="AE337" s="40" t="str">
        <f aca="false">IF($B337="","",IF(AND(OR(KARTU!$K$6="",$F337=KARTU!$K$6),OR(KARTU!$K$7="",$G337=KARTU!$K$7),OR(KARTU!$K$8="",$P337=KARTU!$K$8)),MAX($AE$3:AE336)+1,""))</f>
        <v/>
      </c>
    </row>
    <row r="338" customFormat="false" ht="15" hidden="false" customHeight="false" outlineLevel="0" collapsed="false">
      <c r="A338" s="35" t="str">
        <f aca="false">IF($B338="","",COUNTA($B$4:$B338))</f>
        <v/>
      </c>
      <c r="B338" s="36"/>
      <c r="C338" s="37"/>
      <c r="D338" s="37"/>
      <c r="E338" s="38"/>
      <c r="F338" s="36"/>
      <c r="G338" s="39"/>
      <c r="H338" s="39"/>
      <c r="I338" s="36"/>
      <c r="J338" s="36"/>
      <c r="K338" s="36"/>
      <c r="L338" s="36"/>
      <c r="M338" s="40" t="str">
        <f aca="false">IF($F338="","",$F338&amp;IF($G338="",""," - RT "&amp;$G338&amp;IF($H338="","","/"&amp;$H338)))</f>
        <v/>
      </c>
      <c r="N338" s="36"/>
      <c r="O338" s="37"/>
      <c r="P338" s="39"/>
      <c r="Q338" s="41"/>
      <c r="R338" s="35" t="str">
        <f aca="true">IF(OR($B338="",$Q338=""),"",DATEDIF($Q338,TODAY(),"Y"))</f>
        <v/>
      </c>
      <c r="S338" s="40" t="str">
        <f aca="false">IF($R338="","",INDEX(usia_label,MATCH($R338,usia_min,1)))</f>
        <v/>
      </c>
      <c r="T338" s="36"/>
      <c r="U338" s="41"/>
      <c r="V338" s="36"/>
      <c r="W338" s="36"/>
      <c r="X338" s="40" t="str">
        <f aca="false">IF($M338="","",$M338&amp;"#"&amp;COUNTIF($M$4:$M338,$M338))</f>
        <v/>
      </c>
      <c r="Y338" s="40" t="str">
        <f aca="false">IF($B338="","",IF($C338="","NIK kosong",IF(LEN($C338)&lt;&gt;16,"NIK bukan 16 digit",IF(COUNTIF($C$4:$C$2003,$C338&amp;"*")&gt;1,"NIK ganda",IF(AND($D338&lt;&gt;"",LEN($D338)&lt;&gt;16),"No. KK bukan 16 digit",IF(AND($F338="",$I338=""),"Alamat kosong",IF($N338="","Jabatan kosong",IF($O338="","No. HP kosong",IF(AND($R338&lt;&gt;"",$R338&lt;17),"Usia di bawah 17","")))))))))</f>
        <v/>
      </c>
      <c r="Z338" s="40" t="str">
        <f aca="false">IF($B338="","",IF(AND(OR(CARI!$C$5="",ISNUMBER(SEARCH(CARI!$C$5,$B338&amp;" "&amp;$C338&amp;" "&amp;$D338&amp;" "&amp;$O338&amp;" "&amp;$I338&amp;" "&amp;$F338&amp;" "&amp;$J338&amp;" "&amp;$K338&amp;" "&amp;$L338&amp;" "&amp;$V338))),OR(CARI!$C$6="",$F338=CARI!$C$6),OR(CARI!$C$7="",$G338=CARI!$C$7),OR(CARI!$C$8="",$T338=CARI!$C$8)),MAX($Z$3:Z337)+1,""))</f>
        <v/>
      </c>
      <c r="AA338" s="40" t="str">
        <f aca="false">IF($Y338="","",MAX($AA$3:AA337)+1)</f>
        <v/>
      </c>
      <c r="AB338" s="40" t="str">
        <f aca="false">IF($F338="","",$F338&amp;"#"&amp;COUNTIF($F$4:$F338,$F338))</f>
        <v/>
      </c>
      <c r="AC338" s="40" t="str">
        <f aca="false">IF($B338="","",IF(AND(OR(CETAK!$J$10="",$F338=CETAK!$J$10),OR(CETAK!$J$11="",$G338=CETAK!$J$11),OR(CETAK!$J$12="",$P338=CETAK!$J$12),OR(CETAK!$J$13="",$N338=CETAK!$J$13),OR(CETAK!$J$14="",$T338=CETAK!$J$14)),MAX($AC$3:AC337)+1,""))</f>
        <v/>
      </c>
      <c r="AD338" s="40" t="str">
        <f aca="false">IF($B338="","",IF(AND(OR(ABSENSI!$H$10="",$F338=ABSENSI!$H$10),OR(ABSENSI!$H$11="",$G338=ABSENSI!$H$11),OR(ABSENSI!$H$12="",$P338=ABSENSI!$H$12)),MAX($AD$3:AD337)+1,""))</f>
        <v/>
      </c>
      <c r="AE338" s="40" t="str">
        <f aca="false">IF($B338="","",IF(AND(OR(KARTU!$K$6="",$F338=KARTU!$K$6),OR(KARTU!$K$7="",$G338=KARTU!$K$7),OR(KARTU!$K$8="",$P338=KARTU!$K$8)),MAX($AE$3:AE337)+1,""))</f>
        <v/>
      </c>
    </row>
    <row r="339" customFormat="false" ht="15" hidden="false" customHeight="false" outlineLevel="0" collapsed="false">
      <c r="A339" s="35" t="str">
        <f aca="false">IF($B339="","",COUNTA($B$4:$B339))</f>
        <v/>
      </c>
      <c r="B339" s="36"/>
      <c r="C339" s="37"/>
      <c r="D339" s="37"/>
      <c r="E339" s="38"/>
      <c r="F339" s="36"/>
      <c r="G339" s="39"/>
      <c r="H339" s="39"/>
      <c r="I339" s="36"/>
      <c r="J339" s="36"/>
      <c r="K339" s="36"/>
      <c r="L339" s="36"/>
      <c r="M339" s="40" t="str">
        <f aca="false">IF($F339="","",$F339&amp;IF($G339="",""," - RT "&amp;$G339&amp;IF($H339="","","/"&amp;$H339)))</f>
        <v/>
      </c>
      <c r="N339" s="36"/>
      <c r="O339" s="37"/>
      <c r="P339" s="39"/>
      <c r="Q339" s="41"/>
      <c r="R339" s="35" t="str">
        <f aca="true">IF(OR($B339="",$Q339=""),"",DATEDIF($Q339,TODAY(),"Y"))</f>
        <v/>
      </c>
      <c r="S339" s="40" t="str">
        <f aca="false">IF($R339="","",INDEX(usia_label,MATCH($R339,usia_min,1)))</f>
        <v/>
      </c>
      <c r="T339" s="36"/>
      <c r="U339" s="41"/>
      <c r="V339" s="36"/>
      <c r="W339" s="36"/>
      <c r="X339" s="40" t="str">
        <f aca="false">IF($M339="","",$M339&amp;"#"&amp;COUNTIF($M$4:$M339,$M339))</f>
        <v/>
      </c>
      <c r="Y339" s="40" t="str">
        <f aca="false">IF($B339="","",IF($C339="","NIK kosong",IF(LEN($C339)&lt;&gt;16,"NIK bukan 16 digit",IF(COUNTIF($C$4:$C$2003,$C339&amp;"*")&gt;1,"NIK ganda",IF(AND($D339&lt;&gt;"",LEN($D339)&lt;&gt;16),"No. KK bukan 16 digit",IF(AND($F339="",$I339=""),"Alamat kosong",IF($N339="","Jabatan kosong",IF($O339="","No. HP kosong",IF(AND($R339&lt;&gt;"",$R339&lt;17),"Usia di bawah 17","")))))))))</f>
        <v/>
      </c>
      <c r="Z339" s="40" t="str">
        <f aca="false">IF($B339="","",IF(AND(OR(CARI!$C$5="",ISNUMBER(SEARCH(CARI!$C$5,$B339&amp;" "&amp;$C339&amp;" "&amp;$D339&amp;" "&amp;$O339&amp;" "&amp;$I339&amp;" "&amp;$F339&amp;" "&amp;$J339&amp;" "&amp;$K339&amp;" "&amp;$L339&amp;" "&amp;$V339))),OR(CARI!$C$6="",$F339=CARI!$C$6),OR(CARI!$C$7="",$G339=CARI!$C$7),OR(CARI!$C$8="",$T339=CARI!$C$8)),MAX($Z$3:Z338)+1,""))</f>
        <v/>
      </c>
      <c r="AA339" s="40" t="str">
        <f aca="false">IF($Y339="","",MAX($AA$3:AA338)+1)</f>
        <v/>
      </c>
      <c r="AB339" s="40" t="str">
        <f aca="false">IF($F339="","",$F339&amp;"#"&amp;COUNTIF($F$4:$F339,$F339))</f>
        <v/>
      </c>
      <c r="AC339" s="40" t="str">
        <f aca="false">IF($B339="","",IF(AND(OR(CETAK!$J$10="",$F339=CETAK!$J$10),OR(CETAK!$J$11="",$G339=CETAK!$J$11),OR(CETAK!$J$12="",$P339=CETAK!$J$12),OR(CETAK!$J$13="",$N339=CETAK!$J$13),OR(CETAK!$J$14="",$T339=CETAK!$J$14)),MAX($AC$3:AC338)+1,""))</f>
        <v/>
      </c>
      <c r="AD339" s="40" t="str">
        <f aca="false">IF($B339="","",IF(AND(OR(ABSENSI!$H$10="",$F339=ABSENSI!$H$10),OR(ABSENSI!$H$11="",$G339=ABSENSI!$H$11),OR(ABSENSI!$H$12="",$P339=ABSENSI!$H$12)),MAX($AD$3:AD338)+1,""))</f>
        <v/>
      </c>
      <c r="AE339" s="40" t="str">
        <f aca="false">IF($B339="","",IF(AND(OR(KARTU!$K$6="",$F339=KARTU!$K$6),OR(KARTU!$K$7="",$G339=KARTU!$K$7),OR(KARTU!$K$8="",$P339=KARTU!$K$8)),MAX($AE$3:AE338)+1,""))</f>
        <v/>
      </c>
    </row>
    <row r="340" customFormat="false" ht="15" hidden="false" customHeight="false" outlineLevel="0" collapsed="false">
      <c r="A340" s="35" t="str">
        <f aca="false">IF($B340="","",COUNTA($B$4:$B340))</f>
        <v/>
      </c>
      <c r="B340" s="36"/>
      <c r="C340" s="37"/>
      <c r="D340" s="37"/>
      <c r="E340" s="38"/>
      <c r="F340" s="36"/>
      <c r="G340" s="39"/>
      <c r="H340" s="39"/>
      <c r="I340" s="36"/>
      <c r="J340" s="36"/>
      <c r="K340" s="36"/>
      <c r="L340" s="36"/>
      <c r="M340" s="40" t="str">
        <f aca="false">IF($F340="","",$F340&amp;IF($G340="",""," - RT "&amp;$G340&amp;IF($H340="","","/"&amp;$H340)))</f>
        <v/>
      </c>
      <c r="N340" s="36"/>
      <c r="O340" s="37"/>
      <c r="P340" s="39"/>
      <c r="Q340" s="41"/>
      <c r="R340" s="35" t="str">
        <f aca="true">IF(OR($B340="",$Q340=""),"",DATEDIF($Q340,TODAY(),"Y"))</f>
        <v/>
      </c>
      <c r="S340" s="40" t="str">
        <f aca="false">IF($R340="","",INDEX(usia_label,MATCH($R340,usia_min,1)))</f>
        <v/>
      </c>
      <c r="T340" s="36"/>
      <c r="U340" s="41"/>
      <c r="V340" s="36"/>
      <c r="W340" s="36"/>
      <c r="X340" s="40" t="str">
        <f aca="false">IF($M340="","",$M340&amp;"#"&amp;COUNTIF($M$4:$M340,$M340))</f>
        <v/>
      </c>
      <c r="Y340" s="40" t="str">
        <f aca="false">IF($B340="","",IF($C340="","NIK kosong",IF(LEN($C340)&lt;&gt;16,"NIK bukan 16 digit",IF(COUNTIF($C$4:$C$2003,$C340&amp;"*")&gt;1,"NIK ganda",IF(AND($D340&lt;&gt;"",LEN($D340)&lt;&gt;16),"No. KK bukan 16 digit",IF(AND($F340="",$I340=""),"Alamat kosong",IF($N340="","Jabatan kosong",IF($O340="","No. HP kosong",IF(AND($R340&lt;&gt;"",$R340&lt;17),"Usia di bawah 17","")))))))))</f>
        <v/>
      </c>
      <c r="Z340" s="40" t="str">
        <f aca="false">IF($B340="","",IF(AND(OR(CARI!$C$5="",ISNUMBER(SEARCH(CARI!$C$5,$B340&amp;" "&amp;$C340&amp;" "&amp;$D340&amp;" "&amp;$O340&amp;" "&amp;$I340&amp;" "&amp;$F340&amp;" "&amp;$J340&amp;" "&amp;$K340&amp;" "&amp;$L340&amp;" "&amp;$V340))),OR(CARI!$C$6="",$F340=CARI!$C$6),OR(CARI!$C$7="",$G340=CARI!$C$7),OR(CARI!$C$8="",$T340=CARI!$C$8)),MAX($Z$3:Z339)+1,""))</f>
        <v/>
      </c>
      <c r="AA340" s="40" t="str">
        <f aca="false">IF($Y340="","",MAX($AA$3:AA339)+1)</f>
        <v/>
      </c>
      <c r="AB340" s="40" t="str">
        <f aca="false">IF($F340="","",$F340&amp;"#"&amp;COUNTIF($F$4:$F340,$F340))</f>
        <v/>
      </c>
      <c r="AC340" s="40" t="str">
        <f aca="false">IF($B340="","",IF(AND(OR(CETAK!$J$10="",$F340=CETAK!$J$10),OR(CETAK!$J$11="",$G340=CETAK!$J$11),OR(CETAK!$J$12="",$P340=CETAK!$J$12),OR(CETAK!$J$13="",$N340=CETAK!$J$13),OR(CETAK!$J$14="",$T340=CETAK!$J$14)),MAX($AC$3:AC339)+1,""))</f>
        <v/>
      </c>
      <c r="AD340" s="40" t="str">
        <f aca="false">IF($B340="","",IF(AND(OR(ABSENSI!$H$10="",$F340=ABSENSI!$H$10),OR(ABSENSI!$H$11="",$G340=ABSENSI!$H$11),OR(ABSENSI!$H$12="",$P340=ABSENSI!$H$12)),MAX($AD$3:AD339)+1,""))</f>
        <v/>
      </c>
      <c r="AE340" s="40" t="str">
        <f aca="false">IF($B340="","",IF(AND(OR(KARTU!$K$6="",$F340=KARTU!$K$6),OR(KARTU!$K$7="",$G340=KARTU!$K$7),OR(KARTU!$K$8="",$P340=KARTU!$K$8)),MAX($AE$3:AE339)+1,""))</f>
        <v/>
      </c>
    </row>
    <row r="341" customFormat="false" ht="15" hidden="false" customHeight="false" outlineLevel="0" collapsed="false">
      <c r="A341" s="35" t="str">
        <f aca="false">IF($B341="","",COUNTA($B$4:$B341))</f>
        <v/>
      </c>
      <c r="B341" s="36"/>
      <c r="C341" s="37"/>
      <c r="D341" s="37"/>
      <c r="E341" s="38"/>
      <c r="F341" s="36"/>
      <c r="G341" s="39"/>
      <c r="H341" s="39"/>
      <c r="I341" s="36"/>
      <c r="J341" s="36"/>
      <c r="K341" s="36"/>
      <c r="L341" s="36"/>
      <c r="M341" s="40" t="str">
        <f aca="false">IF($F341="","",$F341&amp;IF($G341="",""," - RT "&amp;$G341&amp;IF($H341="","","/"&amp;$H341)))</f>
        <v/>
      </c>
      <c r="N341" s="36"/>
      <c r="O341" s="37"/>
      <c r="P341" s="39"/>
      <c r="Q341" s="41"/>
      <c r="R341" s="35" t="str">
        <f aca="true">IF(OR($B341="",$Q341=""),"",DATEDIF($Q341,TODAY(),"Y"))</f>
        <v/>
      </c>
      <c r="S341" s="40" t="str">
        <f aca="false">IF($R341="","",INDEX(usia_label,MATCH($R341,usia_min,1)))</f>
        <v/>
      </c>
      <c r="T341" s="36"/>
      <c r="U341" s="41"/>
      <c r="V341" s="36"/>
      <c r="W341" s="36"/>
      <c r="X341" s="40" t="str">
        <f aca="false">IF($M341="","",$M341&amp;"#"&amp;COUNTIF($M$4:$M341,$M341))</f>
        <v/>
      </c>
      <c r="Y341" s="40" t="str">
        <f aca="false">IF($B341="","",IF($C341="","NIK kosong",IF(LEN($C341)&lt;&gt;16,"NIK bukan 16 digit",IF(COUNTIF($C$4:$C$2003,$C341&amp;"*")&gt;1,"NIK ganda",IF(AND($D341&lt;&gt;"",LEN($D341)&lt;&gt;16),"No. KK bukan 16 digit",IF(AND($F341="",$I341=""),"Alamat kosong",IF($N341="","Jabatan kosong",IF($O341="","No. HP kosong",IF(AND($R341&lt;&gt;"",$R341&lt;17),"Usia di bawah 17","")))))))))</f>
        <v/>
      </c>
      <c r="Z341" s="40" t="str">
        <f aca="false">IF($B341="","",IF(AND(OR(CARI!$C$5="",ISNUMBER(SEARCH(CARI!$C$5,$B341&amp;" "&amp;$C341&amp;" "&amp;$D341&amp;" "&amp;$O341&amp;" "&amp;$I341&amp;" "&amp;$F341&amp;" "&amp;$J341&amp;" "&amp;$K341&amp;" "&amp;$L341&amp;" "&amp;$V341))),OR(CARI!$C$6="",$F341=CARI!$C$6),OR(CARI!$C$7="",$G341=CARI!$C$7),OR(CARI!$C$8="",$T341=CARI!$C$8)),MAX($Z$3:Z340)+1,""))</f>
        <v/>
      </c>
      <c r="AA341" s="40" t="str">
        <f aca="false">IF($Y341="","",MAX($AA$3:AA340)+1)</f>
        <v/>
      </c>
      <c r="AB341" s="40" t="str">
        <f aca="false">IF($F341="","",$F341&amp;"#"&amp;COUNTIF($F$4:$F341,$F341))</f>
        <v/>
      </c>
      <c r="AC341" s="40" t="str">
        <f aca="false">IF($B341="","",IF(AND(OR(CETAK!$J$10="",$F341=CETAK!$J$10),OR(CETAK!$J$11="",$G341=CETAK!$J$11),OR(CETAK!$J$12="",$P341=CETAK!$J$12),OR(CETAK!$J$13="",$N341=CETAK!$J$13),OR(CETAK!$J$14="",$T341=CETAK!$J$14)),MAX($AC$3:AC340)+1,""))</f>
        <v/>
      </c>
      <c r="AD341" s="40" t="str">
        <f aca="false">IF($B341="","",IF(AND(OR(ABSENSI!$H$10="",$F341=ABSENSI!$H$10),OR(ABSENSI!$H$11="",$G341=ABSENSI!$H$11),OR(ABSENSI!$H$12="",$P341=ABSENSI!$H$12)),MAX($AD$3:AD340)+1,""))</f>
        <v/>
      </c>
      <c r="AE341" s="40" t="str">
        <f aca="false">IF($B341="","",IF(AND(OR(KARTU!$K$6="",$F341=KARTU!$K$6),OR(KARTU!$K$7="",$G341=KARTU!$K$7),OR(KARTU!$K$8="",$P341=KARTU!$K$8)),MAX($AE$3:AE340)+1,""))</f>
        <v/>
      </c>
    </row>
    <row r="342" customFormat="false" ht="15" hidden="false" customHeight="false" outlineLevel="0" collapsed="false">
      <c r="A342" s="35" t="str">
        <f aca="false">IF($B342="","",COUNTA($B$4:$B342))</f>
        <v/>
      </c>
      <c r="B342" s="36"/>
      <c r="C342" s="37"/>
      <c r="D342" s="37"/>
      <c r="E342" s="38"/>
      <c r="F342" s="36"/>
      <c r="G342" s="39"/>
      <c r="H342" s="39"/>
      <c r="I342" s="36"/>
      <c r="J342" s="36"/>
      <c r="K342" s="36"/>
      <c r="L342" s="36"/>
      <c r="M342" s="40" t="str">
        <f aca="false">IF($F342="","",$F342&amp;IF($G342="",""," - RT "&amp;$G342&amp;IF($H342="","","/"&amp;$H342)))</f>
        <v/>
      </c>
      <c r="N342" s="36"/>
      <c r="O342" s="37"/>
      <c r="P342" s="39"/>
      <c r="Q342" s="41"/>
      <c r="R342" s="35" t="str">
        <f aca="true">IF(OR($B342="",$Q342=""),"",DATEDIF($Q342,TODAY(),"Y"))</f>
        <v/>
      </c>
      <c r="S342" s="40" t="str">
        <f aca="false">IF($R342="","",INDEX(usia_label,MATCH($R342,usia_min,1)))</f>
        <v/>
      </c>
      <c r="T342" s="36"/>
      <c r="U342" s="41"/>
      <c r="V342" s="36"/>
      <c r="W342" s="36"/>
      <c r="X342" s="40" t="str">
        <f aca="false">IF($M342="","",$M342&amp;"#"&amp;COUNTIF($M$4:$M342,$M342))</f>
        <v/>
      </c>
      <c r="Y342" s="40" t="str">
        <f aca="false">IF($B342="","",IF($C342="","NIK kosong",IF(LEN($C342)&lt;&gt;16,"NIK bukan 16 digit",IF(COUNTIF($C$4:$C$2003,$C342&amp;"*")&gt;1,"NIK ganda",IF(AND($D342&lt;&gt;"",LEN($D342)&lt;&gt;16),"No. KK bukan 16 digit",IF(AND($F342="",$I342=""),"Alamat kosong",IF($N342="","Jabatan kosong",IF($O342="","No. HP kosong",IF(AND($R342&lt;&gt;"",$R342&lt;17),"Usia di bawah 17","")))))))))</f>
        <v/>
      </c>
      <c r="Z342" s="40" t="str">
        <f aca="false">IF($B342="","",IF(AND(OR(CARI!$C$5="",ISNUMBER(SEARCH(CARI!$C$5,$B342&amp;" "&amp;$C342&amp;" "&amp;$D342&amp;" "&amp;$O342&amp;" "&amp;$I342&amp;" "&amp;$F342&amp;" "&amp;$J342&amp;" "&amp;$K342&amp;" "&amp;$L342&amp;" "&amp;$V342))),OR(CARI!$C$6="",$F342=CARI!$C$6),OR(CARI!$C$7="",$G342=CARI!$C$7),OR(CARI!$C$8="",$T342=CARI!$C$8)),MAX($Z$3:Z341)+1,""))</f>
        <v/>
      </c>
      <c r="AA342" s="40" t="str">
        <f aca="false">IF($Y342="","",MAX($AA$3:AA341)+1)</f>
        <v/>
      </c>
      <c r="AB342" s="40" t="str">
        <f aca="false">IF($F342="","",$F342&amp;"#"&amp;COUNTIF($F$4:$F342,$F342))</f>
        <v/>
      </c>
      <c r="AC342" s="40" t="str">
        <f aca="false">IF($B342="","",IF(AND(OR(CETAK!$J$10="",$F342=CETAK!$J$10),OR(CETAK!$J$11="",$G342=CETAK!$J$11),OR(CETAK!$J$12="",$P342=CETAK!$J$12),OR(CETAK!$J$13="",$N342=CETAK!$J$13),OR(CETAK!$J$14="",$T342=CETAK!$J$14)),MAX($AC$3:AC341)+1,""))</f>
        <v/>
      </c>
      <c r="AD342" s="40" t="str">
        <f aca="false">IF($B342="","",IF(AND(OR(ABSENSI!$H$10="",$F342=ABSENSI!$H$10),OR(ABSENSI!$H$11="",$G342=ABSENSI!$H$11),OR(ABSENSI!$H$12="",$P342=ABSENSI!$H$12)),MAX($AD$3:AD341)+1,""))</f>
        <v/>
      </c>
      <c r="AE342" s="40" t="str">
        <f aca="false">IF($B342="","",IF(AND(OR(KARTU!$K$6="",$F342=KARTU!$K$6),OR(KARTU!$K$7="",$G342=KARTU!$K$7),OR(KARTU!$K$8="",$P342=KARTU!$K$8)),MAX($AE$3:AE341)+1,""))</f>
        <v/>
      </c>
    </row>
    <row r="343" customFormat="false" ht="15" hidden="false" customHeight="false" outlineLevel="0" collapsed="false">
      <c r="A343" s="35" t="str">
        <f aca="false">IF($B343="","",COUNTA($B$4:$B343))</f>
        <v/>
      </c>
      <c r="B343" s="36"/>
      <c r="C343" s="37"/>
      <c r="D343" s="37"/>
      <c r="E343" s="38"/>
      <c r="F343" s="36"/>
      <c r="G343" s="39"/>
      <c r="H343" s="39"/>
      <c r="I343" s="36"/>
      <c r="J343" s="36"/>
      <c r="K343" s="36"/>
      <c r="L343" s="36"/>
      <c r="M343" s="40" t="str">
        <f aca="false">IF($F343="","",$F343&amp;IF($G343="",""," - RT "&amp;$G343&amp;IF($H343="","","/"&amp;$H343)))</f>
        <v/>
      </c>
      <c r="N343" s="36"/>
      <c r="O343" s="37"/>
      <c r="P343" s="39"/>
      <c r="Q343" s="41"/>
      <c r="R343" s="35" t="str">
        <f aca="true">IF(OR($B343="",$Q343=""),"",DATEDIF($Q343,TODAY(),"Y"))</f>
        <v/>
      </c>
      <c r="S343" s="40" t="str">
        <f aca="false">IF($R343="","",INDEX(usia_label,MATCH($R343,usia_min,1)))</f>
        <v/>
      </c>
      <c r="T343" s="36"/>
      <c r="U343" s="41"/>
      <c r="V343" s="36"/>
      <c r="W343" s="36"/>
      <c r="X343" s="40" t="str">
        <f aca="false">IF($M343="","",$M343&amp;"#"&amp;COUNTIF($M$4:$M343,$M343))</f>
        <v/>
      </c>
      <c r="Y343" s="40" t="str">
        <f aca="false">IF($B343="","",IF($C343="","NIK kosong",IF(LEN($C343)&lt;&gt;16,"NIK bukan 16 digit",IF(COUNTIF($C$4:$C$2003,$C343&amp;"*")&gt;1,"NIK ganda",IF(AND($D343&lt;&gt;"",LEN($D343)&lt;&gt;16),"No. KK bukan 16 digit",IF(AND($F343="",$I343=""),"Alamat kosong",IF($N343="","Jabatan kosong",IF($O343="","No. HP kosong",IF(AND($R343&lt;&gt;"",$R343&lt;17),"Usia di bawah 17","")))))))))</f>
        <v/>
      </c>
      <c r="Z343" s="40" t="str">
        <f aca="false">IF($B343="","",IF(AND(OR(CARI!$C$5="",ISNUMBER(SEARCH(CARI!$C$5,$B343&amp;" "&amp;$C343&amp;" "&amp;$D343&amp;" "&amp;$O343&amp;" "&amp;$I343&amp;" "&amp;$F343&amp;" "&amp;$J343&amp;" "&amp;$K343&amp;" "&amp;$L343&amp;" "&amp;$V343))),OR(CARI!$C$6="",$F343=CARI!$C$6),OR(CARI!$C$7="",$G343=CARI!$C$7),OR(CARI!$C$8="",$T343=CARI!$C$8)),MAX($Z$3:Z342)+1,""))</f>
        <v/>
      </c>
      <c r="AA343" s="40" t="str">
        <f aca="false">IF($Y343="","",MAX($AA$3:AA342)+1)</f>
        <v/>
      </c>
      <c r="AB343" s="40" t="str">
        <f aca="false">IF($F343="","",$F343&amp;"#"&amp;COUNTIF($F$4:$F343,$F343))</f>
        <v/>
      </c>
      <c r="AC343" s="40" t="str">
        <f aca="false">IF($B343="","",IF(AND(OR(CETAK!$J$10="",$F343=CETAK!$J$10),OR(CETAK!$J$11="",$G343=CETAK!$J$11),OR(CETAK!$J$12="",$P343=CETAK!$J$12),OR(CETAK!$J$13="",$N343=CETAK!$J$13),OR(CETAK!$J$14="",$T343=CETAK!$J$14)),MAX($AC$3:AC342)+1,""))</f>
        <v/>
      </c>
      <c r="AD343" s="40" t="str">
        <f aca="false">IF($B343="","",IF(AND(OR(ABSENSI!$H$10="",$F343=ABSENSI!$H$10),OR(ABSENSI!$H$11="",$G343=ABSENSI!$H$11),OR(ABSENSI!$H$12="",$P343=ABSENSI!$H$12)),MAX($AD$3:AD342)+1,""))</f>
        <v/>
      </c>
      <c r="AE343" s="40" t="str">
        <f aca="false">IF($B343="","",IF(AND(OR(KARTU!$K$6="",$F343=KARTU!$K$6),OR(KARTU!$K$7="",$G343=KARTU!$K$7),OR(KARTU!$K$8="",$P343=KARTU!$K$8)),MAX($AE$3:AE342)+1,""))</f>
        <v/>
      </c>
    </row>
    <row r="344" customFormat="false" ht="15" hidden="false" customHeight="false" outlineLevel="0" collapsed="false">
      <c r="A344" s="35" t="str">
        <f aca="false">IF($B344="","",COUNTA($B$4:$B344))</f>
        <v/>
      </c>
      <c r="B344" s="36"/>
      <c r="C344" s="37"/>
      <c r="D344" s="37"/>
      <c r="E344" s="38"/>
      <c r="F344" s="36"/>
      <c r="G344" s="39"/>
      <c r="H344" s="39"/>
      <c r="I344" s="36"/>
      <c r="J344" s="36"/>
      <c r="K344" s="36"/>
      <c r="L344" s="36"/>
      <c r="M344" s="40" t="str">
        <f aca="false">IF($F344="","",$F344&amp;IF($G344="",""," - RT "&amp;$G344&amp;IF($H344="","","/"&amp;$H344)))</f>
        <v/>
      </c>
      <c r="N344" s="36"/>
      <c r="O344" s="37"/>
      <c r="P344" s="39"/>
      <c r="Q344" s="41"/>
      <c r="R344" s="35" t="str">
        <f aca="true">IF(OR($B344="",$Q344=""),"",DATEDIF($Q344,TODAY(),"Y"))</f>
        <v/>
      </c>
      <c r="S344" s="40" t="str">
        <f aca="false">IF($R344="","",INDEX(usia_label,MATCH($R344,usia_min,1)))</f>
        <v/>
      </c>
      <c r="T344" s="36"/>
      <c r="U344" s="41"/>
      <c r="V344" s="36"/>
      <c r="W344" s="36"/>
      <c r="X344" s="40" t="str">
        <f aca="false">IF($M344="","",$M344&amp;"#"&amp;COUNTIF($M$4:$M344,$M344))</f>
        <v/>
      </c>
      <c r="Y344" s="40" t="str">
        <f aca="false">IF($B344="","",IF($C344="","NIK kosong",IF(LEN($C344)&lt;&gt;16,"NIK bukan 16 digit",IF(COUNTIF($C$4:$C$2003,$C344&amp;"*")&gt;1,"NIK ganda",IF(AND($D344&lt;&gt;"",LEN($D344)&lt;&gt;16),"No. KK bukan 16 digit",IF(AND($F344="",$I344=""),"Alamat kosong",IF($N344="","Jabatan kosong",IF($O344="","No. HP kosong",IF(AND($R344&lt;&gt;"",$R344&lt;17),"Usia di bawah 17","")))))))))</f>
        <v/>
      </c>
      <c r="Z344" s="40" t="str">
        <f aca="false">IF($B344="","",IF(AND(OR(CARI!$C$5="",ISNUMBER(SEARCH(CARI!$C$5,$B344&amp;" "&amp;$C344&amp;" "&amp;$D344&amp;" "&amp;$O344&amp;" "&amp;$I344&amp;" "&amp;$F344&amp;" "&amp;$J344&amp;" "&amp;$K344&amp;" "&amp;$L344&amp;" "&amp;$V344))),OR(CARI!$C$6="",$F344=CARI!$C$6),OR(CARI!$C$7="",$G344=CARI!$C$7),OR(CARI!$C$8="",$T344=CARI!$C$8)),MAX($Z$3:Z343)+1,""))</f>
        <v/>
      </c>
      <c r="AA344" s="40" t="str">
        <f aca="false">IF($Y344="","",MAX($AA$3:AA343)+1)</f>
        <v/>
      </c>
      <c r="AB344" s="40" t="str">
        <f aca="false">IF($F344="","",$F344&amp;"#"&amp;COUNTIF($F$4:$F344,$F344))</f>
        <v/>
      </c>
      <c r="AC344" s="40" t="str">
        <f aca="false">IF($B344="","",IF(AND(OR(CETAK!$J$10="",$F344=CETAK!$J$10),OR(CETAK!$J$11="",$G344=CETAK!$J$11),OR(CETAK!$J$12="",$P344=CETAK!$J$12),OR(CETAK!$J$13="",$N344=CETAK!$J$13),OR(CETAK!$J$14="",$T344=CETAK!$J$14)),MAX($AC$3:AC343)+1,""))</f>
        <v/>
      </c>
      <c r="AD344" s="40" t="str">
        <f aca="false">IF($B344="","",IF(AND(OR(ABSENSI!$H$10="",$F344=ABSENSI!$H$10),OR(ABSENSI!$H$11="",$G344=ABSENSI!$H$11),OR(ABSENSI!$H$12="",$P344=ABSENSI!$H$12)),MAX($AD$3:AD343)+1,""))</f>
        <v/>
      </c>
      <c r="AE344" s="40" t="str">
        <f aca="false">IF($B344="","",IF(AND(OR(KARTU!$K$6="",$F344=KARTU!$K$6),OR(KARTU!$K$7="",$G344=KARTU!$K$7),OR(KARTU!$K$8="",$P344=KARTU!$K$8)),MAX($AE$3:AE343)+1,""))</f>
        <v/>
      </c>
    </row>
    <row r="345" customFormat="false" ht="15" hidden="false" customHeight="false" outlineLevel="0" collapsed="false">
      <c r="A345" s="35" t="str">
        <f aca="false">IF($B345="","",COUNTA($B$4:$B345))</f>
        <v/>
      </c>
      <c r="B345" s="36"/>
      <c r="C345" s="37"/>
      <c r="D345" s="37"/>
      <c r="E345" s="38"/>
      <c r="F345" s="36"/>
      <c r="G345" s="39"/>
      <c r="H345" s="39"/>
      <c r="I345" s="36"/>
      <c r="J345" s="36"/>
      <c r="K345" s="36"/>
      <c r="L345" s="36"/>
      <c r="M345" s="40" t="str">
        <f aca="false">IF($F345="","",$F345&amp;IF($G345="",""," - RT "&amp;$G345&amp;IF($H345="","","/"&amp;$H345)))</f>
        <v/>
      </c>
      <c r="N345" s="36"/>
      <c r="O345" s="37"/>
      <c r="P345" s="39"/>
      <c r="Q345" s="41"/>
      <c r="R345" s="35" t="str">
        <f aca="true">IF(OR($B345="",$Q345=""),"",DATEDIF($Q345,TODAY(),"Y"))</f>
        <v/>
      </c>
      <c r="S345" s="40" t="str">
        <f aca="false">IF($R345="","",INDEX(usia_label,MATCH($R345,usia_min,1)))</f>
        <v/>
      </c>
      <c r="T345" s="36"/>
      <c r="U345" s="41"/>
      <c r="V345" s="36"/>
      <c r="W345" s="36"/>
      <c r="X345" s="40" t="str">
        <f aca="false">IF($M345="","",$M345&amp;"#"&amp;COUNTIF($M$4:$M345,$M345))</f>
        <v/>
      </c>
      <c r="Y345" s="40" t="str">
        <f aca="false">IF($B345="","",IF($C345="","NIK kosong",IF(LEN($C345)&lt;&gt;16,"NIK bukan 16 digit",IF(COUNTIF($C$4:$C$2003,$C345&amp;"*")&gt;1,"NIK ganda",IF(AND($D345&lt;&gt;"",LEN($D345)&lt;&gt;16),"No. KK bukan 16 digit",IF(AND($F345="",$I345=""),"Alamat kosong",IF($N345="","Jabatan kosong",IF($O345="","No. HP kosong",IF(AND($R345&lt;&gt;"",$R345&lt;17),"Usia di bawah 17","")))))))))</f>
        <v/>
      </c>
      <c r="Z345" s="40" t="str">
        <f aca="false">IF($B345="","",IF(AND(OR(CARI!$C$5="",ISNUMBER(SEARCH(CARI!$C$5,$B345&amp;" "&amp;$C345&amp;" "&amp;$D345&amp;" "&amp;$O345&amp;" "&amp;$I345&amp;" "&amp;$F345&amp;" "&amp;$J345&amp;" "&amp;$K345&amp;" "&amp;$L345&amp;" "&amp;$V345))),OR(CARI!$C$6="",$F345=CARI!$C$6),OR(CARI!$C$7="",$G345=CARI!$C$7),OR(CARI!$C$8="",$T345=CARI!$C$8)),MAX($Z$3:Z344)+1,""))</f>
        <v/>
      </c>
      <c r="AA345" s="40" t="str">
        <f aca="false">IF($Y345="","",MAX($AA$3:AA344)+1)</f>
        <v/>
      </c>
      <c r="AB345" s="40" t="str">
        <f aca="false">IF($F345="","",$F345&amp;"#"&amp;COUNTIF($F$4:$F345,$F345))</f>
        <v/>
      </c>
      <c r="AC345" s="40" t="str">
        <f aca="false">IF($B345="","",IF(AND(OR(CETAK!$J$10="",$F345=CETAK!$J$10),OR(CETAK!$J$11="",$G345=CETAK!$J$11),OR(CETAK!$J$12="",$P345=CETAK!$J$12),OR(CETAK!$J$13="",$N345=CETAK!$J$13),OR(CETAK!$J$14="",$T345=CETAK!$J$14)),MAX($AC$3:AC344)+1,""))</f>
        <v/>
      </c>
      <c r="AD345" s="40" t="str">
        <f aca="false">IF($B345="","",IF(AND(OR(ABSENSI!$H$10="",$F345=ABSENSI!$H$10),OR(ABSENSI!$H$11="",$G345=ABSENSI!$H$11),OR(ABSENSI!$H$12="",$P345=ABSENSI!$H$12)),MAX($AD$3:AD344)+1,""))</f>
        <v/>
      </c>
      <c r="AE345" s="40" t="str">
        <f aca="false">IF($B345="","",IF(AND(OR(KARTU!$K$6="",$F345=KARTU!$K$6),OR(KARTU!$K$7="",$G345=KARTU!$K$7),OR(KARTU!$K$8="",$P345=KARTU!$K$8)),MAX($AE$3:AE344)+1,""))</f>
        <v/>
      </c>
    </row>
    <row r="346" customFormat="false" ht="15" hidden="false" customHeight="false" outlineLevel="0" collapsed="false">
      <c r="A346" s="35" t="str">
        <f aca="false">IF($B346="","",COUNTA($B$4:$B346))</f>
        <v/>
      </c>
      <c r="B346" s="36"/>
      <c r="C346" s="37"/>
      <c r="D346" s="37"/>
      <c r="E346" s="38"/>
      <c r="F346" s="36"/>
      <c r="G346" s="39"/>
      <c r="H346" s="39"/>
      <c r="I346" s="36"/>
      <c r="J346" s="36"/>
      <c r="K346" s="36"/>
      <c r="L346" s="36"/>
      <c r="M346" s="40" t="str">
        <f aca="false">IF($F346="","",$F346&amp;IF($G346="",""," - RT "&amp;$G346&amp;IF($H346="","","/"&amp;$H346)))</f>
        <v/>
      </c>
      <c r="N346" s="36"/>
      <c r="O346" s="37"/>
      <c r="P346" s="39"/>
      <c r="Q346" s="41"/>
      <c r="R346" s="35" t="str">
        <f aca="true">IF(OR($B346="",$Q346=""),"",DATEDIF($Q346,TODAY(),"Y"))</f>
        <v/>
      </c>
      <c r="S346" s="40" t="str">
        <f aca="false">IF($R346="","",INDEX(usia_label,MATCH($R346,usia_min,1)))</f>
        <v/>
      </c>
      <c r="T346" s="36"/>
      <c r="U346" s="41"/>
      <c r="V346" s="36"/>
      <c r="W346" s="36"/>
      <c r="X346" s="40" t="str">
        <f aca="false">IF($M346="","",$M346&amp;"#"&amp;COUNTIF($M$4:$M346,$M346))</f>
        <v/>
      </c>
      <c r="Y346" s="40" t="str">
        <f aca="false">IF($B346="","",IF($C346="","NIK kosong",IF(LEN($C346)&lt;&gt;16,"NIK bukan 16 digit",IF(COUNTIF($C$4:$C$2003,$C346&amp;"*")&gt;1,"NIK ganda",IF(AND($D346&lt;&gt;"",LEN($D346)&lt;&gt;16),"No. KK bukan 16 digit",IF(AND($F346="",$I346=""),"Alamat kosong",IF($N346="","Jabatan kosong",IF($O346="","No. HP kosong",IF(AND($R346&lt;&gt;"",$R346&lt;17),"Usia di bawah 17","")))))))))</f>
        <v/>
      </c>
      <c r="Z346" s="40" t="str">
        <f aca="false">IF($B346="","",IF(AND(OR(CARI!$C$5="",ISNUMBER(SEARCH(CARI!$C$5,$B346&amp;" "&amp;$C346&amp;" "&amp;$D346&amp;" "&amp;$O346&amp;" "&amp;$I346&amp;" "&amp;$F346&amp;" "&amp;$J346&amp;" "&amp;$K346&amp;" "&amp;$L346&amp;" "&amp;$V346))),OR(CARI!$C$6="",$F346=CARI!$C$6),OR(CARI!$C$7="",$G346=CARI!$C$7),OR(CARI!$C$8="",$T346=CARI!$C$8)),MAX($Z$3:Z345)+1,""))</f>
        <v/>
      </c>
      <c r="AA346" s="40" t="str">
        <f aca="false">IF($Y346="","",MAX($AA$3:AA345)+1)</f>
        <v/>
      </c>
      <c r="AB346" s="40" t="str">
        <f aca="false">IF($F346="","",$F346&amp;"#"&amp;COUNTIF($F$4:$F346,$F346))</f>
        <v/>
      </c>
      <c r="AC346" s="40" t="str">
        <f aca="false">IF($B346="","",IF(AND(OR(CETAK!$J$10="",$F346=CETAK!$J$10),OR(CETAK!$J$11="",$G346=CETAK!$J$11),OR(CETAK!$J$12="",$P346=CETAK!$J$12),OR(CETAK!$J$13="",$N346=CETAK!$J$13),OR(CETAK!$J$14="",$T346=CETAK!$J$14)),MAX($AC$3:AC345)+1,""))</f>
        <v/>
      </c>
      <c r="AD346" s="40" t="str">
        <f aca="false">IF($B346="","",IF(AND(OR(ABSENSI!$H$10="",$F346=ABSENSI!$H$10),OR(ABSENSI!$H$11="",$G346=ABSENSI!$H$11),OR(ABSENSI!$H$12="",$P346=ABSENSI!$H$12)),MAX($AD$3:AD345)+1,""))</f>
        <v/>
      </c>
      <c r="AE346" s="40" t="str">
        <f aca="false">IF($B346="","",IF(AND(OR(KARTU!$K$6="",$F346=KARTU!$K$6),OR(KARTU!$K$7="",$G346=KARTU!$K$7),OR(KARTU!$K$8="",$P346=KARTU!$K$8)),MAX($AE$3:AE345)+1,""))</f>
        <v/>
      </c>
    </row>
    <row r="347" customFormat="false" ht="15" hidden="false" customHeight="false" outlineLevel="0" collapsed="false">
      <c r="A347" s="35" t="str">
        <f aca="false">IF($B347="","",COUNTA($B$4:$B347))</f>
        <v/>
      </c>
      <c r="B347" s="36"/>
      <c r="C347" s="37"/>
      <c r="D347" s="37"/>
      <c r="E347" s="38"/>
      <c r="F347" s="36"/>
      <c r="G347" s="39"/>
      <c r="H347" s="39"/>
      <c r="I347" s="36"/>
      <c r="J347" s="36"/>
      <c r="K347" s="36"/>
      <c r="L347" s="36"/>
      <c r="M347" s="40" t="str">
        <f aca="false">IF($F347="","",$F347&amp;IF($G347="",""," - RT "&amp;$G347&amp;IF($H347="","","/"&amp;$H347)))</f>
        <v/>
      </c>
      <c r="N347" s="36"/>
      <c r="O347" s="37"/>
      <c r="P347" s="39"/>
      <c r="Q347" s="41"/>
      <c r="R347" s="35" t="str">
        <f aca="true">IF(OR($B347="",$Q347=""),"",DATEDIF($Q347,TODAY(),"Y"))</f>
        <v/>
      </c>
      <c r="S347" s="40" t="str">
        <f aca="false">IF($R347="","",INDEX(usia_label,MATCH($R347,usia_min,1)))</f>
        <v/>
      </c>
      <c r="T347" s="36"/>
      <c r="U347" s="41"/>
      <c r="V347" s="36"/>
      <c r="W347" s="36"/>
      <c r="X347" s="40" t="str">
        <f aca="false">IF($M347="","",$M347&amp;"#"&amp;COUNTIF($M$4:$M347,$M347))</f>
        <v/>
      </c>
      <c r="Y347" s="40" t="str">
        <f aca="false">IF($B347="","",IF($C347="","NIK kosong",IF(LEN($C347)&lt;&gt;16,"NIK bukan 16 digit",IF(COUNTIF($C$4:$C$2003,$C347&amp;"*")&gt;1,"NIK ganda",IF(AND($D347&lt;&gt;"",LEN($D347)&lt;&gt;16),"No. KK bukan 16 digit",IF(AND($F347="",$I347=""),"Alamat kosong",IF($N347="","Jabatan kosong",IF($O347="","No. HP kosong",IF(AND($R347&lt;&gt;"",$R347&lt;17),"Usia di bawah 17","")))))))))</f>
        <v/>
      </c>
      <c r="Z347" s="40" t="str">
        <f aca="false">IF($B347="","",IF(AND(OR(CARI!$C$5="",ISNUMBER(SEARCH(CARI!$C$5,$B347&amp;" "&amp;$C347&amp;" "&amp;$D347&amp;" "&amp;$O347&amp;" "&amp;$I347&amp;" "&amp;$F347&amp;" "&amp;$J347&amp;" "&amp;$K347&amp;" "&amp;$L347&amp;" "&amp;$V347))),OR(CARI!$C$6="",$F347=CARI!$C$6),OR(CARI!$C$7="",$G347=CARI!$C$7),OR(CARI!$C$8="",$T347=CARI!$C$8)),MAX($Z$3:Z346)+1,""))</f>
        <v/>
      </c>
      <c r="AA347" s="40" t="str">
        <f aca="false">IF($Y347="","",MAX($AA$3:AA346)+1)</f>
        <v/>
      </c>
      <c r="AB347" s="40" t="str">
        <f aca="false">IF($F347="","",$F347&amp;"#"&amp;COUNTIF($F$4:$F347,$F347))</f>
        <v/>
      </c>
      <c r="AC347" s="40" t="str">
        <f aca="false">IF($B347="","",IF(AND(OR(CETAK!$J$10="",$F347=CETAK!$J$10),OR(CETAK!$J$11="",$G347=CETAK!$J$11),OR(CETAK!$J$12="",$P347=CETAK!$J$12),OR(CETAK!$J$13="",$N347=CETAK!$J$13),OR(CETAK!$J$14="",$T347=CETAK!$J$14)),MAX($AC$3:AC346)+1,""))</f>
        <v/>
      </c>
      <c r="AD347" s="40" t="str">
        <f aca="false">IF($B347="","",IF(AND(OR(ABSENSI!$H$10="",$F347=ABSENSI!$H$10),OR(ABSENSI!$H$11="",$G347=ABSENSI!$H$11),OR(ABSENSI!$H$12="",$P347=ABSENSI!$H$12)),MAX($AD$3:AD346)+1,""))</f>
        <v/>
      </c>
      <c r="AE347" s="40" t="str">
        <f aca="false">IF($B347="","",IF(AND(OR(KARTU!$K$6="",$F347=KARTU!$K$6),OR(KARTU!$K$7="",$G347=KARTU!$K$7),OR(KARTU!$K$8="",$P347=KARTU!$K$8)),MAX($AE$3:AE346)+1,""))</f>
        <v/>
      </c>
    </row>
    <row r="348" customFormat="false" ht="15" hidden="false" customHeight="false" outlineLevel="0" collapsed="false">
      <c r="A348" s="35" t="str">
        <f aca="false">IF($B348="","",COUNTA($B$4:$B348))</f>
        <v/>
      </c>
      <c r="B348" s="36"/>
      <c r="C348" s="37"/>
      <c r="D348" s="37"/>
      <c r="E348" s="38"/>
      <c r="F348" s="36"/>
      <c r="G348" s="39"/>
      <c r="H348" s="39"/>
      <c r="I348" s="36"/>
      <c r="J348" s="36"/>
      <c r="K348" s="36"/>
      <c r="L348" s="36"/>
      <c r="M348" s="40" t="str">
        <f aca="false">IF($F348="","",$F348&amp;IF($G348="",""," - RT "&amp;$G348&amp;IF($H348="","","/"&amp;$H348)))</f>
        <v/>
      </c>
      <c r="N348" s="36"/>
      <c r="O348" s="37"/>
      <c r="P348" s="39"/>
      <c r="Q348" s="41"/>
      <c r="R348" s="35" t="str">
        <f aca="true">IF(OR($B348="",$Q348=""),"",DATEDIF($Q348,TODAY(),"Y"))</f>
        <v/>
      </c>
      <c r="S348" s="40" t="str">
        <f aca="false">IF($R348="","",INDEX(usia_label,MATCH($R348,usia_min,1)))</f>
        <v/>
      </c>
      <c r="T348" s="36"/>
      <c r="U348" s="41"/>
      <c r="V348" s="36"/>
      <c r="W348" s="36"/>
      <c r="X348" s="40" t="str">
        <f aca="false">IF($M348="","",$M348&amp;"#"&amp;COUNTIF($M$4:$M348,$M348))</f>
        <v/>
      </c>
      <c r="Y348" s="40" t="str">
        <f aca="false">IF($B348="","",IF($C348="","NIK kosong",IF(LEN($C348)&lt;&gt;16,"NIK bukan 16 digit",IF(COUNTIF($C$4:$C$2003,$C348&amp;"*")&gt;1,"NIK ganda",IF(AND($D348&lt;&gt;"",LEN($D348)&lt;&gt;16),"No. KK bukan 16 digit",IF(AND($F348="",$I348=""),"Alamat kosong",IF($N348="","Jabatan kosong",IF($O348="","No. HP kosong",IF(AND($R348&lt;&gt;"",$R348&lt;17),"Usia di bawah 17","")))))))))</f>
        <v/>
      </c>
      <c r="Z348" s="40" t="str">
        <f aca="false">IF($B348="","",IF(AND(OR(CARI!$C$5="",ISNUMBER(SEARCH(CARI!$C$5,$B348&amp;" "&amp;$C348&amp;" "&amp;$D348&amp;" "&amp;$O348&amp;" "&amp;$I348&amp;" "&amp;$F348&amp;" "&amp;$J348&amp;" "&amp;$K348&amp;" "&amp;$L348&amp;" "&amp;$V348))),OR(CARI!$C$6="",$F348=CARI!$C$6),OR(CARI!$C$7="",$G348=CARI!$C$7),OR(CARI!$C$8="",$T348=CARI!$C$8)),MAX($Z$3:Z347)+1,""))</f>
        <v/>
      </c>
      <c r="AA348" s="40" t="str">
        <f aca="false">IF($Y348="","",MAX($AA$3:AA347)+1)</f>
        <v/>
      </c>
      <c r="AB348" s="40" t="str">
        <f aca="false">IF($F348="","",$F348&amp;"#"&amp;COUNTIF($F$4:$F348,$F348))</f>
        <v/>
      </c>
      <c r="AC348" s="40" t="str">
        <f aca="false">IF($B348="","",IF(AND(OR(CETAK!$J$10="",$F348=CETAK!$J$10),OR(CETAK!$J$11="",$G348=CETAK!$J$11),OR(CETAK!$J$12="",$P348=CETAK!$J$12),OR(CETAK!$J$13="",$N348=CETAK!$J$13),OR(CETAK!$J$14="",$T348=CETAK!$J$14)),MAX($AC$3:AC347)+1,""))</f>
        <v/>
      </c>
      <c r="AD348" s="40" t="str">
        <f aca="false">IF($B348="","",IF(AND(OR(ABSENSI!$H$10="",$F348=ABSENSI!$H$10),OR(ABSENSI!$H$11="",$G348=ABSENSI!$H$11),OR(ABSENSI!$H$12="",$P348=ABSENSI!$H$12)),MAX($AD$3:AD347)+1,""))</f>
        <v/>
      </c>
      <c r="AE348" s="40" t="str">
        <f aca="false">IF($B348="","",IF(AND(OR(KARTU!$K$6="",$F348=KARTU!$K$6),OR(KARTU!$K$7="",$G348=KARTU!$K$7),OR(KARTU!$K$8="",$P348=KARTU!$K$8)),MAX($AE$3:AE347)+1,""))</f>
        <v/>
      </c>
    </row>
    <row r="349" customFormat="false" ht="15" hidden="false" customHeight="false" outlineLevel="0" collapsed="false">
      <c r="A349" s="35" t="str">
        <f aca="false">IF($B349="","",COUNTA($B$4:$B349))</f>
        <v/>
      </c>
      <c r="B349" s="36"/>
      <c r="C349" s="37"/>
      <c r="D349" s="37"/>
      <c r="E349" s="38"/>
      <c r="F349" s="36"/>
      <c r="G349" s="39"/>
      <c r="H349" s="39"/>
      <c r="I349" s="36"/>
      <c r="J349" s="36"/>
      <c r="K349" s="36"/>
      <c r="L349" s="36"/>
      <c r="M349" s="40" t="str">
        <f aca="false">IF($F349="","",$F349&amp;IF($G349="",""," - RT "&amp;$G349&amp;IF($H349="","","/"&amp;$H349)))</f>
        <v/>
      </c>
      <c r="N349" s="36"/>
      <c r="O349" s="37"/>
      <c r="P349" s="39"/>
      <c r="Q349" s="41"/>
      <c r="R349" s="35" t="str">
        <f aca="true">IF(OR($B349="",$Q349=""),"",DATEDIF($Q349,TODAY(),"Y"))</f>
        <v/>
      </c>
      <c r="S349" s="40" t="str">
        <f aca="false">IF($R349="","",INDEX(usia_label,MATCH($R349,usia_min,1)))</f>
        <v/>
      </c>
      <c r="T349" s="36"/>
      <c r="U349" s="41"/>
      <c r="V349" s="36"/>
      <c r="W349" s="36"/>
      <c r="X349" s="40" t="str">
        <f aca="false">IF($M349="","",$M349&amp;"#"&amp;COUNTIF($M$4:$M349,$M349))</f>
        <v/>
      </c>
      <c r="Y349" s="40" t="str">
        <f aca="false">IF($B349="","",IF($C349="","NIK kosong",IF(LEN($C349)&lt;&gt;16,"NIK bukan 16 digit",IF(COUNTIF($C$4:$C$2003,$C349&amp;"*")&gt;1,"NIK ganda",IF(AND($D349&lt;&gt;"",LEN($D349)&lt;&gt;16),"No. KK bukan 16 digit",IF(AND($F349="",$I349=""),"Alamat kosong",IF($N349="","Jabatan kosong",IF($O349="","No. HP kosong",IF(AND($R349&lt;&gt;"",$R349&lt;17),"Usia di bawah 17","")))))))))</f>
        <v/>
      </c>
      <c r="Z349" s="40" t="str">
        <f aca="false">IF($B349="","",IF(AND(OR(CARI!$C$5="",ISNUMBER(SEARCH(CARI!$C$5,$B349&amp;" "&amp;$C349&amp;" "&amp;$D349&amp;" "&amp;$O349&amp;" "&amp;$I349&amp;" "&amp;$F349&amp;" "&amp;$J349&amp;" "&amp;$K349&amp;" "&amp;$L349&amp;" "&amp;$V349))),OR(CARI!$C$6="",$F349=CARI!$C$6),OR(CARI!$C$7="",$G349=CARI!$C$7),OR(CARI!$C$8="",$T349=CARI!$C$8)),MAX($Z$3:Z348)+1,""))</f>
        <v/>
      </c>
      <c r="AA349" s="40" t="str">
        <f aca="false">IF($Y349="","",MAX($AA$3:AA348)+1)</f>
        <v/>
      </c>
      <c r="AB349" s="40" t="str">
        <f aca="false">IF($F349="","",$F349&amp;"#"&amp;COUNTIF($F$4:$F349,$F349))</f>
        <v/>
      </c>
      <c r="AC349" s="40" t="str">
        <f aca="false">IF($B349="","",IF(AND(OR(CETAK!$J$10="",$F349=CETAK!$J$10),OR(CETAK!$J$11="",$G349=CETAK!$J$11),OR(CETAK!$J$12="",$P349=CETAK!$J$12),OR(CETAK!$J$13="",$N349=CETAK!$J$13),OR(CETAK!$J$14="",$T349=CETAK!$J$14)),MAX($AC$3:AC348)+1,""))</f>
        <v/>
      </c>
      <c r="AD349" s="40" t="str">
        <f aca="false">IF($B349="","",IF(AND(OR(ABSENSI!$H$10="",$F349=ABSENSI!$H$10),OR(ABSENSI!$H$11="",$G349=ABSENSI!$H$11),OR(ABSENSI!$H$12="",$P349=ABSENSI!$H$12)),MAX($AD$3:AD348)+1,""))</f>
        <v/>
      </c>
      <c r="AE349" s="40" t="str">
        <f aca="false">IF($B349="","",IF(AND(OR(KARTU!$K$6="",$F349=KARTU!$K$6),OR(KARTU!$K$7="",$G349=KARTU!$K$7),OR(KARTU!$K$8="",$P349=KARTU!$K$8)),MAX($AE$3:AE348)+1,""))</f>
        <v/>
      </c>
    </row>
    <row r="350" customFormat="false" ht="15" hidden="false" customHeight="false" outlineLevel="0" collapsed="false">
      <c r="A350" s="35" t="str">
        <f aca="false">IF($B350="","",COUNTA($B$4:$B350))</f>
        <v/>
      </c>
      <c r="B350" s="36"/>
      <c r="C350" s="37"/>
      <c r="D350" s="37"/>
      <c r="E350" s="38"/>
      <c r="F350" s="36"/>
      <c r="G350" s="39"/>
      <c r="H350" s="39"/>
      <c r="I350" s="36"/>
      <c r="J350" s="36"/>
      <c r="K350" s="36"/>
      <c r="L350" s="36"/>
      <c r="M350" s="40" t="str">
        <f aca="false">IF($F350="","",$F350&amp;IF($G350="",""," - RT "&amp;$G350&amp;IF($H350="","","/"&amp;$H350)))</f>
        <v/>
      </c>
      <c r="N350" s="36"/>
      <c r="O350" s="37"/>
      <c r="P350" s="39"/>
      <c r="Q350" s="41"/>
      <c r="R350" s="35" t="str">
        <f aca="true">IF(OR($B350="",$Q350=""),"",DATEDIF($Q350,TODAY(),"Y"))</f>
        <v/>
      </c>
      <c r="S350" s="40" t="str">
        <f aca="false">IF($R350="","",INDEX(usia_label,MATCH($R350,usia_min,1)))</f>
        <v/>
      </c>
      <c r="T350" s="36"/>
      <c r="U350" s="41"/>
      <c r="V350" s="36"/>
      <c r="W350" s="36"/>
      <c r="X350" s="40" t="str">
        <f aca="false">IF($M350="","",$M350&amp;"#"&amp;COUNTIF($M$4:$M350,$M350))</f>
        <v/>
      </c>
      <c r="Y350" s="40" t="str">
        <f aca="false">IF($B350="","",IF($C350="","NIK kosong",IF(LEN($C350)&lt;&gt;16,"NIK bukan 16 digit",IF(COUNTIF($C$4:$C$2003,$C350&amp;"*")&gt;1,"NIK ganda",IF(AND($D350&lt;&gt;"",LEN($D350)&lt;&gt;16),"No. KK bukan 16 digit",IF(AND($F350="",$I350=""),"Alamat kosong",IF($N350="","Jabatan kosong",IF($O350="","No. HP kosong",IF(AND($R350&lt;&gt;"",$R350&lt;17),"Usia di bawah 17","")))))))))</f>
        <v/>
      </c>
      <c r="Z350" s="40" t="str">
        <f aca="false">IF($B350="","",IF(AND(OR(CARI!$C$5="",ISNUMBER(SEARCH(CARI!$C$5,$B350&amp;" "&amp;$C350&amp;" "&amp;$D350&amp;" "&amp;$O350&amp;" "&amp;$I350&amp;" "&amp;$F350&amp;" "&amp;$J350&amp;" "&amp;$K350&amp;" "&amp;$L350&amp;" "&amp;$V350))),OR(CARI!$C$6="",$F350=CARI!$C$6),OR(CARI!$C$7="",$G350=CARI!$C$7),OR(CARI!$C$8="",$T350=CARI!$C$8)),MAX($Z$3:Z349)+1,""))</f>
        <v/>
      </c>
      <c r="AA350" s="40" t="str">
        <f aca="false">IF($Y350="","",MAX($AA$3:AA349)+1)</f>
        <v/>
      </c>
      <c r="AB350" s="40" t="str">
        <f aca="false">IF($F350="","",$F350&amp;"#"&amp;COUNTIF($F$4:$F350,$F350))</f>
        <v/>
      </c>
      <c r="AC350" s="40" t="str">
        <f aca="false">IF($B350="","",IF(AND(OR(CETAK!$J$10="",$F350=CETAK!$J$10),OR(CETAK!$J$11="",$G350=CETAK!$J$11),OR(CETAK!$J$12="",$P350=CETAK!$J$12),OR(CETAK!$J$13="",$N350=CETAK!$J$13),OR(CETAK!$J$14="",$T350=CETAK!$J$14)),MAX($AC$3:AC349)+1,""))</f>
        <v/>
      </c>
      <c r="AD350" s="40" t="str">
        <f aca="false">IF($B350="","",IF(AND(OR(ABSENSI!$H$10="",$F350=ABSENSI!$H$10),OR(ABSENSI!$H$11="",$G350=ABSENSI!$H$11),OR(ABSENSI!$H$12="",$P350=ABSENSI!$H$12)),MAX($AD$3:AD349)+1,""))</f>
        <v/>
      </c>
      <c r="AE350" s="40" t="str">
        <f aca="false">IF($B350="","",IF(AND(OR(KARTU!$K$6="",$F350=KARTU!$K$6),OR(KARTU!$K$7="",$G350=KARTU!$K$7),OR(KARTU!$K$8="",$P350=KARTU!$K$8)),MAX($AE$3:AE349)+1,""))</f>
        <v/>
      </c>
    </row>
    <row r="351" customFormat="false" ht="15" hidden="false" customHeight="false" outlineLevel="0" collapsed="false">
      <c r="A351" s="35" t="str">
        <f aca="false">IF($B351="","",COUNTA($B$4:$B351))</f>
        <v/>
      </c>
      <c r="B351" s="36"/>
      <c r="C351" s="37"/>
      <c r="D351" s="37"/>
      <c r="E351" s="38"/>
      <c r="F351" s="36"/>
      <c r="G351" s="39"/>
      <c r="H351" s="39"/>
      <c r="I351" s="36"/>
      <c r="J351" s="36"/>
      <c r="K351" s="36"/>
      <c r="L351" s="36"/>
      <c r="M351" s="40" t="str">
        <f aca="false">IF($F351="","",$F351&amp;IF($G351="",""," - RT "&amp;$G351&amp;IF($H351="","","/"&amp;$H351)))</f>
        <v/>
      </c>
      <c r="N351" s="36"/>
      <c r="O351" s="37"/>
      <c r="P351" s="39"/>
      <c r="Q351" s="41"/>
      <c r="R351" s="35" t="str">
        <f aca="true">IF(OR($B351="",$Q351=""),"",DATEDIF($Q351,TODAY(),"Y"))</f>
        <v/>
      </c>
      <c r="S351" s="40" t="str">
        <f aca="false">IF($R351="","",INDEX(usia_label,MATCH($R351,usia_min,1)))</f>
        <v/>
      </c>
      <c r="T351" s="36"/>
      <c r="U351" s="41"/>
      <c r="V351" s="36"/>
      <c r="W351" s="36"/>
      <c r="X351" s="40" t="str">
        <f aca="false">IF($M351="","",$M351&amp;"#"&amp;COUNTIF($M$4:$M351,$M351))</f>
        <v/>
      </c>
      <c r="Y351" s="40" t="str">
        <f aca="false">IF($B351="","",IF($C351="","NIK kosong",IF(LEN($C351)&lt;&gt;16,"NIK bukan 16 digit",IF(COUNTIF($C$4:$C$2003,$C351&amp;"*")&gt;1,"NIK ganda",IF(AND($D351&lt;&gt;"",LEN($D351)&lt;&gt;16),"No. KK bukan 16 digit",IF(AND($F351="",$I351=""),"Alamat kosong",IF($N351="","Jabatan kosong",IF($O351="","No. HP kosong",IF(AND($R351&lt;&gt;"",$R351&lt;17),"Usia di bawah 17","")))))))))</f>
        <v/>
      </c>
      <c r="Z351" s="40" t="str">
        <f aca="false">IF($B351="","",IF(AND(OR(CARI!$C$5="",ISNUMBER(SEARCH(CARI!$C$5,$B351&amp;" "&amp;$C351&amp;" "&amp;$D351&amp;" "&amp;$O351&amp;" "&amp;$I351&amp;" "&amp;$F351&amp;" "&amp;$J351&amp;" "&amp;$K351&amp;" "&amp;$L351&amp;" "&amp;$V351))),OR(CARI!$C$6="",$F351=CARI!$C$6),OR(CARI!$C$7="",$G351=CARI!$C$7),OR(CARI!$C$8="",$T351=CARI!$C$8)),MAX($Z$3:Z350)+1,""))</f>
        <v/>
      </c>
      <c r="AA351" s="40" t="str">
        <f aca="false">IF($Y351="","",MAX($AA$3:AA350)+1)</f>
        <v/>
      </c>
      <c r="AB351" s="40" t="str">
        <f aca="false">IF($F351="","",$F351&amp;"#"&amp;COUNTIF($F$4:$F351,$F351))</f>
        <v/>
      </c>
      <c r="AC351" s="40" t="str">
        <f aca="false">IF($B351="","",IF(AND(OR(CETAK!$J$10="",$F351=CETAK!$J$10),OR(CETAK!$J$11="",$G351=CETAK!$J$11),OR(CETAK!$J$12="",$P351=CETAK!$J$12),OR(CETAK!$J$13="",$N351=CETAK!$J$13),OR(CETAK!$J$14="",$T351=CETAK!$J$14)),MAX($AC$3:AC350)+1,""))</f>
        <v/>
      </c>
      <c r="AD351" s="40" t="str">
        <f aca="false">IF($B351="","",IF(AND(OR(ABSENSI!$H$10="",$F351=ABSENSI!$H$10),OR(ABSENSI!$H$11="",$G351=ABSENSI!$H$11),OR(ABSENSI!$H$12="",$P351=ABSENSI!$H$12)),MAX($AD$3:AD350)+1,""))</f>
        <v/>
      </c>
      <c r="AE351" s="40" t="str">
        <f aca="false">IF($B351="","",IF(AND(OR(KARTU!$K$6="",$F351=KARTU!$K$6),OR(KARTU!$K$7="",$G351=KARTU!$K$7),OR(KARTU!$K$8="",$P351=KARTU!$K$8)),MAX($AE$3:AE350)+1,""))</f>
        <v/>
      </c>
    </row>
    <row r="352" customFormat="false" ht="15" hidden="false" customHeight="false" outlineLevel="0" collapsed="false">
      <c r="A352" s="35" t="str">
        <f aca="false">IF($B352="","",COUNTA($B$4:$B352))</f>
        <v/>
      </c>
      <c r="B352" s="36"/>
      <c r="C352" s="37"/>
      <c r="D352" s="37"/>
      <c r="E352" s="38"/>
      <c r="F352" s="36"/>
      <c r="G352" s="39"/>
      <c r="H352" s="39"/>
      <c r="I352" s="36"/>
      <c r="J352" s="36"/>
      <c r="K352" s="36"/>
      <c r="L352" s="36"/>
      <c r="M352" s="40" t="str">
        <f aca="false">IF($F352="","",$F352&amp;IF($G352="",""," - RT "&amp;$G352&amp;IF($H352="","","/"&amp;$H352)))</f>
        <v/>
      </c>
      <c r="N352" s="36"/>
      <c r="O352" s="37"/>
      <c r="P352" s="39"/>
      <c r="Q352" s="41"/>
      <c r="R352" s="35" t="str">
        <f aca="true">IF(OR($B352="",$Q352=""),"",DATEDIF($Q352,TODAY(),"Y"))</f>
        <v/>
      </c>
      <c r="S352" s="40" t="str">
        <f aca="false">IF($R352="","",INDEX(usia_label,MATCH($R352,usia_min,1)))</f>
        <v/>
      </c>
      <c r="T352" s="36"/>
      <c r="U352" s="41"/>
      <c r="V352" s="36"/>
      <c r="W352" s="36"/>
      <c r="X352" s="40" t="str">
        <f aca="false">IF($M352="","",$M352&amp;"#"&amp;COUNTIF($M$4:$M352,$M352))</f>
        <v/>
      </c>
      <c r="Y352" s="40" t="str">
        <f aca="false">IF($B352="","",IF($C352="","NIK kosong",IF(LEN($C352)&lt;&gt;16,"NIK bukan 16 digit",IF(COUNTIF($C$4:$C$2003,$C352&amp;"*")&gt;1,"NIK ganda",IF(AND($D352&lt;&gt;"",LEN($D352)&lt;&gt;16),"No. KK bukan 16 digit",IF(AND($F352="",$I352=""),"Alamat kosong",IF($N352="","Jabatan kosong",IF($O352="","No. HP kosong",IF(AND($R352&lt;&gt;"",$R352&lt;17),"Usia di bawah 17","")))))))))</f>
        <v/>
      </c>
      <c r="Z352" s="40" t="str">
        <f aca="false">IF($B352="","",IF(AND(OR(CARI!$C$5="",ISNUMBER(SEARCH(CARI!$C$5,$B352&amp;" "&amp;$C352&amp;" "&amp;$D352&amp;" "&amp;$O352&amp;" "&amp;$I352&amp;" "&amp;$F352&amp;" "&amp;$J352&amp;" "&amp;$K352&amp;" "&amp;$L352&amp;" "&amp;$V352))),OR(CARI!$C$6="",$F352=CARI!$C$6),OR(CARI!$C$7="",$G352=CARI!$C$7),OR(CARI!$C$8="",$T352=CARI!$C$8)),MAX($Z$3:Z351)+1,""))</f>
        <v/>
      </c>
      <c r="AA352" s="40" t="str">
        <f aca="false">IF($Y352="","",MAX($AA$3:AA351)+1)</f>
        <v/>
      </c>
      <c r="AB352" s="40" t="str">
        <f aca="false">IF($F352="","",$F352&amp;"#"&amp;COUNTIF($F$4:$F352,$F352))</f>
        <v/>
      </c>
      <c r="AC352" s="40" t="str">
        <f aca="false">IF($B352="","",IF(AND(OR(CETAK!$J$10="",$F352=CETAK!$J$10),OR(CETAK!$J$11="",$G352=CETAK!$J$11),OR(CETAK!$J$12="",$P352=CETAK!$J$12),OR(CETAK!$J$13="",$N352=CETAK!$J$13),OR(CETAK!$J$14="",$T352=CETAK!$J$14)),MAX($AC$3:AC351)+1,""))</f>
        <v/>
      </c>
      <c r="AD352" s="40" t="str">
        <f aca="false">IF($B352="","",IF(AND(OR(ABSENSI!$H$10="",$F352=ABSENSI!$H$10),OR(ABSENSI!$H$11="",$G352=ABSENSI!$H$11),OR(ABSENSI!$H$12="",$P352=ABSENSI!$H$12)),MAX($AD$3:AD351)+1,""))</f>
        <v/>
      </c>
      <c r="AE352" s="40" t="str">
        <f aca="false">IF($B352="","",IF(AND(OR(KARTU!$K$6="",$F352=KARTU!$K$6),OR(KARTU!$K$7="",$G352=KARTU!$K$7),OR(KARTU!$K$8="",$P352=KARTU!$K$8)),MAX($AE$3:AE351)+1,""))</f>
        <v/>
      </c>
    </row>
    <row r="353" customFormat="false" ht="15" hidden="false" customHeight="false" outlineLevel="0" collapsed="false">
      <c r="A353" s="35" t="str">
        <f aca="false">IF($B353="","",COUNTA($B$4:$B353))</f>
        <v/>
      </c>
      <c r="B353" s="36"/>
      <c r="C353" s="37"/>
      <c r="D353" s="37"/>
      <c r="E353" s="38"/>
      <c r="F353" s="36"/>
      <c r="G353" s="39"/>
      <c r="H353" s="39"/>
      <c r="I353" s="36"/>
      <c r="J353" s="36"/>
      <c r="K353" s="36"/>
      <c r="L353" s="36"/>
      <c r="M353" s="40" t="str">
        <f aca="false">IF($F353="","",$F353&amp;IF($G353="",""," - RT "&amp;$G353&amp;IF($H353="","","/"&amp;$H353)))</f>
        <v/>
      </c>
      <c r="N353" s="36"/>
      <c r="O353" s="37"/>
      <c r="P353" s="39"/>
      <c r="Q353" s="41"/>
      <c r="R353" s="35" t="str">
        <f aca="true">IF(OR($B353="",$Q353=""),"",DATEDIF($Q353,TODAY(),"Y"))</f>
        <v/>
      </c>
      <c r="S353" s="40" t="str">
        <f aca="false">IF($R353="","",INDEX(usia_label,MATCH($R353,usia_min,1)))</f>
        <v/>
      </c>
      <c r="T353" s="36"/>
      <c r="U353" s="41"/>
      <c r="V353" s="36"/>
      <c r="W353" s="36"/>
      <c r="X353" s="40" t="str">
        <f aca="false">IF($M353="","",$M353&amp;"#"&amp;COUNTIF($M$4:$M353,$M353))</f>
        <v/>
      </c>
      <c r="Y353" s="40" t="str">
        <f aca="false">IF($B353="","",IF($C353="","NIK kosong",IF(LEN($C353)&lt;&gt;16,"NIK bukan 16 digit",IF(COUNTIF($C$4:$C$2003,$C353&amp;"*")&gt;1,"NIK ganda",IF(AND($D353&lt;&gt;"",LEN($D353)&lt;&gt;16),"No. KK bukan 16 digit",IF(AND($F353="",$I353=""),"Alamat kosong",IF($N353="","Jabatan kosong",IF($O353="","No. HP kosong",IF(AND($R353&lt;&gt;"",$R353&lt;17),"Usia di bawah 17","")))))))))</f>
        <v/>
      </c>
      <c r="Z353" s="40" t="str">
        <f aca="false">IF($B353="","",IF(AND(OR(CARI!$C$5="",ISNUMBER(SEARCH(CARI!$C$5,$B353&amp;" "&amp;$C353&amp;" "&amp;$D353&amp;" "&amp;$O353&amp;" "&amp;$I353&amp;" "&amp;$F353&amp;" "&amp;$J353&amp;" "&amp;$K353&amp;" "&amp;$L353&amp;" "&amp;$V353))),OR(CARI!$C$6="",$F353=CARI!$C$6),OR(CARI!$C$7="",$G353=CARI!$C$7),OR(CARI!$C$8="",$T353=CARI!$C$8)),MAX($Z$3:Z352)+1,""))</f>
        <v/>
      </c>
      <c r="AA353" s="40" t="str">
        <f aca="false">IF($Y353="","",MAX($AA$3:AA352)+1)</f>
        <v/>
      </c>
      <c r="AB353" s="40" t="str">
        <f aca="false">IF($F353="","",$F353&amp;"#"&amp;COUNTIF($F$4:$F353,$F353))</f>
        <v/>
      </c>
      <c r="AC353" s="40" t="str">
        <f aca="false">IF($B353="","",IF(AND(OR(CETAK!$J$10="",$F353=CETAK!$J$10),OR(CETAK!$J$11="",$G353=CETAK!$J$11),OR(CETAK!$J$12="",$P353=CETAK!$J$12),OR(CETAK!$J$13="",$N353=CETAK!$J$13),OR(CETAK!$J$14="",$T353=CETAK!$J$14)),MAX($AC$3:AC352)+1,""))</f>
        <v/>
      </c>
      <c r="AD353" s="40" t="str">
        <f aca="false">IF($B353="","",IF(AND(OR(ABSENSI!$H$10="",$F353=ABSENSI!$H$10),OR(ABSENSI!$H$11="",$G353=ABSENSI!$H$11),OR(ABSENSI!$H$12="",$P353=ABSENSI!$H$12)),MAX($AD$3:AD352)+1,""))</f>
        <v/>
      </c>
      <c r="AE353" s="40" t="str">
        <f aca="false">IF($B353="","",IF(AND(OR(KARTU!$K$6="",$F353=KARTU!$K$6),OR(KARTU!$K$7="",$G353=KARTU!$K$7),OR(KARTU!$K$8="",$P353=KARTU!$K$8)),MAX($AE$3:AE352)+1,""))</f>
        <v/>
      </c>
    </row>
    <row r="354" customFormat="false" ht="15" hidden="false" customHeight="false" outlineLevel="0" collapsed="false">
      <c r="A354" s="35" t="str">
        <f aca="false">IF($B354="","",COUNTA($B$4:$B354))</f>
        <v/>
      </c>
      <c r="B354" s="36"/>
      <c r="C354" s="37"/>
      <c r="D354" s="37"/>
      <c r="E354" s="38"/>
      <c r="F354" s="36"/>
      <c r="G354" s="39"/>
      <c r="H354" s="39"/>
      <c r="I354" s="36"/>
      <c r="J354" s="36"/>
      <c r="K354" s="36"/>
      <c r="L354" s="36"/>
      <c r="M354" s="40" t="str">
        <f aca="false">IF($F354="","",$F354&amp;IF($G354="",""," - RT "&amp;$G354&amp;IF($H354="","","/"&amp;$H354)))</f>
        <v/>
      </c>
      <c r="N354" s="36"/>
      <c r="O354" s="37"/>
      <c r="P354" s="39"/>
      <c r="Q354" s="41"/>
      <c r="R354" s="35" t="str">
        <f aca="true">IF(OR($B354="",$Q354=""),"",DATEDIF($Q354,TODAY(),"Y"))</f>
        <v/>
      </c>
      <c r="S354" s="40" t="str">
        <f aca="false">IF($R354="","",INDEX(usia_label,MATCH($R354,usia_min,1)))</f>
        <v/>
      </c>
      <c r="T354" s="36"/>
      <c r="U354" s="41"/>
      <c r="V354" s="36"/>
      <c r="W354" s="36"/>
      <c r="X354" s="40" t="str">
        <f aca="false">IF($M354="","",$M354&amp;"#"&amp;COUNTIF($M$4:$M354,$M354))</f>
        <v/>
      </c>
      <c r="Y354" s="40" t="str">
        <f aca="false">IF($B354="","",IF($C354="","NIK kosong",IF(LEN($C354)&lt;&gt;16,"NIK bukan 16 digit",IF(COUNTIF($C$4:$C$2003,$C354&amp;"*")&gt;1,"NIK ganda",IF(AND($D354&lt;&gt;"",LEN($D354)&lt;&gt;16),"No. KK bukan 16 digit",IF(AND($F354="",$I354=""),"Alamat kosong",IF($N354="","Jabatan kosong",IF($O354="","No. HP kosong",IF(AND($R354&lt;&gt;"",$R354&lt;17),"Usia di bawah 17","")))))))))</f>
        <v/>
      </c>
      <c r="Z354" s="40" t="str">
        <f aca="false">IF($B354="","",IF(AND(OR(CARI!$C$5="",ISNUMBER(SEARCH(CARI!$C$5,$B354&amp;" "&amp;$C354&amp;" "&amp;$D354&amp;" "&amp;$O354&amp;" "&amp;$I354&amp;" "&amp;$F354&amp;" "&amp;$J354&amp;" "&amp;$K354&amp;" "&amp;$L354&amp;" "&amp;$V354))),OR(CARI!$C$6="",$F354=CARI!$C$6),OR(CARI!$C$7="",$G354=CARI!$C$7),OR(CARI!$C$8="",$T354=CARI!$C$8)),MAX($Z$3:Z353)+1,""))</f>
        <v/>
      </c>
      <c r="AA354" s="40" t="str">
        <f aca="false">IF($Y354="","",MAX($AA$3:AA353)+1)</f>
        <v/>
      </c>
      <c r="AB354" s="40" t="str">
        <f aca="false">IF($F354="","",$F354&amp;"#"&amp;COUNTIF($F$4:$F354,$F354))</f>
        <v/>
      </c>
      <c r="AC354" s="40" t="str">
        <f aca="false">IF($B354="","",IF(AND(OR(CETAK!$J$10="",$F354=CETAK!$J$10),OR(CETAK!$J$11="",$G354=CETAK!$J$11),OR(CETAK!$J$12="",$P354=CETAK!$J$12),OR(CETAK!$J$13="",$N354=CETAK!$J$13),OR(CETAK!$J$14="",$T354=CETAK!$J$14)),MAX($AC$3:AC353)+1,""))</f>
        <v/>
      </c>
      <c r="AD354" s="40" t="str">
        <f aca="false">IF($B354="","",IF(AND(OR(ABSENSI!$H$10="",$F354=ABSENSI!$H$10),OR(ABSENSI!$H$11="",$G354=ABSENSI!$H$11),OR(ABSENSI!$H$12="",$P354=ABSENSI!$H$12)),MAX($AD$3:AD353)+1,""))</f>
        <v/>
      </c>
      <c r="AE354" s="40" t="str">
        <f aca="false">IF($B354="","",IF(AND(OR(KARTU!$K$6="",$F354=KARTU!$K$6),OR(KARTU!$K$7="",$G354=KARTU!$K$7),OR(KARTU!$K$8="",$P354=KARTU!$K$8)),MAX($AE$3:AE353)+1,""))</f>
        <v/>
      </c>
    </row>
    <row r="355" customFormat="false" ht="15" hidden="false" customHeight="false" outlineLevel="0" collapsed="false">
      <c r="A355" s="35" t="str">
        <f aca="false">IF($B355="","",COUNTA($B$4:$B355))</f>
        <v/>
      </c>
      <c r="B355" s="36"/>
      <c r="C355" s="37"/>
      <c r="D355" s="37"/>
      <c r="E355" s="38"/>
      <c r="F355" s="36"/>
      <c r="G355" s="39"/>
      <c r="H355" s="39"/>
      <c r="I355" s="36"/>
      <c r="J355" s="36"/>
      <c r="K355" s="36"/>
      <c r="L355" s="36"/>
      <c r="M355" s="40" t="str">
        <f aca="false">IF($F355="","",$F355&amp;IF($G355="",""," - RT "&amp;$G355&amp;IF($H355="","","/"&amp;$H355)))</f>
        <v/>
      </c>
      <c r="N355" s="36"/>
      <c r="O355" s="37"/>
      <c r="P355" s="39"/>
      <c r="Q355" s="41"/>
      <c r="R355" s="35" t="str">
        <f aca="true">IF(OR($B355="",$Q355=""),"",DATEDIF($Q355,TODAY(),"Y"))</f>
        <v/>
      </c>
      <c r="S355" s="40" t="str">
        <f aca="false">IF($R355="","",INDEX(usia_label,MATCH($R355,usia_min,1)))</f>
        <v/>
      </c>
      <c r="T355" s="36"/>
      <c r="U355" s="41"/>
      <c r="V355" s="36"/>
      <c r="W355" s="36"/>
      <c r="X355" s="40" t="str">
        <f aca="false">IF($M355="","",$M355&amp;"#"&amp;COUNTIF($M$4:$M355,$M355))</f>
        <v/>
      </c>
      <c r="Y355" s="40" t="str">
        <f aca="false">IF($B355="","",IF($C355="","NIK kosong",IF(LEN($C355)&lt;&gt;16,"NIK bukan 16 digit",IF(COUNTIF($C$4:$C$2003,$C355&amp;"*")&gt;1,"NIK ganda",IF(AND($D355&lt;&gt;"",LEN($D355)&lt;&gt;16),"No. KK bukan 16 digit",IF(AND($F355="",$I355=""),"Alamat kosong",IF($N355="","Jabatan kosong",IF($O355="","No. HP kosong",IF(AND($R355&lt;&gt;"",$R355&lt;17),"Usia di bawah 17","")))))))))</f>
        <v/>
      </c>
      <c r="Z355" s="40" t="str">
        <f aca="false">IF($B355="","",IF(AND(OR(CARI!$C$5="",ISNUMBER(SEARCH(CARI!$C$5,$B355&amp;" "&amp;$C355&amp;" "&amp;$D355&amp;" "&amp;$O355&amp;" "&amp;$I355&amp;" "&amp;$F355&amp;" "&amp;$J355&amp;" "&amp;$K355&amp;" "&amp;$L355&amp;" "&amp;$V355))),OR(CARI!$C$6="",$F355=CARI!$C$6),OR(CARI!$C$7="",$G355=CARI!$C$7),OR(CARI!$C$8="",$T355=CARI!$C$8)),MAX($Z$3:Z354)+1,""))</f>
        <v/>
      </c>
      <c r="AA355" s="40" t="str">
        <f aca="false">IF($Y355="","",MAX($AA$3:AA354)+1)</f>
        <v/>
      </c>
      <c r="AB355" s="40" t="str">
        <f aca="false">IF($F355="","",$F355&amp;"#"&amp;COUNTIF($F$4:$F355,$F355))</f>
        <v/>
      </c>
      <c r="AC355" s="40" t="str">
        <f aca="false">IF($B355="","",IF(AND(OR(CETAK!$J$10="",$F355=CETAK!$J$10),OR(CETAK!$J$11="",$G355=CETAK!$J$11),OR(CETAK!$J$12="",$P355=CETAK!$J$12),OR(CETAK!$J$13="",$N355=CETAK!$J$13),OR(CETAK!$J$14="",$T355=CETAK!$J$14)),MAX($AC$3:AC354)+1,""))</f>
        <v/>
      </c>
      <c r="AD355" s="40" t="str">
        <f aca="false">IF($B355="","",IF(AND(OR(ABSENSI!$H$10="",$F355=ABSENSI!$H$10),OR(ABSENSI!$H$11="",$G355=ABSENSI!$H$11),OR(ABSENSI!$H$12="",$P355=ABSENSI!$H$12)),MAX($AD$3:AD354)+1,""))</f>
        <v/>
      </c>
      <c r="AE355" s="40" t="str">
        <f aca="false">IF($B355="","",IF(AND(OR(KARTU!$K$6="",$F355=KARTU!$K$6),OR(KARTU!$K$7="",$G355=KARTU!$K$7),OR(KARTU!$K$8="",$P355=KARTU!$K$8)),MAX($AE$3:AE354)+1,""))</f>
        <v/>
      </c>
    </row>
    <row r="356" customFormat="false" ht="15" hidden="false" customHeight="false" outlineLevel="0" collapsed="false">
      <c r="A356" s="35" t="str">
        <f aca="false">IF($B356="","",COUNTA($B$4:$B356))</f>
        <v/>
      </c>
      <c r="B356" s="36"/>
      <c r="C356" s="37"/>
      <c r="D356" s="37"/>
      <c r="E356" s="38"/>
      <c r="F356" s="36"/>
      <c r="G356" s="39"/>
      <c r="H356" s="39"/>
      <c r="I356" s="36"/>
      <c r="J356" s="36"/>
      <c r="K356" s="36"/>
      <c r="L356" s="36"/>
      <c r="M356" s="40" t="str">
        <f aca="false">IF($F356="","",$F356&amp;IF($G356="",""," - RT "&amp;$G356&amp;IF($H356="","","/"&amp;$H356)))</f>
        <v/>
      </c>
      <c r="N356" s="36"/>
      <c r="O356" s="37"/>
      <c r="P356" s="39"/>
      <c r="Q356" s="41"/>
      <c r="R356" s="35" t="str">
        <f aca="true">IF(OR($B356="",$Q356=""),"",DATEDIF($Q356,TODAY(),"Y"))</f>
        <v/>
      </c>
      <c r="S356" s="40" t="str">
        <f aca="false">IF($R356="","",INDEX(usia_label,MATCH($R356,usia_min,1)))</f>
        <v/>
      </c>
      <c r="T356" s="36"/>
      <c r="U356" s="41"/>
      <c r="V356" s="36"/>
      <c r="W356" s="36"/>
      <c r="X356" s="40" t="str">
        <f aca="false">IF($M356="","",$M356&amp;"#"&amp;COUNTIF($M$4:$M356,$M356))</f>
        <v/>
      </c>
      <c r="Y356" s="40" t="str">
        <f aca="false">IF($B356="","",IF($C356="","NIK kosong",IF(LEN($C356)&lt;&gt;16,"NIK bukan 16 digit",IF(COUNTIF($C$4:$C$2003,$C356&amp;"*")&gt;1,"NIK ganda",IF(AND($D356&lt;&gt;"",LEN($D356)&lt;&gt;16),"No. KK bukan 16 digit",IF(AND($F356="",$I356=""),"Alamat kosong",IF($N356="","Jabatan kosong",IF($O356="","No. HP kosong",IF(AND($R356&lt;&gt;"",$R356&lt;17),"Usia di bawah 17","")))))))))</f>
        <v/>
      </c>
      <c r="Z356" s="40" t="str">
        <f aca="false">IF($B356="","",IF(AND(OR(CARI!$C$5="",ISNUMBER(SEARCH(CARI!$C$5,$B356&amp;" "&amp;$C356&amp;" "&amp;$D356&amp;" "&amp;$O356&amp;" "&amp;$I356&amp;" "&amp;$F356&amp;" "&amp;$J356&amp;" "&amp;$K356&amp;" "&amp;$L356&amp;" "&amp;$V356))),OR(CARI!$C$6="",$F356=CARI!$C$6),OR(CARI!$C$7="",$G356=CARI!$C$7),OR(CARI!$C$8="",$T356=CARI!$C$8)),MAX($Z$3:Z355)+1,""))</f>
        <v/>
      </c>
      <c r="AA356" s="40" t="str">
        <f aca="false">IF($Y356="","",MAX($AA$3:AA355)+1)</f>
        <v/>
      </c>
      <c r="AB356" s="40" t="str">
        <f aca="false">IF($F356="","",$F356&amp;"#"&amp;COUNTIF($F$4:$F356,$F356))</f>
        <v/>
      </c>
      <c r="AC356" s="40" t="str">
        <f aca="false">IF($B356="","",IF(AND(OR(CETAK!$J$10="",$F356=CETAK!$J$10),OR(CETAK!$J$11="",$G356=CETAK!$J$11),OR(CETAK!$J$12="",$P356=CETAK!$J$12),OR(CETAK!$J$13="",$N356=CETAK!$J$13),OR(CETAK!$J$14="",$T356=CETAK!$J$14)),MAX($AC$3:AC355)+1,""))</f>
        <v/>
      </c>
      <c r="AD356" s="40" t="str">
        <f aca="false">IF($B356="","",IF(AND(OR(ABSENSI!$H$10="",$F356=ABSENSI!$H$10),OR(ABSENSI!$H$11="",$G356=ABSENSI!$H$11),OR(ABSENSI!$H$12="",$P356=ABSENSI!$H$12)),MAX($AD$3:AD355)+1,""))</f>
        <v/>
      </c>
      <c r="AE356" s="40" t="str">
        <f aca="false">IF($B356="","",IF(AND(OR(KARTU!$K$6="",$F356=KARTU!$K$6),OR(KARTU!$K$7="",$G356=KARTU!$K$7),OR(KARTU!$K$8="",$P356=KARTU!$K$8)),MAX($AE$3:AE355)+1,""))</f>
        <v/>
      </c>
    </row>
    <row r="357" customFormat="false" ht="15" hidden="false" customHeight="false" outlineLevel="0" collapsed="false">
      <c r="A357" s="35" t="str">
        <f aca="false">IF($B357="","",COUNTA($B$4:$B357))</f>
        <v/>
      </c>
      <c r="B357" s="36"/>
      <c r="C357" s="37"/>
      <c r="D357" s="37"/>
      <c r="E357" s="38"/>
      <c r="F357" s="36"/>
      <c r="G357" s="39"/>
      <c r="H357" s="39"/>
      <c r="I357" s="36"/>
      <c r="J357" s="36"/>
      <c r="K357" s="36"/>
      <c r="L357" s="36"/>
      <c r="M357" s="40" t="str">
        <f aca="false">IF($F357="","",$F357&amp;IF($G357="",""," - RT "&amp;$G357&amp;IF($H357="","","/"&amp;$H357)))</f>
        <v/>
      </c>
      <c r="N357" s="36"/>
      <c r="O357" s="37"/>
      <c r="P357" s="39"/>
      <c r="Q357" s="41"/>
      <c r="R357" s="35" t="str">
        <f aca="true">IF(OR($B357="",$Q357=""),"",DATEDIF($Q357,TODAY(),"Y"))</f>
        <v/>
      </c>
      <c r="S357" s="40" t="str">
        <f aca="false">IF($R357="","",INDEX(usia_label,MATCH($R357,usia_min,1)))</f>
        <v/>
      </c>
      <c r="T357" s="36"/>
      <c r="U357" s="41"/>
      <c r="V357" s="36"/>
      <c r="W357" s="36"/>
      <c r="X357" s="40" t="str">
        <f aca="false">IF($M357="","",$M357&amp;"#"&amp;COUNTIF($M$4:$M357,$M357))</f>
        <v/>
      </c>
      <c r="Y357" s="40" t="str">
        <f aca="false">IF($B357="","",IF($C357="","NIK kosong",IF(LEN($C357)&lt;&gt;16,"NIK bukan 16 digit",IF(COUNTIF($C$4:$C$2003,$C357&amp;"*")&gt;1,"NIK ganda",IF(AND($D357&lt;&gt;"",LEN($D357)&lt;&gt;16),"No. KK bukan 16 digit",IF(AND($F357="",$I357=""),"Alamat kosong",IF($N357="","Jabatan kosong",IF($O357="","No. HP kosong",IF(AND($R357&lt;&gt;"",$R357&lt;17),"Usia di bawah 17","")))))))))</f>
        <v/>
      </c>
      <c r="Z357" s="40" t="str">
        <f aca="false">IF($B357="","",IF(AND(OR(CARI!$C$5="",ISNUMBER(SEARCH(CARI!$C$5,$B357&amp;" "&amp;$C357&amp;" "&amp;$D357&amp;" "&amp;$O357&amp;" "&amp;$I357&amp;" "&amp;$F357&amp;" "&amp;$J357&amp;" "&amp;$K357&amp;" "&amp;$L357&amp;" "&amp;$V357))),OR(CARI!$C$6="",$F357=CARI!$C$6),OR(CARI!$C$7="",$G357=CARI!$C$7),OR(CARI!$C$8="",$T357=CARI!$C$8)),MAX($Z$3:Z356)+1,""))</f>
        <v/>
      </c>
      <c r="AA357" s="40" t="str">
        <f aca="false">IF($Y357="","",MAX($AA$3:AA356)+1)</f>
        <v/>
      </c>
      <c r="AB357" s="40" t="str">
        <f aca="false">IF($F357="","",$F357&amp;"#"&amp;COUNTIF($F$4:$F357,$F357))</f>
        <v/>
      </c>
      <c r="AC357" s="40" t="str">
        <f aca="false">IF($B357="","",IF(AND(OR(CETAK!$J$10="",$F357=CETAK!$J$10),OR(CETAK!$J$11="",$G357=CETAK!$J$11),OR(CETAK!$J$12="",$P357=CETAK!$J$12),OR(CETAK!$J$13="",$N357=CETAK!$J$13),OR(CETAK!$J$14="",$T357=CETAK!$J$14)),MAX($AC$3:AC356)+1,""))</f>
        <v/>
      </c>
      <c r="AD357" s="40" t="str">
        <f aca="false">IF($B357="","",IF(AND(OR(ABSENSI!$H$10="",$F357=ABSENSI!$H$10),OR(ABSENSI!$H$11="",$G357=ABSENSI!$H$11),OR(ABSENSI!$H$12="",$P357=ABSENSI!$H$12)),MAX($AD$3:AD356)+1,""))</f>
        <v/>
      </c>
      <c r="AE357" s="40" t="str">
        <f aca="false">IF($B357="","",IF(AND(OR(KARTU!$K$6="",$F357=KARTU!$K$6),OR(KARTU!$K$7="",$G357=KARTU!$K$7),OR(KARTU!$K$8="",$P357=KARTU!$K$8)),MAX($AE$3:AE356)+1,""))</f>
        <v/>
      </c>
    </row>
    <row r="358" customFormat="false" ht="15" hidden="false" customHeight="false" outlineLevel="0" collapsed="false">
      <c r="A358" s="35" t="str">
        <f aca="false">IF($B358="","",COUNTA($B$4:$B358))</f>
        <v/>
      </c>
      <c r="B358" s="36"/>
      <c r="C358" s="37"/>
      <c r="D358" s="37"/>
      <c r="E358" s="38"/>
      <c r="F358" s="36"/>
      <c r="G358" s="39"/>
      <c r="H358" s="39"/>
      <c r="I358" s="36"/>
      <c r="J358" s="36"/>
      <c r="K358" s="36"/>
      <c r="L358" s="36"/>
      <c r="M358" s="40" t="str">
        <f aca="false">IF($F358="","",$F358&amp;IF($G358="",""," - RT "&amp;$G358&amp;IF($H358="","","/"&amp;$H358)))</f>
        <v/>
      </c>
      <c r="N358" s="36"/>
      <c r="O358" s="37"/>
      <c r="P358" s="39"/>
      <c r="Q358" s="41"/>
      <c r="R358" s="35" t="str">
        <f aca="true">IF(OR($B358="",$Q358=""),"",DATEDIF($Q358,TODAY(),"Y"))</f>
        <v/>
      </c>
      <c r="S358" s="40" t="str">
        <f aca="false">IF($R358="","",INDEX(usia_label,MATCH($R358,usia_min,1)))</f>
        <v/>
      </c>
      <c r="T358" s="36"/>
      <c r="U358" s="41"/>
      <c r="V358" s="36"/>
      <c r="W358" s="36"/>
      <c r="X358" s="40" t="str">
        <f aca="false">IF($M358="","",$M358&amp;"#"&amp;COUNTIF($M$4:$M358,$M358))</f>
        <v/>
      </c>
      <c r="Y358" s="40" t="str">
        <f aca="false">IF($B358="","",IF($C358="","NIK kosong",IF(LEN($C358)&lt;&gt;16,"NIK bukan 16 digit",IF(COUNTIF($C$4:$C$2003,$C358&amp;"*")&gt;1,"NIK ganda",IF(AND($D358&lt;&gt;"",LEN($D358)&lt;&gt;16),"No. KK bukan 16 digit",IF(AND($F358="",$I358=""),"Alamat kosong",IF($N358="","Jabatan kosong",IF($O358="","No. HP kosong",IF(AND($R358&lt;&gt;"",$R358&lt;17),"Usia di bawah 17","")))))))))</f>
        <v/>
      </c>
      <c r="Z358" s="40" t="str">
        <f aca="false">IF($B358="","",IF(AND(OR(CARI!$C$5="",ISNUMBER(SEARCH(CARI!$C$5,$B358&amp;" "&amp;$C358&amp;" "&amp;$D358&amp;" "&amp;$O358&amp;" "&amp;$I358&amp;" "&amp;$F358&amp;" "&amp;$J358&amp;" "&amp;$K358&amp;" "&amp;$L358&amp;" "&amp;$V358))),OR(CARI!$C$6="",$F358=CARI!$C$6),OR(CARI!$C$7="",$G358=CARI!$C$7),OR(CARI!$C$8="",$T358=CARI!$C$8)),MAX($Z$3:Z357)+1,""))</f>
        <v/>
      </c>
      <c r="AA358" s="40" t="str">
        <f aca="false">IF($Y358="","",MAX($AA$3:AA357)+1)</f>
        <v/>
      </c>
      <c r="AB358" s="40" t="str">
        <f aca="false">IF($F358="","",$F358&amp;"#"&amp;COUNTIF($F$4:$F358,$F358))</f>
        <v/>
      </c>
      <c r="AC358" s="40" t="str">
        <f aca="false">IF($B358="","",IF(AND(OR(CETAK!$J$10="",$F358=CETAK!$J$10),OR(CETAK!$J$11="",$G358=CETAK!$J$11),OR(CETAK!$J$12="",$P358=CETAK!$J$12),OR(CETAK!$J$13="",$N358=CETAK!$J$13),OR(CETAK!$J$14="",$T358=CETAK!$J$14)),MAX($AC$3:AC357)+1,""))</f>
        <v/>
      </c>
      <c r="AD358" s="40" t="str">
        <f aca="false">IF($B358="","",IF(AND(OR(ABSENSI!$H$10="",$F358=ABSENSI!$H$10),OR(ABSENSI!$H$11="",$G358=ABSENSI!$H$11),OR(ABSENSI!$H$12="",$P358=ABSENSI!$H$12)),MAX($AD$3:AD357)+1,""))</f>
        <v/>
      </c>
      <c r="AE358" s="40" t="str">
        <f aca="false">IF($B358="","",IF(AND(OR(KARTU!$K$6="",$F358=KARTU!$K$6),OR(KARTU!$K$7="",$G358=KARTU!$K$7),OR(KARTU!$K$8="",$P358=KARTU!$K$8)),MAX($AE$3:AE357)+1,""))</f>
        <v/>
      </c>
    </row>
    <row r="359" customFormat="false" ht="15" hidden="false" customHeight="false" outlineLevel="0" collapsed="false">
      <c r="A359" s="35" t="str">
        <f aca="false">IF($B359="","",COUNTA($B$4:$B359))</f>
        <v/>
      </c>
      <c r="B359" s="36"/>
      <c r="C359" s="37"/>
      <c r="D359" s="37"/>
      <c r="E359" s="38"/>
      <c r="F359" s="36"/>
      <c r="G359" s="39"/>
      <c r="H359" s="39"/>
      <c r="I359" s="36"/>
      <c r="J359" s="36"/>
      <c r="K359" s="36"/>
      <c r="L359" s="36"/>
      <c r="M359" s="40" t="str">
        <f aca="false">IF($F359="","",$F359&amp;IF($G359="",""," - RT "&amp;$G359&amp;IF($H359="","","/"&amp;$H359)))</f>
        <v/>
      </c>
      <c r="N359" s="36"/>
      <c r="O359" s="37"/>
      <c r="P359" s="39"/>
      <c r="Q359" s="41"/>
      <c r="R359" s="35" t="str">
        <f aca="true">IF(OR($B359="",$Q359=""),"",DATEDIF($Q359,TODAY(),"Y"))</f>
        <v/>
      </c>
      <c r="S359" s="40" t="str">
        <f aca="false">IF($R359="","",INDEX(usia_label,MATCH($R359,usia_min,1)))</f>
        <v/>
      </c>
      <c r="T359" s="36"/>
      <c r="U359" s="41"/>
      <c r="V359" s="36"/>
      <c r="W359" s="36"/>
      <c r="X359" s="40" t="str">
        <f aca="false">IF($M359="","",$M359&amp;"#"&amp;COUNTIF($M$4:$M359,$M359))</f>
        <v/>
      </c>
      <c r="Y359" s="40" t="str">
        <f aca="false">IF($B359="","",IF($C359="","NIK kosong",IF(LEN($C359)&lt;&gt;16,"NIK bukan 16 digit",IF(COUNTIF($C$4:$C$2003,$C359&amp;"*")&gt;1,"NIK ganda",IF(AND($D359&lt;&gt;"",LEN($D359)&lt;&gt;16),"No. KK bukan 16 digit",IF(AND($F359="",$I359=""),"Alamat kosong",IF($N359="","Jabatan kosong",IF($O359="","No. HP kosong",IF(AND($R359&lt;&gt;"",$R359&lt;17),"Usia di bawah 17","")))))))))</f>
        <v/>
      </c>
      <c r="Z359" s="40" t="str">
        <f aca="false">IF($B359="","",IF(AND(OR(CARI!$C$5="",ISNUMBER(SEARCH(CARI!$C$5,$B359&amp;" "&amp;$C359&amp;" "&amp;$D359&amp;" "&amp;$O359&amp;" "&amp;$I359&amp;" "&amp;$F359&amp;" "&amp;$J359&amp;" "&amp;$K359&amp;" "&amp;$L359&amp;" "&amp;$V359))),OR(CARI!$C$6="",$F359=CARI!$C$6),OR(CARI!$C$7="",$G359=CARI!$C$7),OR(CARI!$C$8="",$T359=CARI!$C$8)),MAX($Z$3:Z358)+1,""))</f>
        <v/>
      </c>
      <c r="AA359" s="40" t="str">
        <f aca="false">IF($Y359="","",MAX($AA$3:AA358)+1)</f>
        <v/>
      </c>
      <c r="AB359" s="40" t="str">
        <f aca="false">IF($F359="","",$F359&amp;"#"&amp;COUNTIF($F$4:$F359,$F359))</f>
        <v/>
      </c>
      <c r="AC359" s="40" t="str">
        <f aca="false">IF($B359="","",IF(AND(OR(CETAK!$J$10="",$F359=CETAK!$J$10),OR(CETAK!$J$11="",$G359=CETAK!$J$11),OR(CETAK!$J$12="",$P359=CETAK!$J$12),OR(CETAK!$J$13="",$N359=CETAK!$J$13),OR(CETAK!$J$14="",$T359=CETAK!$J$14)),MAX($AC$3:AC358)+1,""))</f>
        <v/>
      </c>
      <c r="AD359" s="40" t="str">
        <f aca="false">IF($B359="","",IF(AND(OR(ABSENSI!$H$10="",$F359=ABSENSI!$H$10),OR(ABSENSI!$H$11="",$G359=ABSENSI!$H$11),OR(ABSENSI!$H$12="",$P359=ABSENSI!$H$12)),MAX($AD$3:AD358)+1,""))</f>
        <v/>
      </c>
      <c r="AE359" s="40" t="str">
        <f aca="false">IF($B359="","",IF(AND(OR(KARTU!$K$6="",$F359=KARTU!$K$6),OR(KARTU!$K$7="",$G359=KARTU!$K$7),OR(KARTU!$K$8="",$P359=KARTU!$K$8)),MAX($AE$3:AE358)+1,""))</f>
        <v/>
      </c>
    </row>
    <row r="360" customFormat="false" ht="15" hidden="false" customHeight="false" outlineLevel="0" collapsed="false">
      <c r="A360" s="35" t="str">
        <f aca="false">IF($B360="","",COUNTA($B$4:$B360))</f>
        <v/>
      </c>
      <c r="B360" s="36"/>
      <c r="C360" s="37"/>
      <c r="D360" s="37"/>
      <c r="E360" s="38"/>
      <c r="F360" s="36"/>
      <c r="G360" s="39"/>
      <c r="H360" s="39"/>
      <c r="I360" s="36"/>
      <c r="J360" s="36"/>
      <c r="K360" s="36"/>
      <c r="L360" s="36"/>
      <c r="M360" s="40" t="str">
        <f aca="false">IF($F360="","",$F360&amp;IF($G360="",""," - RT "&amp;$G360&amp;IF($H360="","","/"&amp;$H360)))</f>
        <v/>
      </c>
      <c r="N360" s="36"/>
      <c r="O360" s="37"/>
      <c r="P360" s="39"/>
      <c r="Q360" s="41"/>
      <c r="R360" s="35" t="str">
        <f aca="true">IF(OR($B360="",$Q360=""),"",DATEDIF($Q360,TODAY(),"Y"))</f>
        <v/>
      </c>
      <c r="S360" s="40" t="str">
        <f aca="false">IF($R360="","",INDEX(usia_label,MATCH($R360,usia_min,1)))</f>
        <v/>
      </c>
      <c r="T360" s="36"/>
      <c r="U360" s="41"/>
      <c r="V360" s="36"/>
      <c r="W360" s="36"/>
      <c r="X360" s="40" t="str">
        <f aca="false">IF($M360="","",$M360&amp;"#"&amp;COUNTIF($M$4:$M360,$M360))</f>
        <v/>
      </c>
      <c r="Y360" s="40" t="str">
        <f aca="false">IF($B360="","",IF($C360="","NIK kosong",IF(LEN($C360)&lt;&gt;16,"NIK bukan 16 digit",IF(COUNTIF($C$4:$C$2003,$C360&amp;"*")&gt;1,"NIK ganda",IF(AND($D360&lt;&gt;"",LEN($D360)&lt;&gt;16),"No. KK bukan 16 digit",IF(AND($F360="",$I360=""),"Alamat kosong",IF($N360="","Jabatan kosong",IF($O360="","No. HP kosong",IF(AND($R360&lt;&gt;"",$R360&lt;17),"Usia di bawah 17","")))))))))</f>
        <v/>
      </c>
      <c r="Z360" s="40" t="str">
        <f aca="false">IF($B360="","",IF(AND(OR(CARI!$C$5="",ISNUMBER(SEARCH(CARI!$C$5,$B360&amp;" "&amp;$C360&amp;" "&amp;$D360&amp;" "&amp;$O360&amp;" "&amp;$I360&amp;" "&amp;$F360&amp;" "&amp;$J360&amp;" "&amp;$K360&amp;" "&amp;$L360&amp;" "&amp;$V360))),OR(CARI!$C$6="",$F360=CARI!$C$6),OR(CARI!$C$7="",$G360=CARI!$C$7),OR(CARI!$C$8="",$T360=CARI!$C$8)),MAX($Z$3:Z359)+1,""))</f>
        <v/>
      </c>
      <c r="AA360" s="40" t="str">
        <f aca="false">IF($Y360="","",MAX($AA$3:AA359)+1)</f>
        <v/>
      </c>
      <c r="AB360" s="40" t="str">
        <f aca="false">IF($F360="","",$F360&amp;"#"&amp;COUNTIF($F$4:$F360,$F360))</f>
        <v/>
      </c>
      <c r="AC360" s="40" t="str">
        <f aca="false">IF($B360="","",IF(AND(OR(CETAK!$J$10="",$F360=CETAK!$J$10),OR(CETAK!$J$11="",$G360=CETAK!$J$11),OR(CETAK!$J$12="",$P360=CETAK!$J$12),OR(CETAK!$J$13="",$N360=CETAK!$J$13),OR(CETAK!$J$14="",$T360=CETAK!$J$14)),MAX($AC$3:AC359)+1,""))</f>
        <v/>
      </c>
      <c r="AD360" s="40" t="str">
        <f aca="false">IF($B360="","",IF(AND(OR(ABSENSI!$H$10="",$F360=ABSENSI!$H$10),OR(ABSENSI!$H$11="",$G360=ABSENSI!$H$11),OR(ABSENSI!$H$12="",$P360=ABSENSI!$H$12)),MAX($AD$3:AD359)+1,""))</f>
        <v/>
      </c>
      <c r="AE360" s="40" t="str">
        <f aca="false">IF($B360="","",IF(AND(OR(KARTU!$K$6="",$F360=KARTU!$K$6),OR(KARTU!$K$7="",$G360=KARTU!$K$7),OR(KARTU!$K$8="",$P360=KARTU!$K$8)),MAX($AE$3:AE359)+1,""))</f>
        <v/>
      </c>
    </row>
    <row r="361" customFormat="false" ht="15" hidden="false" customHeight="false" outlineLevel="0" collapsed="false">
      <c r="A361" s="35" t="str">
        <f aca="false">IF($B361="","",COUNTA($B$4:$B361))</f>
        <v/>
      </c>
      <c r="B361" s="36"/>
      <c r="C361" s="37"/>
      <c r="D361" s="37"/>
      <c r="E361" s="38"/>
      <c r="F361" s="36"/>
      <c r="G361" s="39"/>
      <c r="H361" s="39"/>
      <c r="I361" s="36"/>
      <c r="J361" s="36"/>
      <c r="K361" s="36"/>
      <c r="L361" s="36"/>
      <c r="M361" s="40" t="str">
        <f aca="false">IF($F361="","",$F361&amp;IF($G361="",""," - RT "&amp;$G361&amp;IF($H361="","","/"&amp;$H361)))</f>
        <v/>
      </c>
      <c r="N361" s="36"/>
      <c r="O361" s="37"/>
      <c r="P361" s="39"/>
      <c r="Q361" s="41"/>
      <c r="R361" s="35" t="str">
        <f aca="true">IF(OR($B361="",$Q361=""),"",DATEDIF($Q361,TODAY(),"Y"))</f>
        <v/>
      </c>
      <c r="S361" s="40" t="str">
        <f aca="false">IF($R361="","",INDEX(usia_label,MATCH($R361,usia_min,1)))</f>
        <v/>
      </c>
      <c r="T361" s="36"/>
      <c r="U361" s="41"/>
      <c r="V361" s="36"/>
      <c r="W361" s="36"/>
      <c r="X361" s="40" t="str">
        <f aca="false">IF($M361="","",$M361&amp;"#"&amp;COUNTIF($M$4:$M361,$M361))</f>
        <v/>
      </c>
      <c r="Y361" s="40" t="str">
        <f aca="false">IF($B361="","",IF($C361="","NIK kosong",IF(LEN($C361)&lt;&gt;16,"NIK bukan 16 digit",IF(COUNTIF($C$4:$C$2003,$C361&amp;"*")&gt;1,"NIK ganda",IF(AND($D361&lt;&gt;"",LEN($D361)&lt;&gt;16),"No. KK bukan 16 digit",IF(AND($F361="",$I361=""),"Alamat kosong",IF($N361="","Jabatan kosong",IF($O361="","No. HP kosong",IF(AND($R361&lt;&gt;"",$R361&lt;17),"Usia di bawah 17","")))))))))</f>
        <v/>
      </c>
      <c r="Z361" s="40" t="str">
        <f aca="false">IF($B361="","",IF(AND(OR(CARI!$C$5="",ISNUMBER(SEARCH(CARI!$C$5,$B361&amp;" "&amp;$C361&amp;" "&amp;$D361&amp;" "&amp;$O361&amp;" "&amp;$I361&amp;" "&amp;$F361&amp;" "&amp;$J361&amp;" "&amp;$K361&amp;" "&amp;$L361&amp;" "&amp;$V361))),OR(CARI!$C$6="",$F361=CARI!$C$6),OR(CARI!$C$7="",$G361=CARI!$C$7),OR(CARI!$C$8="",$T361=CARI!$C$8)),MAX($Z$3:Z360)+1,""))</f>
        <v/>
      </c>
      <c r="AA361" s="40" t="str">
        <f aca="false">IF($Y361="","",MAX($AA$3:AA360)+1)</f>
        <v/>
      </c>
      <c r="AB361" s="40" t="str">
        <f aca="false">IF($F361="","",$F361&amp;"#"&amp;COUNTIF($F$4:$F361,$F361))</f>
        <v/>
      </c>
      <c r="AC361" s="40" t="str">
        <f aca="false">IF($B361="","",IF(AND(OR(CETAK!$J$10="",$F361=CETAK!$J$10),OR(CETAK!$J$11="",$G361=CETAK!$J$11),OR(CETAK!$J$12="",$P361=CETAK!$J$12),OR(CETAK!$J$13="",$N361=CETAK!$J$13),OR(CETAK!$J$14="",$T361=CETAK!$J$14)),MAX($AC$3:AC360)+1,""))</f>
        <v/>
      </c>
      <c r="AD361" s="40" t="str">
        <f aca="false">IF($B361="","",IF(AND(OR(ABSENSI!$H$10="",$F361=ABSENSI!$H$10),OR(ABSENSI!$H$11="",$G361=ABSENSI!$H$11),OR(ABSENSI!$H$12="",$P361=ABSENSI!$H$12)),MAX($AD$3:AD360)+1,""))</f>
        <v/>
      </c>
      <c r="AE361" s="40" t="str">
        <f aca="false">IF($B361="","",IF(AND(OR(KARTU!$K$6="",$F361=KARTU!$K$6),OR(KARTU!$K$7="",$G361=KARTU!$K$7),OR(KARTU!$K$8="",$P361=KARTU!$K$8)),MAX($AE$3:AE360)+1,""))</f>
        <v/>
      </c>
    </row>
    <row r="362" customFormat="false" ht="15" hidden="false" customHeight="false" outlineLevel="0" collapsed="false">
      <c r="A362" s="35" t="str">
        <f aca="false">IF($B362="","",COUNTA($B$4:$B362))</f>
        <v/>
      </c>
      <c r="B362" s="36"/>
      <c r="C362" s="37"/>
      <c r="D362" s="37"/>
      <c r="E362" s="38"/>
      <c r="F362" s="36"/>
      <c r="G362" s="39"/>
      <c r="H362" s="39"/>
      <c r="I362" s="36"/>
      <c r="J362" s="36"/>
      <c r="K362" s="36"/>
      <c r="L362" s="36"/>
      <c r="M362" s="40" t="str">
        <f aca="false">IF($F362="","",$F362&amp;IF($G362="",""," - RT "&amp;$G362&amp;IF($H362="","","/"&amp;$H362)))</f>
        <v/>
      </c>
      <c r="N362" s="36"/>
      <c r="O362" s="37"/>
      <c r="P362" s="39"/>
      <c r="Q362" s="41"/>
      <c r="R362" s="35" t="str">
        <f aca="true">IF(OR($B362="",$Q362=""),"",DATEDIF($Q362,TODAY(),"Y"))</f>
        <v/>
      </c>
      <c r="S362" s="40" t="str">
        <f aca="false">IF($R362="","",INDEX(usia_label,MATCH($R362,usia_min,1)))</f>
        <v/>
      </c>
      <c r="T362" s="36"/>
      <c r="U362" s="41"/>
      <c r="V362" s="36"/>
      <c r="W362" s="36"/>
      <c r="X362" s="40" t="str">
        <f aca="false">IF($M362="","",$M362&amp;"#"&amp;COUNTIF($M$4:$M362,$M362))</f>
        <v/>
      </c>
      <c r="Y362" s="40" t="str">
        <f aca="false">IF($B362="","",IF($C362="","NIK kosong",IF(LEN($C362)&lt;&gt;16,"NIK bukan 16 digit",IF(COUNTIF($C$4:$C$2003,$C362&amp;"*")&gt;1,"NIK ganda",IF(AND($D362&lt;&gt;"",LEN($D362)&lt;&gt;16),"No. KK bukan 16 digit",IF(AND($F362="",$I362=""),"Alamat kosong",IF($N362="","Jabatan kosong",IF($O362="","No. HP kosong",IF(AND($R362&lt;&gt;"",$R362&lt;17),"Usia di bawah 17","")))))))))</f>
        <v/>
      </c>
      <c r="Z362" s="40" t="str">
        <f aca="false">IF($B362="","",IF(AND(OR(CARI!$C$5="",ISNUMBER(SEARCH(CARI!$C$5,$B362&amp;" "&amp;$C362&amp;" "&amp;$D362&amp;" "&amp;$O362&amp;" "&amp;$I362&amp;" "&amp;$F362&amp;" "&amp;$J362&amp;" "&amp;$K362&amp;" "&amp;$L362&amp;" "&amp;$V362))),OR(CARI!$C$6="",$F362=CARI!$C$6),OR(CARI!$C$7="",$G362=CARI!$C$7),OR(CARI!$C$8="",$T362=CARI!$C$8)),MAX($Z$3:Z361)+1,""))</f>
        <v/>
      </c>
      <c r="AA362" s="40" t="str">
        <f aca="false">IF($Y362="","",MAX($AA$3:AA361)+1)</f>
        <v/>
      </c>
      <c r="AB362" s="40" t="str">
        <f aca="false">IF($F362="","",$F362&amp;"#"&amp;COUNTIF($F$4:$F362,$F362))</f>
        <v/>
      </c>
      <c r="AC362" s="40" t="str">
        <f aca="false">IF($B362="","",IF(AND(OR(CETAK!$J$10="",$F362=CETAK!$J$10),OR(CETAK!$J$11="",$G362=CETAK!$J$11),OR(CETAK!$J$12="",$P362=CETAK!$J$12),OR(CETAK!$J$13="",$N362=CETAK!$J$13),OR(CETAK!$J$14="",$T362=CETAK!$J$14)),MAX($AC$3:AC361)+1,""))</f>
        <v/>
      </c>
      <c r="AD362" s="40" t="str">
        <f aca="false">IF($B362="","",IF(AND(OR(ABSENSI!$H$10="",$F362=ABSENSI!$H$10),OR(ABSENSI!$H$11="",$G362=ABSENSI!$H$11),OR(ABSENSI!$H$12="",$P362=ABSENSI!$H$12)),MAX($AD$3:AD361)+1,""))</f>
        <v/>
      </c>
      <c r="AE362" s="40" t="str">
        <f aca="false">IF($B362="","",IF(AND(OR(KARTU!$K$6="",$F362=KARTU!$K$6),OR(KARTU!$K$7="",$G362=KARTU!$K$7),OR(KARTU!$K$8="",$P362=KARTU!$K$8)),MAX($AE$3:AE361)+1,""))</f>
        <v/>
      </c>
    </row>
    <row r="363" customFormat="false" ht="15" hidden="false" customHeight="false" outlineLevel="0" collapsed="false">
      <c r="A363" s="35" t="str">
        <f aca="false">IF($B363="","",COUNTA($B$4:$B363))</f>
        <v/>
      </c>
      <c r="B363" s="36"/>
      <c r="C363" s="37"/>
      <c r="D363" s="37"/>
      <c r="E363" s="38"/>
      <c r="F363" s="36"/>
      <c r="G363" s="39"/>
      <c r="H363" s="39"/>
      <c r="I363" s="36"/>
      <c r="J363" s="36"/>
      <c r="K363" s="36"/>
      <c r="L363" s="36"/>
      <c r="M363" s="40" t="str">
        <f aca="false">IF($F363="","",$F363&amp;IF($G363="",""," - RT "&amp;$G363&amp;IF($H363="","","/"&amp;$H363)))</f>
        <v/>
      </c>
      <c r="N363" s="36"/>
      <c r="O363" s="37"/>
      <c r="P363" s="39"/>
      <c r="Q363" s="41"/>
      <c r="R363" s="35" t="str">
        <f aca="true">IF(OR($B363="",$Q363=""),"",DATEDIF($Q363,TODAY(),"Y"))</f>
        <v/>
      </c>
      <c r="S363" s="40" t="str">
        <f aca="false">IF($R363="","",INDEX(usia_label,MATCH($R363,usia_min,1)))</f>
        <v/>
      </c>
      <c r="T363" s="36"/>
      <c r="U363" s="41"/>
      <c r="V363" s="36"/>
      <c r="W363" s="36"/>
      <c r="X363" s="40" t="str">
        <f aca="false">IF($M363="","",$M363&amp;"#"&amp;COUNTIF($M$4:$M363,$M363))</f>
        <v/>
      </c>
      <c r="Y363" s="40" t="str">
        <f aca="false">IF($B363="","",IF($C363="","NIK kosong",IF(LEN($C363)&lt;&gt;16,"NIK bukan 16 digit",IF(COUNTIF($C$4:$C$2003,$C363&amp;"*")&gt;1,"NIK ganda",IF(AND($D363&lt;&gt;"",LEN($D363)&lt;&gt;16),"No. KK bukan 16 digit",IF(AND($F363="",$I363=""),"Alamat kosong",IF($N363="","Jabatan kosong",IF($O363="","No. HP kosong",IF(AND($R363&lt;&gt;"",$R363&lt;17),"Usia di bawah 17","")))))))))</f>
        <v/>
      </c>
      <c r="Z363" s="40" t="str">
        <f aca="false">IF($B363="","",IF(AND(OR(CARI!$C$5="",ISNUMBER(SEARCH(CARI!$C$5,$B363&amp;" "&amp;$C363&amp;" "&amp;$D363&amp;" "&amp;$O363&amp;" "&amp;$I363&amp;" "&amp;$F363&amp;" "&amp;$J363&amp;" "&amp;$K363&amp;" "&amp;$L363&amp;" "&amp;$V363))),OR(CARI!$C$6="",$F363=CARI!$C$6),OR(CARI!$C$7="",$G363=CARI!$C$7),OR(CARI!$C$8="",$T363=CARI!$C$8)),MAX($Z$3:Z362)+1,""))</f>
        <v/>
      </c>
      <c r="AA363" s="40" t="str">
        <f aca="false">IF($Y363="","",MAX($AA$3:AA362)+1)</f>
        <v/>
      </c>
      <c r="AB363" s="40" t="str">
        <f aca="false">IF($F363="","",$F363&amp;"#"&amp;COUNTIF($F$4:$F363,$F363))</f>
        <v/>
      </c>
      <c r="AC363" s="40" t="str">
        <f aca="false">IF($B363="","",IF(AND(OR(CETAK!$J$10="",$F363=CETAK!$J$10),OR(CETAK!$J$11="",$G363=CETAK!$J$11),OR(CETAK!$J$12="",$P363=CETAK!$J$12),OR(CETAK!$J$13="",$N363=CETAK!$J$13),OR(CETAK!$J$14="",$T363=CETAK!$J$14)),MAX($AC$3:AC362)+1,""))</f>
        <v/>
      </c>
      <c r="AD363" s="40" t="str">
        <f aca="false">IF($B363="","",IF(AND(OR(ABSENSI!$H$10="",$F363=ABSENSI!$H$10),OR(ABSENSI!$H$11="",$G363=ABSENSI!$H$11),OR(ABSENSI!$H$12="",$P363=ABSENSI!$H$12)),MAX($AD$3:AD362)+1,""))</f>
        <v/>
      </c>
      <c r="AE363" s="40" t="str">
        <f aca="false">IF($B363="","",IF(AND(OR(KARTU!$K$6="",$F363=KARTU!$K$6),OR(KARTU!$K$7="",$G363=KARTU!$K$7),OR(KARTU!$K$8="",$P363=KARTU!$K$8)),MAX($AE$3:AE362)+1,""))</f>
        <v/>
      </c>
    </row>
    <row r="364" customFormat="false" ht="15" hidden="false" customHeight="false" outlineLevel="0" collapsed="false">
      <c r="A364" s="35" t="str">
        <f aca="false">IF($B364="","",COUNTA($B$4:$B364))</f>
        <v/>
      </c>
      <c r="B364" s="36"/>
      <c r="C364" s="37"/>
      <c r="D364" s="37"/>
      <c r="E364" s="38"/>
      <c r="F364" s="36"/>
      <c r="G364" s="39"/>
      <c r="H364" s="39"/>
      <c r="I364" s="36"/>
      <c r="J364" s="36"/>
      <c r="K364" s="36"/>
      <c r="L364" s="36"/>
      <c r="M364" s="40" t="str">
        <f aca="false">IF($F364="","",$F364&amp;IF($G364="",""," - RT "&amp;$G364&amp;IF($H364="","","/"&amp;$H364)))</f>
        <v/>
      </c>
      <c r="N364" s="36"/>
      <c r="O364" s="37"/>
      <c r="P364" s="39"/>
      <c r="Q364" s="41"/>
      <c r="R364" s="35" t="str">
        <f aca="true">IF(OR($B364="",$Q364=""),"",DATEDIF($Q364,TODAY(),"Y"))</f>
        <v/>
      </c>
      <c r="S364" s="40" t="str">
        <f aca="false">IF($R364="","",INDEX(usia_label,MATCH($R364,usia_min,1)))</f>
        <v/>
      </c>
      <c r="T364" s="36"/>
      <c r="U364" s="41"/>
      <c r="V364" s="36"/>
      <c r="W364" s="36"/>
      <c r="X364" s="40" t="str">
        <f aca="false">IF($M364="","",$M364&amp;"#"&amp;COUNTIF($M$4:$M364,$M364))</f>
        <v/>
      </c>
      <c r="Y364" s="40" t="str">
        <f aca="false">IF($B364="","",IF($C364="","NIK kosong",IF(LEN($C364)&lt;&gt;16,"NIK bukan 16 digit",IF(COUNTIF($C$4:$C$2003,$C364&amp;"*")&gt;1,"NIK ganda",IF(AND($D364&lt;&gt;"",LEN($D364)&lt;&gt;16),"No. KK bukan 16 digit",IF(AND($F364="",$I364=""),"Alamat kosong",IF($N364="","Jabatan kosong",IF($O364="","No. HP kosong",IF(AND($R364&lt;&gt;"",$R364&lt;17),"Usia di bawah 17","")))))))))</f>
        <v/>
      </c>
      <c r="Z364" s="40" t="str">
        <f aca="false">IF($B364="","",IF(AND(OR(CARI!$C$5="",ISNUMBER(SEARCH(CARI!$C$5,$B364&amp;" "&amp;$C364&amp;" "&amp;$D364&amp;" "&amp;$O364&amp;" "&amp;$I364&amp;" "&amp;$F364&amp;" "&amp;$J364&amp;" "&amp;$K364&amp;" "&amp;$L364&amp;" "&amp;$V364))),OR(CARI!$C$6="",$F364=CARI!$C$6),OR(CARI!$C$7="",$G364=CARI!$C$7),OR(CARI!$C$8="",$T364=CARI!$C$8)),MAX($Z$3:Z363)+1,""))</f>
        <v/>
      </c>
      <c r="AA364" s="40" t="str">
        <f aca="false">IF($Y364="","",MAX($AA$3:AA363)+1)</f>
        <v/>
      </c>
      <c r="AB364" s="40" t="str">
        <f aca="false">IF($F364="","",$F364&amp;"#"&amp;COUNTIF($F$4:$F364,$F364))</f>
        <v/>
      </c>
      <c r="AC364" s="40" t="str">
        <f aca="false">IF($B364="","",IF(AND(OR(CETAK!$J$10="",$F364=CETAK!$J$10),OR(CETAK!$J$11="",$G364=CETAK!$J$11),OR(CETAK!$J$12="",$P364=CETAK!$J$12),OR(CETAK!$J$13="",$N364=CETAK!$J$13),OR(CETAK!$J$14="",$T364=CETAK!$J$14)),MAX($AC$3:AC363)+1,""))</f>
        <v/>
      </c>
      <c r="AD364" s="40" t="str">
        <f aca="false">IF($B364="","",IF(AND(OR(ABSENSI!$H$10="",$F364=ABSENSI!$H$10),OR(ABSENSI!$H$11="",$G364=ABSENSI!$H$11),OR(ABSENSI!$H$12="",$P364=ABSENSI!$H$12)),MAX($AD$3:AD363)+1,""))</f>
        <v/>
      </c>
      <c r="AE364" s="40" t="str">
        <f aca="false">IF($B364="","",IF(AND(OR(KARTU!$K$6="",$F364=KARTU!$K$6),OR(KARTU!$K$7="",$G364=KARTU!$K$7),OR(KARTU!$K$8="",$P364=KARTU!$K$8)),MAX($AE$3:AE363)+1,""))</f>
        <v/>
      </c>
    </row>
    <row r="365" customFormat="false" ht="15" hidden="false" customHeight="false" outlineLevel="0" collapsed="false">
      <c r="A365" s="35" t="str">
        <f aca="false">IF($B365="","",COUNTA($B$4:$B365))</f>
        <v/>
      </c>
      <c r="B365" s="36"/>
      <c r="C365" s="37"/>
      <c r="D365" s="37"/>
      <c r="E365" s="38"/>
      <c r="F365" s="36"/>
      <c r="G365" s="39"/>
      <c r="H365" s="39"/>
      <c r="I365" s="36"/>
      <c r="J365" s="36"/>
      <c r="K365" s="36"/>
      <c r="L365" s="36"/>
      <c r="M365" s="40" t="str">
        <f aca="false">IF($F365="","",$F365&amp;IF($G365="",""," - RT "&amp;$G365&amp;IF($H365="","","/"&amp;$H365)))</f>
        <v/>
      </c>
      <c r="N365" s="36"/>
      <c r="O365" s="37"/>
      <c r="P365" s="39"/>
      <c r="Q365" s="41"/>
      <c r="R365" s="35" t="str">
        <f aca="true">IF(OR($B365="",$Q365=""),"",DATEDIF($Q365,TODAY(),"Y"))</f>
        <v/>
      </c>
      <c r="S365" s="40" t="str">
        <f aca="false">IF($R365="","",INDEX(usia_label,MATCH($R365,usia_min,1)))</f>
        <v/>
      </c>
      <c r="T365" s="36"/>
      <c r="U365" s="41"/>
      <c r="V365" s="36"/>
      <c r="W365" s="36"/>
      <c r="X365" s="40" t="str">
        <f aca="false">IF($M365="","",$M365&amp;"#"&amp;COUNTIF($M$4:$M365,$M365))</f>
        <v/>
      </c>
      <c r="Y365" s="40" t="str">
        <f aca="false">IF($B365="","",IF($C365="","NIK kosong",IF(LEN($C365)&lt;&gt;16,"NIK bukan 16 digit",IF(COUNTIF($C$4:$C$2003,$C365&amp;"*")&gt;1,"NIK ganda",IF(AND($D365&lt;&gt;"",LEN($D365)&lt;&gt;16),"No. KK bukan 16 digit",IF(AND($F365="",$I365=""),"Alamat kosong",IF($N365="","Jabatan kosong",IF($O365="","No. HP kosong",IF(AND($R365&lt;&gt;"",$R365&lt;17),"Usia di bawah 17","")))))))))</f>
        <v/>
      </c>
      <c r="Z365" s="40" t="str">
        <f aca="false">IF($B365="","",IF(AND(OR(CARI!$C$5="",ISNUMBER(SEARCH(CARI!$C$5,$B365&amp;" "&amp;$C365&amp;" "&amp;$D365&amp;" "&amp;$O365&amp;" "&amp;$I365&amp;" "&amp;$F365&amp;" "&amp;$J365&amp;" "&amp;$K365&amp;" "&amp;$L365&amp;" "&amp;$V365))),OR(CARI!$C$6="",$F365=CARI!$C$6),OR(CARI!$C$7="",$G365=CARI!$C$7),OR(CARI!$C$8="",$T365=CARI!$C$8)),MAX($Z$3:Z364)+1,""))</f>
        <v/>
      </c>
      <c r="AA365" s="40" t="str">
        <f aca="false">IF($Y365="","",MAX($AA$3:AA364)+1)</f>
        <v/>
      </c>
      <c r="AB365" s="40" t="str">
        <f aca="false">IF($F365="","",$F365&amp;"#"&amp;COUNTIF($F$4:$F365,$F365))</f>
        <v/>
      </c>
      <c r="AC365" s="40" t="str">
        <f aca="false">IF($B365="","",IF(AND(OR(CETAK!$J$10="",$F365=CETAK!$J$10),OR(CETAK!$J$11="",$G365=CETAK!$J$11),OR(CETAK!$J$12="",$P365=CETAK!$J$12),OR(CETAK!$J$13="",$N365=CETAK!$J$13),OR(CETAK!$J$14="",$T365=CETAK!$J$14)),MAX($AC$3:AC364)+1,""))</f>
        <v/>
      </c>
      <c r="AD365" s="40" t="str">
        <f aca="false">IF($B365="","",IF(AND(OR(ABSENSI!$H$10="",$F365=ABSENSI!$H$10),OR(ABSENSI!$H$11="",$G365=ABSENSI!$H$11),OR(ABSENSI!$H$12="",$P365=ABSENSI!$H$12)),MAX($AD$3:AD364)+1,""))</f>
        <v/>
      </c>
      <c r="AE365" s="40" t="str">
        <f aca="false">IF($B365="","",IF(AND(OR(KARTU!$K$6="",$F365=KARTU!$K$6),OR(KARTU!$K$7="",$G365=KARTU!$K$7),OR(KARTU!$K$8="",$P365=KARTU!$K$8)),MAX($AE$3:AE364)+1,""))</f>
        <v/>
      </c>
    </row>
    <row r="366" customFormat="false" ht="15" hidden="false" customHeight="false" outlineLevel="0" collapsed="false">
      <c r="A366" s="35" t="str">
        <f aca="false">IF($B366="","",COUNTA($B$4:$B366))</f>
        <v/>
      </c>
      <c r="B366" s="36"/>
      <c r="C366" s="37"/>
      <c r="D366" s="37"/>
      <c r="E366" s="38"/>
      <c r="F366" s="36"/>
      <c r="G366" s="39"/>
      <c r="H366" s="39"/>
      <c r="I366" s="36"/>
      <c r="J366" s="36"/>
      <c r="K366" s="36"/>
      <c r="L366" s="36"/>
      <c r="M366" s="40" t="str">
        <f aca="false">IF($F366="","",$F366&amp;IF($G366="",""," - RT "&amp;$G366&amp;IF($H366="","","/"&amp;$H366)))</f>
        <v/>
      </c>
      <c r="N366" s="36"/>
      <c r="O366" s="37"/>
      <c r="P366" s="39"/>
      <c r="Q366" s="41"/>
      <c r="R366" s="35" t="str">
        <f aca="true">IF(OR($B366="",$Q366=""),"",DATEDIF($Q366,TODAY(),"Y"))</f>
        <v/>
      </c>
      <c r="S366" s="40" t="str">
        <f aca="false">IF($R366="","",INDEX(usia_label,MATCH($R366,usia_min,1)))</f>
        <v/>
      </c>
      <c r="T366" s="36"/>
      <c r="U366" s="41"/>
      <c r="V366" s="36"/>
      <c r="W366" s="36"/>
      <c r="X366" s="40" t="str">
        <f aca="false">IF($M366="","",$M366&amp;"#"&amp;COUNTIF($M$4:$M366,$M366))</f>
        <v/>
      </c>
      <c r="Y366" s="40" t="str">
        <f aca="false">IF($B366="","",IF($C366="","NIK kosong",IF(LEN($C366)&lt;&gt;16,"NIK bukan 16 digit",IF(COUNTIF($C$4:$C$2003,$C366&amp;"*")&gt;1,"NIK ganda",IF(AND($D366&lt;&gt;"",LEN($D366)&lt;&gt;16),"No. KK bukan 16 digit",IF(AND($F366="",$I366=""),"Alamat kosong",IF($N366="","Jabatan kosong",IF($O366="","No. HP kosong",IF(AND($R366&lt;&gt;"",$R366&lt;17),"Usia di bawah 17","")))))))))</f>
        <v/>
      </c>
      <c r="Z366" s="40" t="str">
        <f aca="false">IF($B366="","",IF(AND(OR(CARI!$C$5="",ISNUMBER(SEARCH(CARI!$C$5,$B366&amp;" "&amp;$C366&amp;" "&amp;$D366&amp;" "&amp;$O366&amp;" "&amp;$I366&amp;" "&amp;$F366&amp;" "&amp;$J366&amp;" "&amp;$K366&amp;" "&amp;$L366&amp;" "&amp;$V366))),OR(CARI!$C$6="",$F366=CARI!$C$6),OR(CARI!$C$7="",$G366=CARI!$C$7),OR(CARI!$C$8="",$T366=CARI!$C$8)),MAX($Z$3:Z365)+1,""))</f>
        <v/>
      </c>
      <c r="AA366" s="40" t="str">
        <f aca="false">IF($Y366="","",MAX($AA$3:AA365)+1)</f>
        <v/>
      </c>
      <c r="AB366" s="40" t="str">
        <f aca="false">IF($F366="","",$F366&amp;"#"&amp;COUNTIF($F$4:$F366,$F366))</f>
        <v/>
      </c>
      <c r="AC366" s="40" t="str">
        <f aca="false">IF($B366="","",IF(AND(OR(CETAK!$J$10="",$F366=CETAK!$J$10),OR(CETAK!$J$11="",$G366=CETAK!$J$11),OR(CETAK!$J$12="",$P366=CETAK!$J$12),OR(CETAK!$J$13="",$N366=CETAK!$J$13),OR(CETAK!$J$14="",$T366=CETAK!$J$14)),MAX($AC$3:AC365)+1,""))</f>
        <v/>
      </c>
      <c r="AD366" s="40" t="str">
        <f aca="false">IF($B366="","",IF(AND(OR(ABSENSI!$H$10="",$F366=ABSENSI!$H$10),OR(ABSENSI!$H$11="",$G366=ABSENSI!$H$11),OR(ABSENSI!$H$12="",$P366=ABSENSI!$H$12)),MAX($AD$3:AD365)+1,""))</f>
        <v/>
      </c>
      <c r="AE366" s="40" t="str">
        <f aca="false">IF($B366="","",IF(AND(OR(KARTU!$K$6="",$F366=KARTU!$K$6),OR(KARTU!$K$7="",$G366=KARTU!$K$7),OR(KARTU!$K$8="",$P366=KARTU!$K$8)),MAX($AE$3:AE365)+1,""))</f>
        <v/>
      </c>
    </row>
    <row r="367" customFormat="false" ht="15" hidden="false" customHeight="false" outlineLevel="0" collapsed="false">
      <c r="A367" s="35" t="str">
        <f aca="false">IF($B367="","",COUNTA($B$4:$B367))</f>
        <v/>
      </c>
      <c r="B367" s="36"/>
      <c r="C367" s="37"/>
      <c r="D367" s="37"/>
      <c r="E367" s="38"/>
      <c r="F367" s="36"/>
      <c r="G367" s="39"/>
      <c r="H367" s="39"/>
      <c r="I367" s="36"/>
      <c r="J367" s="36"/>
      <c r="K367" s="36"/>
      <c r="L367" s="36"/>
      <c r="M367" s="40" t="str">
        <f aca="false">IF($F367="","",$F367&amp;IF($G367="",""," - RT "&amp;$G367&amp;IF($H367="","","/"&amp;$H367)))</f>
        <v/>
      </c>
      <c r="N367" s="36"/>
      <c r="O367" s="37"/>
      <c r="P367" s="39"/>
      <c r="Q367" s="41"/>
      <c r="R367" s="35" t="str">
        <f aca="true">IF(OR($B367="",$Q367=""),"",DATEDIF($Q367,TODAY(),"Y"))</f>
        <v/>
      </c>
      <c r="S367" s="40" t="str">
        <f aca="false">IF($R367="","",INDEX(usia_label,MATCH($R367,usia_min,1)))</f>
        <v/>
      </c>
      <c r="T367" s="36"/>
      <c r="U367" s="41"/>
      <c r="V367" s="36"/>
      <c r="W367" s="36"/>
      <c r="X367" s="40" t="str">
        <f aca="false">IF($M367="","",$M367&amp;"#"&amp;COUNTIF($M$4:$M367,$M367))</f>
        <v/>
      </c>
      <c r="Y367" s="40" t="str">
        <f aca="false">IF($B367="","",IF($C367="","NIK kosong",IF(LEN($C367)&lt;&gt;16,"NIK bukan 16 digit",IF(COUNTIF($C$4:$C$2003,$C367&amp;"*")&gt;1,"NIK ganda",IF(AND($D367&lt;&gt;"",LEN($D367)&lt;&gt;16),"No. KK bukan 16 digit",IF(AND($F367="",$I367=""),"Alamat kosong",IF($N367="","Jabatan kosong",IF($O367="","No. HP kosong",IF(AND($R367&lt;&gt;"",$R367&lt;17),"Usia di bawah 17","")))))))))</f>
        <v/>
      </c>
      <c r="Z367" s="40" t="str">
        <f aca="false">IF($B367="","",IF(AND(OR(CARI!$C$5="",ISNUMBER(SEARCH(CARI!$C$5,$B367&amp;" "&amp;$C367&amp;" "&amp;$D367&amp;" "&amp;$O367&amp;" "&amp;$I367&amp;" "&amp;$F367&amp;" "&amp;$J367&amp;" "&amp;$K367&amp;" "&amp;$L367&amp;" "&amp;$V367))),OR(CARI!$C$6="",$F367=CARI!$C$6),OR(CARI!$C$7="",$G367=CARI!$C$7),OR(CARI!$C$8="",$T367=CARI!$C$8)),MAX($Z$3:Z366)+1,""))</f>
        <v/>
      </c>
      <c r="AA367" s="40" t="str">
        <f aca="false">IF($Y367="","",MAX($AA$3:AA366)+1)</f>
        <v/>
      </c>
      <c r="AB367" s="40" t="str">
        <f aca="false">IF($F367="","",$F367&amp;"#"&amp;COUNTIF($F$4:$F367,$F367))</f>
        <v/>
      </c>
      <c r="AC367" s="40" t="str">
        <f aca="false">IF($B367="","",IF(AND(OR(CETAK!$J$10="",$F367=CETAK!$J$10),OR(CETAK!$J$11="",$G367=CETAK!$J$11),OR(CETAK!$J$12="",$P367=CETAK!$J$12),OR(CETAK!$J$13="",$N367=CETAK!$J$13),OR(CETAK!$J$14="",$T367=CETAK!$J$14)),MAX($AC$3:AC366)+1,""))</f>
        <v/>
      </c>
      <c r="AD367" s="40" t="str">
        <f aca="false">IF($B367="","",IF(AND(OR(ABSENSI!$H$10="",$F367=ABSENSI!$H$10),OR(ABSENSI!$H$11="",$G367=ABSENSI!$H$11),OR(ABSENSI!$H$12="",$P367=ABSENSI!$H$12)),MAX($AD$3:AD366)+1,""))</f>
        <v/>
      </c>
      <c r="AE367" s="40" t="str">
        <f aca="false">IF($B367="","",IF(AND(OR(KARTU!$K$6="",$F367=KARTU!$K$6),OR(KARTU!$K$7="",$G367=KARTU!$K$7),OR(KARTU!$K$8="",$P367=KARTU!$K$8)),MAX($AE$3:AE366)+1,""))</f>
        <v/>
      </c>
    </row>
    <row r="368" customFormat="false" ht="15" hidden="false" customHeight="false" outlineLevel="0" collapsed="false">
      <c r="A368" s="35" t="str">
        <f aca="false">IF($B368="","",COUNTA($B$4:$B368))</f>
        <v/>
      </c>
      <c r="B368" s="36"/>
      <c r="C368" s="37"/>
      <c r="D368" s="37"/>
      <c r="E368" s="38"/>
      <c r="F368" s="36"/>
      <c r="G368" s="39"/>
      <c r="H368" s="39"/>
      <c r="I368" s="36"/>
      <c r="J368" s="36"/>
      <c r="K368" s="36"/>
      <c r="L368" s="36"/>
      <c r="M368" s="40" t="str">
        <f aca="false">IF($F368="","",$F368&amp;IF($G368="",""," - RT "&amp;$G368&amp;IF($H368="","","/"&amp;$H368)))</f>
        <v/>
      </c>
      <c r="N368" s="36"/>
      <c r="O368" s="37"/>
      <c r="P368" s="39"/>
      <c r="Q368" s="41"/>
      <c r="R368" s="35" t="str">
        <f aca="true">IF(OR($B368="",$Q368=""),"",DATEDIF($Q368,TODAY(),"Y"))</f>
        <v/>
      </c>
      <c r="S368" s="40" t="str">
        <f aca="false">IF($R368="","",INDEX(usia_label,MATCH($R368,usia_min,1)))</f>
        <v/>
      </c>
      <c r="T368" s="36"/>
      <c r="U368" s="41"/>
      <c r="V368" s="36"/>
      <c r="W368" s="36"/>
      <c r="X368" s="40" t="str">
        <f aca="false">IF($M368="","",$M368&amp;"#"&amp;COUNTIF($M$4:$M368,$M368))</f>
        <v/>
      </c>
      <c r="Y368" s="40" t="str">
        <f aca="false">IF($B368="","",IF($C368="","NIK kosong",IF(LEN($C368)&lt;&gt;16,"NIK bukan 16 digit",IF(COUNTIF($C$4:$C$2003,$C368&amp;"*")&gt;1,"NIK ganda",IF(AND($D368&lt;&gt;"",LEN($D368)&lt;&gt;16),"No. KK bukan 16 digit",IF(AND($F368="",$I368=""),"Alamat kosong",IF($N368="","Jabatan kosong",IF($O368="","No. HP kosong",IF(AND($R368&lt;&gt;"",$R368&lt;17),"Usia di bawah 17","")))))))))</f>
        <v/>
      </c>
      <c r="Z368" s="40" t="str">
        <f aca="false">IF($B368="","",IF(AND(OR(CARI!$C$5="",ISNUMBER(SEARCH(CARI!$C$5,$B368&amp;" "&amp;$C368&amp;" "&amp;$D368&amp;" "&amp;$O368&amp;" "&amp;$I368&amp;" "&amp;$F368&amp;" "&amp;$J368&amp;" "&amp;$K368&amp;" "&amp;$L368&amp;" "&amp;$V368))),OR(CARI!$C$6="",$F368=CARI!$C$6),OR(CARI!$C$7="",$G368=CARI!$C$7),OR(CARI!$C$8="",$T368=CARI!$C$8)),MAX($Z$3:Z367)+1,""))</f>
        <v/>
      </c>
      <c r="AA368" s="40" t="str">
        <f aca="false">IF($Y368="","",MAX($AA$3:AA367)+1)</f>
        <v/>
      </c>
      <c r="AB368" s="40" t="str">
        <f aca="false">IF($F368="","",$F368&amp;"#"&amp;COUNTIF($F$4:$F368,$F368))</f>
        <v/>
      </c>
      <c r="AC368" s="40" t="str">
        <f aca="false">IF($B368="","",IF(AND(OR(CETAK!$J$10="",$F368=CETAK!$J$10),OR(CETAK!$J$11="",$G368=CETAK!$J$11),OR(CETAK!$J$12="",$P368=CETAK!$J$12),OR(CETAK!$J$13="",$N368=CETAK!$J$13),OR(CETAK!$J$14="",$T368=CETAK!$J$14)),MAX($AC$3:AC367)+1,""))</f>
        <v/>
      </c>
      <c r="AD368" s="40" t="str">
        <f aca="false">IF($B368="","",IF(AND(OR(ABSENSI!$H$10="",$F368=ABSENSI!$H$10),OR(ABSENSI!$H$11="",$G368=ABSENSI!$H$11),OR(ABSENSI!$H$12="",$P368=ABSENSI!$H$12)),MAX($AD$3:AD367)+1,""))</f>
        <v/>
      </c>
      <c r="AE368" s="40" t="str">
        <f aca="false">IF($B368="","",IF(AND(OR(KARTU!$K$6="",$F368=KARTU!$K$6),OR(KARTU!$K$7="",$G368=KARTU!$K$7),OR(KARTU!$K$8="",$P368=KARTU!$K$8)),MAX($AE$3:AE367)+1,""))</f>
        <v/>
      </c>
    </row>
    <row r="369" customFormat="false" ht="15" hidden="false" customHeight="false" outlineLevel="0" collapsed="false">
      <c r="A369" s="35" t="str">
        <f aca="false">IF($B369="","",COUNTA($B$4:$B369))</f>
        <v/>
      </c>
      <c r="B369" s="36"/>
      <c r="C369" s="37"/>
      <c r="D369" s="37"/>
      <c r="E369" s="38"/>
      <c r="F369" s="36"/>
      <c r="G369" s="39"/>
      <c r="H369" s="39"/>
      <c r="I369" s="36"/>
      <c r="J369" s="36"/>
      <c r="K369" s="36"/>
      <c r="L369" s="36"/>
      <c r="M369" s="40" t="str">
        <f aca="false">IF($F369="","",$F369&amp;IF($G369="",""," - RT "&amp;$G369&amp;IF($H369="","","/"&amp;$H369)))</f>
        <v/>
      </c>
      <c r="N369" s="36"/>
      <c r="O369" s="37"/>
      <c r="P369" s="39"/>
      <c r="Q369" s="41"/>
      <c r="R369" s="35" t="str">
        <f aca="true">IF(OR($B369="",$Q369=""),"",DATEDIF($Q369,TODAY(),"Y"))</f>
        <v/>
      </c>
      <c r="S369" s="40" t="str">
        <f aca="false">IF($R369="","",INDEX(usia_label,MATCH($R369,usia_min,1)))</f>
        <v/>
      </c>
      <c r="T369" s="36"/>
      <c r="U369" s="41"/>
      <c r="V369" s="36"/>
      <c r="W369" s="36"/>
      <c r="X369" s="40" t="str">
        <f aca="false">IF($M369="","",$M369&amp;"#"&amp;COUNTIF($M$4:$M369,$M369))</f>
        <v/>
      </c>
      <c r="Y369" s="40" t="str">
        <f aca="false">IF($B369="","",IF($C369="","NIK kosong",IF(LEN($C369)&lt;&gt;16,"NIK bukan 16 digit",IF(COUNTIF($C$4:$C$2003,$C369&amp;"*")&gt;1,"NIK ganda",IF(AND($D369&lt;&gt;"",LEN($D369)&lt;&gt;16),"No. KK bukan 16 digit",IF(AND($F369="",$I369=""),"Alamat kosong",IF($N369="","Jabatan kosong",IF($O369="","No. HP kosong",IF(AND($R369&lt;&gt;"",$R369&lt;17),"Usia di bawah 17","")))))))))</f>
        <v/>
      </c>
      <c r="Z369" s="40" t="str">
        <f aca="false">IF($B369="","",IF(AND(OR(CARI!$C$5="",ISNUMBER(SEARCH(CARI!$C$5,$B369&amp;" "&amp;$C369&amp;" "&amp;$D369&amp;" "&amp;$O369&amp;" "&amp;$I369&amp;" "&amp;$F369&amp;" "&amp;$J369&amp;" "&amp;$K369&amp;" "&amp;$L369&amp;" "&amp;$V369))),OR(CARI!$C$6="",$F369=CARI!$C$6),OR(CARI!$C$7="",$G369=CARI!$C$7),OR(CARI!$C$8="",$T369=CARI!$C$8)),MAX($Z$3:Z368)+1,""))</f>
        <v/>
      </c>
      <c r="AA369" s="40" t="str">
        <f aca="false">IF($Y369="","",MAX($AA$3:AA368)+1)</f>
        <v/>
      </c>
      <c r="AB369" s="40" t="str">
        <f aca="false">IF($F369="","",$F369&amp;"#"&amp;COUNTIF($F$4:$F369,$F369))</f>
        <v/>
      </c>
      <c r="AC369" s="40" t="str">
        <f aca="false">IF($B369="","",IF(AND(OR(CETAK!$J$10="",$F369=CETAK!$J$10),OR(CETAK!$J$11="",$G369=CETAK!$J$11),OR(CETAK!$J$12="",$P369=CETAK!$J$12),OR(CETAK!$J$13="",$N369=CETAK!$J$13),OR(CETAK!$J$14="",$T369=CETAK!$J$14)),MAX($AC$3:AC368)+1,""))</f>
        <v/>
      </c>
      <c r="AD369" s="40" t="str">
        <f aca="false">IF($B369="","",IF(AND(OR(ABSENSI!$H$10="",$F369=ABSENSI!$H$10),OR(ABSENSI!$H$11="",$G369=ABSENSI!$H$11),OR(ABSENSI!$H$12="",$P369=ABSENSI!$H$12)),MAX($AD$3:AD368)+1,""))</f>
        <v/>
      </c>
      <c r="AE369" s="40" t="str">
        <f aca="false">IF($B369="","",IF(AND(OR(KARTU!$K$6="",$F369=KARTU!$K$6),OR(KARTU!$K$7="",$G369=KARTU!$K$7),OR(KARTU!$K$8="",$P369=KARTU!$K$8)),MAX($AE$3:AE368)+1,""))</f>
        <v/>
      </c>
    </row>
    <row r="370" customFormat="false" ht="15" hidden="false" customHeight="false" outlineLevel="0" collapsed="false">
      <c r="A370" s="35" t="str">
        <f aca="false">IF($B370="","",COUNTA($B$4:$B370))</f>
        <v/>
      </c>
      <c r="B370" s="36"/>
      <c r="C370" s="37"/>
      <c r="D370" s="37"/>
      <c r="E370" s="38"/>
      <c r="F370" s="36"/>
      <c r="G370" s="39"/>
      <c r="H370" s="39"/>
      <c r="I370" s="36"/>
      <c r="J370" s="36"/>
      <c r="K370" s="36"/>
      <c r="L370" s="36"/>
      <c r="M370" s="40" t="str">
        <f aca="false">IF($F370="","",$F370&amp;IF($G370="",""," - RT "&amp;$G370&amp;IF($H370="","","/"&amp;$H370)))</f>
        <v/>
      </c>
      <c r="N370" s="36"/>
      <c r="O370" s="37"/>
      <c r="P370" s="39"/>
      <c r="Q370" s="41"/>
      <c r="R370" s="35" t="str">
        <f aca="true">IF(OR($B370="",$Q370=""),"",DATEDIF($Q370,TODAY(),"Y"))</f>
        <v/>
      </c>
      <c r="S370" s="40" t="str">
        <f aca="false">IF($R370="","",INDEX(usia_label,MATCH($R370,usia_min,1)))</f>
        <v/>
      </c>
      <c r="T370" s="36"/>
      <c r="U370" s="41"/>
      <c r="V370" s="36"/>
      <c r="W370" s="36"/>
      <c r="X370" s="40" t="str">
        <f aca="false">IF($M370="","",$M370&amp;"#"&amp;COUNTIF($M$4:$M370,$M370))</f>
        <v/>
      </c>
      <c r="Y370" s="40" t="str">
        <f aca="false">IF($B370="","",IF($C370="","NIK kosong",IF(LEN($C370)&lt;&gt;16,"NIK bukan 16 digit",IF(COUNTIF($C$4:$C$2003,$C370&amp;"*")&gt;1,"NIK ganda",IF(AND($D370&lt;&gt;"",LEN($D370)&lt;&gt;16),"No. KK bukan 16 digit",IF(AND($F370="",$I370=""),"Alamat kosong",IF($N370="","Jabatan kosong",IF($O370="","No. HP kosong",IF(AND($R370&lt;&gt;"",$R370&lt;17),"Usia di bawah 17","")))))))))</f>
        <v/>
      </c>
      <c r="Z370" s="40" t="str">
        <f aca="false">IF($B370="","",IF(AND(OR(CARI!$C$5="",ISNUMBER(SEARCH(CARI!$C$5,$B370&amp;" "&amp;$C370&amp;" "&amp;$D370&amp;" "&amp;$O370&amp;" "&amp;$I370&amp;" "&amp;$F370&amp;" "&amp;$J370&amp;" "&amp;$K370&amp;" "&amp;$L370&amp;" "&amp;$V370))),OR(CARI!$C$6="",$F370=CARI!$C$6),OR(CARI!$C$7="",$G370=CARI!$C$7),OR(CARI!$C$8="",$T370=CARI!$C$8)),MAX($Z$3:Z369)+1,""))</f>
        <v/>
      </c>
      <c r="AA370" s="40" t="str">
        <f aca="false">IF($Y370="","",MAX($AA$3:AA369)+1)</f>
        <v/>
      </c>
      <c r="AB370" s="40" t="str">
        <f aca="false">IF($F370="","",$F370&amp;"#"&amp;COUNTIF($F$4:$F370,$F370))</f>
        <v/>
      </c>
      <c r="AC370" s="40" t="str">
        <f aca="false">IF($B370="","",IF(AND(OR(CETAK!$J$10="",$F370=CETAK!$J$10),OR(CETAK!$J$11="",$G370=CETAK!$J$11),OR(CETAK!$J$12="",$P370=CETAK!$J$12),OR(CETAK!$J$13="",$N370=CETAK!$J$13),OR(CETAK!$J$14="",$T370=CETAK!$J$14)),MAX($AC$3:AC369)+1,""))</f>
        <v/>
      </c>
      <c r="AD370" s="40" t="str">
        <f aca="false">IF($B370="","",IF(AND(OR(ABSENSI!$H$10="",$F370=ABSENSI!$H$10),OR(ABSENSI!$H$11="",$G370=ABSENSI!$H$11),OR(ABSENSI!$H$12="",$P370=ABSENSI!$H$12)),MAX($AD$3:AD369)+1,""))</f>
        <v/>
      </c>
      <c r="AE370" s="40" t="str">
        <f aca="false">IF($B370="","",IF(AND(OR(KARTU!$K$6="",$F370=KARTU!$K$6),OR(KARTU!$K$7="",$G370=KARTU!$K$7),OR(KARTU!$K$8="",$P370=KARTU!$K$8)),MAX($AE$3:AE369)+1,""))</f>
        <v/>
      </c>
    </row>
    <row r="371" customFormat="false" ht="15" hidden="false" customHeight="false" outlineLevel="0" collapsed="false">
      <c r="A371" s="35" t="str">
        <f aca="false">IF($B371="","",COUNTA($B$4:$B371))</f>
        <v/>
      </c>
      <c r="B371" s="36"/>
      <c r="C371" s="37"/>
      <c r="D371" s="37"/>
      <c r="E371" s="38"/>
      <c r="F371" s="36"/>
      <c r="G371" s="39"/>
      <c r="H371" s="39"/>
      <c r="I371" s="36"/>
      <c r="J371" s="36"/>
      <c r="K371" s="36"/>
      <c r="L371" s="36"/>
      <c r="M371" s="40" t="str">
        <f aca="false">IF($F371="","",$F371&amp;IF($G371="",""," - RT "&amp;$G371&amp;IF($H371="","","/"&amp;$H371)))</f>
        <v/>
      </c>
      <c r="N371" s="36"/>
      <c r="O371" s="37"/>
      <c r="P371" s="39"/>
      <c r="Q371" s="41"/>
      <c r="R371" s="35" t="str">
        <f aca="true">IF(OR($B371="",$Q371=""),"",DATEDIF($Q371,TODAY(),"Y"))</f>
        <v/>
      </c>
      <c r="S371" s="40" t="str">
        <f aca="false">IF($R371="","",INDEX(usia_label,MATCH($R371,usia_min,1)))</f>
        <v/>
      </c>
      <c r="T371" s="36"/>
      <c r="U371" s="41"/>
      <c r="V371" s="36"/>
      <c r="W371" s="36"/>
      <c r="X371" s="40" t="str">
        <f aca="false">IF($M371="","",$M371&amp;"#"&amp;COUNTIF($M$4:$M371,$M371))</f>
        <v/>
      </c>
      <c r="Y371" s="40" t="str">
        <f aca="false">IF($B371="","",IF($C371="","NIK kosong",IF(LEN($C371)&lt;&gt;16,"NIK bukan 16 digit",IF(COUNTIF($C$4:$C$2003,$C371&amp;"*")&gt;1,"NIK ganda",IF(AND($D371&lt;&gt;"",LEN($D371)&lt;&gt;16),"No. KK bukan 16 digit",IF(AND($F371="",$I371=""),"Alamat kosong",IF($N371="","Jabatan kosong",IF($O371="","No. HP kosong",IF(AND($R371&lt;&gt;"",$R371&lt;17),"Usia di bawah 17","")))))))))</f>
        <v/>
      </c>
      <c r="Z371" s="40" t="str">
        <f aca="false">IF($B371="","",IF(AND(OR(CARI!$C$5="",ISNUMBER(SEARCH(CARI!$C$5,$B371&amp;" "&amp;$C371&amp;" "&amp;$D371&amp;" "&amp;$O371&amp;" "&amp;$I371&amp;" "&amp;$F371&amp;" "&amp;$J371&amp;" "&amp;$K371&amp;" "&amp;$L371&amp;" "&amp;$V371))),OR(CARI!$C$6="",$F371=CARI!$C$6),OR(CARI!$C$7="",$G371=CARI!$C$7),OR(CARI!$C$8="",$T371=CARI!$C$8)),MAX($Z$3:Z370)+1,""))</f>
        <v/>
      </c>
      <c r="AA371" s="40" t="str">
        <f aca="false">IF($Y371="","",MAX($AA$3:AA370)+1)</f>
        <v/>
      </c>
      <c r="AB371" s="40" t="str">
        <f aca="false">IF($F371="","",$F371&amp;"#"&amp;COUNTIF($F$4:$F371,$F371))</f>
        <v/>
      </c>
      <c r="AC371" s="40" t="str">
        <f aca="false">IF($B371="","",IF(AND(OR(CETAK!$J$10="",$F371=CETAK!$J$10),OR(CETAK!$J$11="",$G371=CETAK!$J$11),OR(CETAK!$J$12="",$P371=CETAK!$J$12),OR(CETAK!$J$13="",$N371=CETAK!$J$13),OR(CETAK!$J$14="",$T371=CETAK!$J$14)),MAX($AC$3:AC370)+1,""))</f>
        <v/>
      </c>
      <c r="AD371" s="40" t="str">
        <f aca="false">IF($B371="","",IF(AND(OR(ABSENSI!$H$10="",$F371=ABSENSI!$H$10),OR(ABSENSI!$H$11="",$G371=ABSENSI!$H$11),OR(ABSENSI!$H$12="",$P371=ABSENSI!$H$12)),MAX($AD$3:AD370)+1,""))</f>
        <v/>
      </c>
      <c r="AE371" s="40" t="str">
        <f aca="false">IF($B371="","",IF(AND(OR(KARTU!$K$6="",$F371=KARTU!$K$6),OR(KARTU!$K$7="",$G371=KARTU!$K$7),OR(KARTU!$K$8="",$P371=KARTU!$K$8)),MAX($AE$3:AE370)+1,""))</f>
        <v/>
      </c>
    </row>
    <row r="372" customFormat="false" ht="15" hidden="false" customHeight="false" outlineLevel="0" collapsed="false">
      <c r="A372" s="35" t="str">
        <f aca="false">IF($B372="","",COUNTA($B$4:$B372))</f>
        <v/>
      </c>
      <c r="B372" s="36"/>
      <c r="C372" s="37"/>
      <c r="D372" s="37"/>
      <c r="E372" s="38"/>
      <c r="F372" s="36"/>
      <c r="G372" s="39"/>
      <c r="H372" s="39"/>
      <c r="I372" s="36"/>
      <c r="J372" s="36"/>
      <c r="K372" s="36"/>
      <c r="L372" s="36"/>
      <c r="M372" s="40" t="str">
        <f aca="false">IF($F372="","",$F372&amp;IF($G372="",""," - RT "&amp;$G372&amp;IF($H372="","","/"&amp;$H372)))</f>
        <v/>
      </c>
      <c r="N372" s="36"/>
      <c r="O372" s="37"/>
      <c r="P372" s="39"/>
      <c r="Q372" s="41"/>
      <c r="R372" s="35" t="str">
        <f aca="true">IF(OR($B372="",$Q372=""),"",DATEDIF($Q372,TODAY(),"Y"))</f>
        <v/>
      </c>
      <c r="S372" s="40" t="str">
        <f aca="false">IF($R372="","",INDEX(usia_label,MATCH($R372,usia_min,1)))</f>
        <v/>
      </c>
      <c r="T372" s="36"/>
      <c r="U372" s="41"/>
      <c r="V372" s="36"/>
      <c r="W372" s="36"/>
      <c r="X372" s="40" t="str">
        <f aca="false">IF($M372="","",$M372&amp;"#"&amp;COUNTIF($M$4:$M372,$M372))</f>
        <v/>
      </c>
      <c r="Y372" s="40" t="str">
        <f aca="false">IF($B372="","",IF($C372="","NIK kosong",IF(LEN($C372)&lt;&gt;16,"NIK bukan 16 digit",IF(COUNTIF($C$4:$C$2003,$C372&amp;"*")&gt;1,"NIK ganda",IF(AND($D372&lt;&gt;"",LEN($D372)&lt;&gt;16),"No. KK bukan 16 digit",IF(AND($F372="",$I372=""),"Alamat kosong",IF($N372="","Jabatan kosong",IF($O372="","No. HP kosong",IF(AND($R372&lt;&gt;"",$R372&lt;17),"Usia di bawah 17","")))))))))</f>
        <v/>
      </c>
      <c r="Z372" s="40" t="str">
        <f aca="false">IF($B372="","",IF(AND(OR(CARI!$C$5="",ISNUMBER(SEARCH(CARI!$C$5,$B372&amp;" "&amp;$C372&amp;" "&amp;$D372&amp;" "&amp;$O372&amp;" "&amp;$I372&amp;" "&amp;$F372&amp;" "&amp;$J372&amp;" "&amp;$K372&amp;" "&amp;$L372&amp;" "&amp;$V372))),OR(CARI!$C$6="",$F372=CARI!$C$6),OR(CARI!$C$7="",$G372=CARI!$C$7),OR(CARI!$C$8="",$T372=CARI!$C$8)),MAX($Z$3:Z371)+1,""))</f>
        <v/>
      </c>
      <c r="AA372" s="40" t="str">
        <f aca="false">IF($Y372="","",MAX($AA$3:AA371)+1)</f>
        <v/>
      </c>
      <c r="AB372" s="40" t="str">
        <f aca="false">IF($F372="","",$F372&amp;"#"&amp;COUNTIF($F$4:$F372,$F372))</f>
        <v/>
      </c>
      <c r="AC372" s="40" t="str">
        <f aca="false">IF($B372="","",IF(AND(OR(CETAK!$J$10="",$F372=CETAK!$J$10),OR(CETAK!$J$11="",$G372=CETAK!$J$11),OR(CETAK!$J$12="",$P372=CETAK!$J$12),OR(CETAK!$J$13="",$N372=CETAK!$J$13),OR(CETAK!$J$14="",$T372=CETAK!$J$14)),MAX($AC$3:AC371)+1,""))</f>
        <v/>
      </c>
      <c r="AD372" s="40" t="str">
        <f aca="false">IF($B372="","",IF(AND(OR(ABSENSI!$H$10="",$F372=ABSENSI!$H$10),OR(ABSENSI!$H$11="",$G372=ABSENSI!$H$11),OR(ABSENSI!$H$12="",$P372=ABSENSI!$H$12)),MAX($AD$3:AD371)+1,""))</f>
        <v/>
      </c>
      <c r="AE372" s="40" t="str">
        <f aca="false">IF($B372="","",IF(AND(OR(KARTU!$K$6="",$F372=KARTU!$K$6),OR(KARTU!$K$7="",$G372=KARTU!$K$7),OR(KARTU!$K$8="",$P372=KARTU!$K$8)),MAX($AE$3:AE371)+1,""))</f>
        <v/>
      </c>
    </row>
    <row r="373" customFormat="false" ht="15" hidden="false" customHeight="false" outlineLevel="0" collapsed="false">
      <c r="A373" s="35" t="str">
        <f aca="false">IF($B373="","",COUNTA($B$4:$B373))</f>
        <v/>
      </c>
      <c r="B373" s="36"/>
      <c r="C373" s="37"/>
      <c r="D373" s="37"/>
      <c r="E373" s="38"/>
      <c r="F373" s="36"/>
      <c r="G373" s="39"/>
      <c r="H373" s="39"/>
      <c r="I373" s="36"/>
      <c r="J373" s="36"/>
      <c r="K373" s="36"/>
      <c r="L373" s="36"/>
      <c r="M373" s="40" t="str">
        <f aca="false">IF($F373="","",$F373&amp;IF($G373="",""," - RT "&amp;$G373&amp;IF($H373="","","/"&amp;$H373)))</f>
        <v/>
      </c>
      <c r="N373" s="36"/>
      <c r="O373" s="37"/>
      <c r="P373" s="39"/>
      <c r="Q373" s="41"/>
      <c r="R373" s="35" t="str">
        <f aca="true">IF(OR($B373="",$Q373=""),"",DATEDIF($Q373,TODAY(),"Y"))</f>
        <v/>
      </c>
      <c r="S373" s="40" t="str">
        <f aca="false">IF($R373="","",INDEX(usia_label,MATCH($R373,usia_min,1)))</f>
        <v/>
      </c>
      <c r="T373" s="36"/>
      <c r="U373" s="41"/>
      <c r="V373" s="36"/>
      <c r="W373" s="36"/>
      <c r="X373" s="40" t="str">
        <f aca="false">IF($M373="","",$M373&amp;"#"&amp;COUNTIF($M$4:$M373,$M373))</f>
        <v/>
      </c>
      <c r="Y373" s="40" t="str">
        <f aca="false">IF($B373="","",IF($C373="","NIK kosong",IF(LEN($C373)&lt;&gt;16,"NIK bukan 16 digit",IF(COUNTIF($C$4:$C$2003,$C373&amp;"*")&gt;1,"NIK ganda",IF(AND($D373&lt;&gt;"",LEN($D373)&lt;&gt;16),"No. KK bukan 16 digit",IF(AND($F373="",$I373=""),"Alamat kosong",IF($N373="","Jabatan kosong",IF($O373="","No. HP kosong",IF(AND($R373&lt;&gt;"",$R373&lt;17),"Usia di bawah 17","")))))))))</f>
        <v/>
      </c>
      <c r="Z373" s="40" t="str">
        <f aca="false">IF($B373="","",IF(AND(OR(CARI!$C$5="",ISNUMBER(SEARCH(CARI!$C$5,$B373&amp;" "&amp;$C373&amp;" "&amp;$D373&amp;" "&amp;$O373&amp;" "&amp;$I373&amp;" "&amp;$F373&amp;" "&amp;$J373&amp;" "&amp;$K373&amp;" "&amp;$L373&amp;" "&amp;$V373))),OR(CARI!$C$6="",$F373=CARI!$C$6),OR(CARI!$C$7="",$G373=CARI!$C$7),OR(CARI!$C$8="",$T373=CARI!$C$8)),MAX($Z$3:Z372)+1,""))</f>
        <v/>
      </c>
      <c r="AA373" s="40" t="str">
        <f aca="false">IF($Y373="","",MAX($AA$3:AA372)+1)</f>
        <v/>
      </c>
      <c r="AB373" s="40" t="str">
        <f aca="false">IF($F373="","",$F373&amp;"#"&amp;COUNTIF($F$4:$F373,$F373))</f>
        <v/>
      </c>
      <c r="AC373" s="40" t="str">
        <f aca="false">IF($B373="","",IF(AND(OR(CETAK!$J$10="",$F373=CETAK!$J$10),OR(CETAK!$J$11="",$G373=CETAK!$J$11),OR(CETAK!$J$12="",$P373=CETAK!$J$12),OR(CETAK!$J$13="",$N373=CETAK!$J$13),OR(CETAK!$J$14="",$T373=CETAK!$J$14)),MAX($AC$3:AC372)+1,""))</f>
        <v/>
      </c>
      <c r="AD373" s="40" t="str">
        <f aca="false">IF($B373="","",IF(AND(OR(ABSENSI!$H$10="",$F373=ABSENSI!$H$10),OR(ABSENSI!$H$11="",$G373=ABSENSI!$H$11),OR(ABSENSI!$H$12="",$P373=ABSENSI!$H$12)),MAX($AD$3:AD372)+1,""))</f>
        <v/>
      </c>
      <c r="AE373" s="40" t="str">
        <f aca="false">IF($B373="","",IF(AND(OR(KARTU!$K$6="",$F373=KARTU!$K$6),OR(KARTU!$K$7="",$G373=KARTU!$K$7),OR(KARTU!$K$8="",$P373=KARTU!$K$8)),MAX($AE$3:AE372)+1,""))</f>
        <v/>
      </c>
    </row>
    <row r="374" customFormat="false" ht="15" hidden="false" customHeight="false" outlineLevel="0" collapsed="false">
      <c r="A374" s="35" t="str">
        <f aca="false">IF($B374="","",COUNTA($B$4:$B374))</f>
        <v/>
      </c>
      <c r="B374" s="36"/>
      <c r="C374" s="37"/>
      <c r="D374" s="37"/>
      <c r="E374" s="38"/>
      <c r="F374" s="36"/>
      <c r="G374" s="39"/>
      <c r="H374" s="39"/>
      <c r="I374" s="36"/>
      <c r="J374" s="36"/>
      <c r="K374" s="36"/>
      <c r="L374" s="36"/>
      <c r="M374" s="40" t="str">
        <f aca="false">IF($F374="","",$F374&amp;IF($G374="",""," - RT "&amp;$G374&amp;IF($H374="","","/"&amp;$H374)))</f>
        <v/>
      </c>
      <c r="N374" s="36"/>
      <c r="O374" s="37"/>
      <c r="P374" s="39"/>
      <c r="Q374" s="41"/>
      <c r="R374" s="35" t="str">
        <f aca="true">IF(OR($B374="",$Q374=""),"",DATEDIF($Q374,TODAY(),"Y"))</f>
        <v/>
      </c>
      <c r="S374" s="40" t="str">
        <f aca="false">IF($R374="","",INDEX(usia_label,MATCH($R374,usia_min,1)))</f>
        <v/>
      </c>
      <c r="T374" s="36"/>
      <c r="U374" s="41"/>
      <c r="V374" s="36"/>
      <c r="W374" s="36"/>
      <c r="X374" s="40" t="str">
        <f aca="false">IF($M374="","",$M374&amp;"#"&amp;COUNTIF($M$4:$M374,$M374))</f>
        <v/>
      </c>
      <c r="Y374" s="40" t="str">
        <f aca="false">IF($B374="","",IF($C374="","NIK kosong",IF(LEN($C374)&lt;&gt;16,"NIK bukan 16 digit",IF(COUNTIF($C$4:$C$2003,$C374&amp;"*")&gt;1,"NIK ganda",IF(AND($D374&lt;&gt;"",LEN($D374)&lt;&gt;16),"No. KK bukan 16 digit",IF(AND($F374="",$I374=""),"Alamat kosong",IF($N374="","Jabatan kosong",IF($O374="","No. HP kosong",IF(AND($R374&lt;&gt;"",$R374&lt;17),"Usia di bawah 17","")))))))))</f>
        <v/>
      </c>
      <c r="Z374" s="40" t="str">
        <f aca="false">IF($B374="","",IF(AND(OR(CARI!$C$5="",ISNUMBER(SEARCH(CARI!$C$5,$B374&amp;" "&amp;$C374&amp;" "&amp;$D374&amp;" "&amp;$O374&amp;" "&amp;$I374&amp;" "&amp;$F374&amp;" "&amp;$J374&amp;" "&amp;$K374&amp;" "&amp;$L374&amp;" "&amp;$V374))),OR(CARI!$C$6="",$F374=CARI!$C$6),OR(CARI!$C$7="",$G374=CARI!$C$7),OR(CARI!$C$8="",$T374=CARI!$C$8)),MAX($Z$3:Z373)+1,""))</f>
        <v/>
      </c>
      <c r="AA374" s="40" t="str">
        <f aca="false">IF($Y374="","",MAX($AA$3:AA373)+1)</f>
        <v/>
      </c>
      <c r="AB374" s="40" t="str">
        <f aca="false">IF($F374="","",$F374&amp;"#"&amp;COUNTIF($F$4:$F374,$F374))</f>
        <v/>
      </c>
      <c r="AC374" s="40" t="str">
        <f aca="false">IF($B374="","",IF(AND(OR(CETAK!$J$10="",$F374=CETAK!$J$10),OR(CETAK!$J$11="",$G374=CETAK!$J$11),OR(CETAK!$J$12="",$P374=CETAK!$J$12),OR(CETAK!$J$13="",$N374=CETAK!$J$13),OR(CETAK!$J$14="",$T374=CETAK!$J$14)),MAX($AC$3:AC373)+1,""))</f>
        <v/>
      </c>
      <c r="AD374" s="40" t="str">
        <f aca="false">IF($B374="","",IF(AND(OR(ABSENSI!$H$10="",$F374=ABSENSI!$H$10),OR(ABSENSI!$H$11="",$G374=ABSENSI!$H$11),OR(ABSENSI!$H$12="",$P374=ABSENSI!$H$12)),MAX($AD$3:AD373)+1,""))</f>
        <v/>
      </c>
      <c r="AE374" s="40" t="str">
        <f aca="false">IF($B374="","",IF(AND(OR(KARTU!$K$6="",$F374=KARTU!$K$6),OR(KARTU!$K$7="",$G374=KARTU!$K$7),OR(KARTU!$K$8="",$P374=KARTU!$K$8)),MAX($AE$3:AE373)+1,""))</f>
        <v/>
      </c>
    </row>
    <row r="375" customFormat="false" ht="15" hidden="false" customHeight="false" outlineLevel="0" collapsed="false">
      <c r="A375" s="35" t="str">
        <f aca="false">IF($B375="","",COUNTA($B$4:$B375))</f>
        <v/>
      </c>
      <c r="B375" s="36"/>
      <c r="C375" s="37"/>
      <c r="D375" s="37"/>
      <c r="E375" s="38"/>
      <c r="F375" s="36"/>
      <c r="G375" s="39"/>
      <c r="H375" s="39"/>
      <c r="I375" s="36"/>
      <c r="J375" s="36"/>
      <c r="K375" s="36"/>
      <c r="L375" s="36"/>
      <c r="M375" s="40" t="str">
        <f aca="false">IF($F375="","",$F375&amp;IF($G375="",""," - RT "&amp;$G375&amp;IF($H375="","","/"&amp;$H375)))</f>
        <v/>
      </c>
      <c r="N375" s="36"/>
      <c r="O375" s="37"/>
      <c r="P375" s="39"/>
      <c r="Q375" s="41"/>
      <c r="R375" s="35" t="str">
        <f aca="true">IF(OR($B375="",$Q375=""),"",DATEDIF($Q375,TODAY(),"Y"))</f>
        <v/>
      </c>
      <c r="S375" s="40" t="str">
        <f aca="false">IF($R375="","",INDEX(usia_label,MATCH($R375,usia_min,1)))</f>
        <v/>
      </c>
      <c r="T375" s="36"/>
      <c r="U375" s="41"/>
      <c r="V375" s="36"/>
      <c r="W375" s="36"/>
      <c r="X375" s="40" t="str">
        <f aca="false">IF($M375="","",$M375&amp;"#"&amp;COUNTIF($M$4:$M375,$M375))</f>
        <v/>
      </c>
      <c r="Y375" s="40" t="str">
        <f aca="false">IF($B375="","",IF($C375="","NIK kosong",IF(LEN($C375)&lt;&gt;16,"NIK bukan 16 digit",IF(COUNTIF($C$4:$C$2003,$C375&amp;"*")&gt;1,"NIK ganda",IF(AND($D375&lt;&gt;"",LEN($D375)&lt;&gt;16),"No. KK bukan 16 digit",IF(AND($F375="",$I375=""),"Alamat kosong",IF($N375="","Jabatan kosong",IF($O375="","No. HP kosong",IF(AND($R375&lt;&gt;"",$R375&lt;17),"Usia di bawah 17","")))))))))</f>
        <v/>
      </c>
      <c r="Z375" s="40" t="str">
        <f aca="false">IF($B375="","",IF(AND(OR(CARI!$C$5="",ISNUMBER(SEARCH(CARI!$C$5,$B375&amp;" "&amp;$C375&amp;" "&amp;$D375&amp;" "&amp;$O375&amp;" "&amp;$I375&amp;" "&amp;$F375&amp;" "&amp;$J375&amp;" "&amp;$K375&amp;" "&amp;$L375&amp;" "&amp;$V375))),OR(CARI!$C$6="",$F375=CARI!$C$6),OR(CARI!$C$7="",$G375=CARI!$C$7),OR(CARI!$C$8="",$T375=CARI!$C$8)),MAX($Z$3:Z374)+1,""))</f>
        <v/>
      </c>
      <c r="AA375" s="40" t="str">
        <f aca="false">IF($Y375="","",MAX($AA$3:AA374)+1)</f>
        <v/>
      </c>
      <c r="AB375" s="40" t="str">
        <f aca="false">IF($F375="","",$F375&amp;"#"&amp;COUNTIF($F$4:$F375,$F375))</f>
        <v/>
      </c>
      <c r="AC375" s="40" t="str">
        <f aca="false">IF($B375="","",IF(AND(OR(CETAK!$J$10="",$F375=CETAK!$J$10),OR(CETAK!$J$11="",$G375=CETAK!$J$11),OR(CETAK!$J$12="",$P375=CETAK!$J$12),OR(CETAK!$J$13="",$N375=CETAK!$J$13),OR(CETAK!$J$14="",$T375=CETAK!$J$14)),MAX($AC$3:AC374)+1,""))</f>
        <v/>
      </c>
      <c r="AD375" s="40" t="str">
        <f aca="false">IF($B375="","",IF(AND(OR(ABSENSI!$H$10="",$F375=ABSENSI!$H$10),OR(ABSENSI!$H$11="",$G375=ABSENSI!$H$11),OR(ABSENSI!$H$12="",$P375=ABSENSI!$H$12)),MAX($AD$3:AD374)+1,""))</f>
        <v/>
      </c>
      <c r="AE375" s="40" t="str">
        <f aca="false">IF($B375="","",IF(AND(OR(KARTU!$K$6="",$F375=KARTU!$K$6),OR(KARTU!$K$7="",$G375=KARTU!$K$7),OR(KARTU!$K$8="",$P375=KARTU!$K$8)),MAX($AE$3:AE374)+1,""))</f>
        <v/>
      </c>
    </row>
    <row r="376" customFormat="false" ht="15" hidden="false" customHeight="false" outlineLevel="0" collapsed="false">
      <c r="A376" s="35" t="str">
        <f aca="false">IF($B376="","",COUNTA($B$4:$B376))</f>
        <v/>
      </c>
      <c r="B376" s="36"/>
      <c r="C376" s="37"/>
      <c r="D376" s="37"/>
      <c r="E376" s="38"/>
      <c r="F376" s="36"/>
      <c r="G376" s="39"/>
      <c r="H376" s="39"/>
      <c r="I376" s="36"/>
      <c r="J376" s="36"/>
      <c r="K376" s="36"/>
      <c r="L376" s="36"/>
      <c r="M376" s="40" t="str">
        <f aca="false">IF($F376="","",$F376&amp;IF($G376="",""," - RT "&amp;$G376&amp;IF($H376="","","/"&amp;$H376)))</f>
        <v/>
      </c>
      <c r="N376" s="36"/>
      <c r="O376" s="37"/>
      <c r="P376" s="39"/>
      <c r="Q376" s="41"/>
      <c r="R376" s="35" t="str">
        <f aca="true">IF(OR($B376="",$Q376=""),"",DATEDIF($Q376,TODAY(),"Y"))</f>
        <v/>
      </c>
      <c r="S376" s="40" t="str">
        <f aca="false">IF($R376="","",INDEX(usia_label,MATCH($R376,usia_min,1)))</f>
        <v/>
      </c>
      <c r="T376" s="36"/>
      <c r="U376" s="41"/>
      <c r="V376" s="36"/>
      <c r="W376" s="36"/>
      <c r="X376" s="40" t="str">
        <f aca="false">IF($M376="","",$M376&amp;"#"&amp;COUNTIF($M$4:$M376,$M376))</f>
        <v/>
      </c>
      <c r="Y376" s="40" t="str">
        <f aca="false">IF($B376="","",IF($C376="","NIK kosong",IF(LEN($C376)&lt;&gt;16,"NIK bukan 16 digit",IF(COUNTIF($C$4:$C$2003,$C376&amp;"*")&gt;1,"NIK ganda",IF(AND($D376&lt;&gt;"",LEN($D376)&lt;&gt;16),"No. KK bukan 16 digit",IF(AND($F376="",$I376=""),"Alamat kosong",IF($N376="","Jabatan kosong",IF($O376="","No. HP kosong",IF(AND($R376&lt;&gt;"",$R376&lt;17),"Usia di bawah 17","")))))))))</f>
        <v/>
      </c>
      <c r="Z376" s="40" t="str">
        <f aca="false">IF($B376="","",IF(AND(OR(CARI!$C$5="",ISNUMBER(SEARCH(CARI!$C$5,$B376&amp;" "&amp;$C376&amp;" "&amp;$D376&amp;" "&amp;$O376&amp;" "&amp;$I376&amp;" "&amp;$F376&amp;" "&amp;$J376&amp;" "&amp;$K376&amp;" "&amp;$L376&amp;" "&amp;$V376))),OR(CARI!$C$6="",$F376=CARI!$C$6),OR(CARI!$C$7="",$G376=CARI!$C$7),OR(CARI!$C$8="",$T376=CARI!$C$8)),MAX($Z$3:Z375)+1,""))</f>
        <v/>
      </c>
      <c r="AA376" s="40" t="str">
        <f aca="false">IF($Y376="","",MAX($AA$3:AA375)+1)</f>
        <v/>
      </c>
      <c r="AB376" s="40" t="str">
        <f aca="false">IF($F376="","",$F376&amp;"#"&amp;COUNTIF($F$4:$F376,$F376))</f>
        <v/>
      </c>
      <c r="AC376" s="40" t="str">
        <f aca="false">IF($B376="","",IF(AND(OR(CETAK!$J$10="",$F376=CETAK!$J$10),OR(CETAK!$J$11="",$G376=CETAK!$J$11),OR(CETAK!$J$12="",$P376=CETAK!$J$12),OR(CETAK!$J$13="",$N376=CETAK!$J$13),OR(CETAK!$J$14="",$T376=CETAK!$J$14)),MAX($AC$3:AC375)+1,""))</f>
        <v/>
      </c>
      <c r="AD376" s="40" t="str">
        <f aca="false">IF($B376="","",IF(AND(OR(ABSENSI!$H$10="",$F376=ABSENSI!$H$10),OR(ABSENSI!$H$11="",$G376=ABSENSI!$H$11),OR(ABSENSI!$H$12="",$P376=ABSENSI!$H$12)),MAX($AD$3:AD375)+1,""))</f>
        <v/>
      </c>
      <c r="AE376" s="40" t="str">
        <f aca="false">IF($B376="","",IF(AND(OR(KARTU!$K$6="",$F376=KARTU!$K$6),OR(KARTU!$K$7="",$G376=KARTU!$K$7),OR(KARTU!$K$8="",$P376=KARTU!$K$8)),MAX($AE$3:AE375)+1,""))</f>
        <v/>
      </c>
    </row>
    <row r="377" customFormat="false" ht="15" hidden="false" customHeight="false" outlineLevel="0" collapsed="false">
      <c r="A377" s="35" t="str">
        <f aca="false">IF($B377="","",COUNTA($B$4:$B377))</f>
        <v/>
      </c>
      <c r="B377" s="36"/>
      <c r="C377" s="37"/>
      <c r="D377" s="37"/>
      <c r="E377" s="38"/>
      <c r="F377" s="36"/>
      <c r="G377" s="39"/>
      <c r="H377" s="39"/>
      <c r="I377" s="36"/>
      <c r="J377" s="36"/>
      <c r="K377" s="36"/>
      <c r="L377" s="36"/>
      <c r="M377" s="40" t="str">
        <f aca="false">IF($F377="","",$F377&amp;IF($G377="",""," - RT "&amp;$G377&amp;IF($H377="","","/"&amp;$H377)))</f>
        <v/>
      </c>
      <c r="N377" s="36"/>
      <c r="O377" s="37"/>
      <c r="P377" s="39"/>
      <c r="Q377" s="41"/>
      <c r="R377" s="35" t="str">
        <f aca="true">IF(OR($B377="",$Q377=""),"",DATEDIF($Q377,TODAY(),"Y"))</f>
        <v/>
      </c>
      <c r="S377" s="40" t="str">
        <f aca="false">IF($R377="","",INDEX(usia_label,MATCH($R377,usia_min,1)))</f>
        <v/>
      </c>
      <c r="T377" s="36"/>
      <c r="U377" s="41"/>
      <c r="V377" s="36"/>
      <c r="W377" s="36"/>
      <c r="X377" s="40" t="str">
        <f aca="false">IF($M377="","",$M377&amp;"#"&amp;COUNTIF($M$4:$M377,$M377))</f>
        <v/>
      </c>
      <c r="Y377" s="40" t="str">
        <f aca="false">IF($B377="","",IF($C377="","NIK kosong",IF(LEN($C377)&lt;&gt;16,"NIK bukan 16 digit",IF(COUNTIF($C$4:$C$2003,$C377&amp;"*")&gt;1,"NIK ganda",IF(AND($D377&lt;&gt;"",LEN($D377)&lt;&gt;16),"No. KK bukan 16 digit",IF(AND($F377="",$I377=""),"Alamat kosong",IF($N377="","Jabatan kosong",IF($O377="","No. HP kosong",IF(AND($R377&lt;&gt;"",$R377&lt;17),"Usia di bawah 17","")))))))))</f>
        <v/>
      </c>
      <c r="Z377" s="40" t="str">
        <f aca="false">IF($B377="","",IF(AND(OR(CARI!$C$5="",ISNUMBER(SEARCH(CARI!$C$5,$B377&amp;" "&amp;$C377&amp;" "&amp;$D377&amp;" "&amp;$O377&amp;" "&amp;$I377&amp;" "&amp;$F377&amp;" "&amp;$J377&amp;" "&amp;$K377&amp;" "&amp;$L377&amp;" "&amp;$V377))),OR(CARI!$C$6="",$F377=CARI!$C$6),OR(CARI!$C$7="",$G377=CARI!$C$7),OR(CARI!$C$8="",$T377=CARI!$C$8)),MAX($Z$3:Z376)+1,""))</f>
        <v/>
      </c>
      <c r="AA377" s="40" t="str">
        <f aca="false">IF($Y377="","",MAX($AA$3:AA376)+1)</f>
        <v/>
      </c>
      <c r="AB377" s="40" t="str">
        <f aca="false">IF($F377="","",$F377&amp;"#"&amp;COUNTIF($F$4:$F377,$F377))</f>
        <v/>
      </c>
      <c r="AC377" s="40" t="str">
        <f aca="false">IF($B377="","",IF(AND(OR(CETAK!$J$10="",$F377=CETAK!$J$10),OR(CETAK!$J$11="",$G377=CETAK!$J$11),OR(CETAK!$J$12="",$P377=CETAK!$J$12),OR(CETAK!$J$13="",$N377=CETAK!$J$13),OR(CETAK!$J$14="",$T377=CETAK!$J$14)),MAX($AC$3:AC376)+1,""))</f>
        <v/>
      </c>
      <c r="AD377" s="40" t="str">
        <f aca="false">IF($B377="","",IF(AND(OR(ABSENSI!$H$10="",$F377=ABSENSI!$H$10),OR(ABSENSI!$H$11="",$G377=ABSENSI!$H$11),OR(ABSENSI!$H$12="",$P377=ABSENSI!$H$12)),MAX($AD$3:AD376)+1,""))</f>
        <v/>
      </c>
      <c r="AE377" s="40" t="str">
        <f aca="false">IF($B377="","",IF(AND(OR(KARTU!$K$6="",$F377=KARTU!$K$6),OR(KARTU!$K$7="",$G377=KARTU!$K$7),OR(KARTU!$K$8="",$P377=KARTU!$K$8)),MAX($AE$3:AE376)+1,""))</f>
        <v/>
      </c>
    </row>
    <row r="378" customFormat="false" ht="15" hidden="false" customHeight="false" outlineLevel="0" collapsed="false">
      <c r="A378" s="35" t="str">
        <f aca="false">IF($B378="","",COUNTA($B$4:$B378))</f>
        <v/>
      </c>
      <c r="B378" s="36"/>
      <c r="C378" s="37"/>
      <c r="D378" s="37"/>
      <c r="E378" s="38"/>
      <c r="F378" s="36"/>
      <c r="G378" s="39"/>
      <c r="H378" s="39"/>
      <c r="I378" s="36"/>
      <c r="J378" s="36"/>
      <c r="K378" s="36"/>
      <c r="L378" s="36"/>
      <c r="M378" s="40" t="str">
        <f aca="false">IF($F378="","",$F378&amp;IF($G378="",""," - RT "&amp;$G378&amp;IF($H378="","","/"&amp;$H378)))</f>
        <v/>
      </c>
      <c r="N378" s="36"/>
      <c r="O378" s="37"/>
      <c r="P378" s="39"/>
      <c r="Q378" s="41"/>
      <c r="R378" s="35" t="str">
        <f aca="true">IF(OR($B378="",$Q378=""),"",DATEDIF($Q378,TODAY(),"Y"))</f>
        <v/>
      </c>
      <c r="S378" s="40" t="str">
        <f aca="false">IF($R378="","",INDEX(usia_label,MATCH($R378,usia_min,1)))</f>
        <v/>
      </c>
      <c r="T378" s="36"/>
      <c r="U378" s="41"/>
      <c r="V378" s="36"/>
      <c r="W378" s="36"/>
      <c r="X378" s="40" t="str">
        <f aca="false">IF($M378="","",$M378&amp;"#"&amp;COUNTIF($M$4:$M378,$M378))</f>
        <v/>
      </c>
      <c r="Y378" s="40" t="str">
        <f aca="false">IF($B378="","",IF($C378="","NIK kosong",IF(LEN($C378)&lt;&gt;16,"NIK bukan 16 digit",IF(COUNTIF($C$4:$C$2003,$C378&amp;"*")&gt;1,"NIK ganda",IF(AND($D378&lt;&gt;"",LEN($D378)&lt;&gt;16),"No. KK bukan 16 digit",IF(AND($F378="",$I378=""),"Alamat kosong",IF($N378="","Jabatan kosong",IF($O378="","No. HP kosong",IF(AND($R378&lt;&gt;"",$R378&lt;17),"Usia di bawah 17","")))))))))</f>
        <v/>
      </c>
      <c r="Z378" s="40" t="str">
        <f aca="false">IF($B378="","",IF(AND(OR(CARI!$C$5="",ISNUMBER(SEARCH(CARI!$C$5,$B378&amp;" "&amp;$C378&amp;" "&amp;$D378&amp;" "&amp;$O378&amp;" "&amp;$I378&amp;" "&amp;$F378&amp;" "&amp;$J378&amp;" "&amp;$K378&amp;" "&amp;$L378&amp;" "&amp;$V378))),OR(CARI!$C$6="",$F378=CARI!$C$6),OR(CARI!$C$7="",$G378=CARI!$C$7),OR(CARI!$C$8="",$T378=CARI!$C$8)),MAX($Z$3:Z377)+1,""))</f>
        <v/>
      </c>
      <c r="AA378" s="40" t="str">
        <f aca="false">IF($Y378="","",MAX($AA$3:AA377)+1)</f>
        <v/>
      </c>
      <c r="AB378" s="40" t="str">
        <f aca="false">IF($F378="","",$F378&amp;"#"&amp;COUNTIF($F$4:$F378,$F378))</f>
        <v/>
      </c>
      <c r="AC378" s="40" t="str">
        <f aca="false">IF($B378="","",IF(AND(OR(CETAK!$J$10="",$F378=CETAK!$J$10),OR(CETAK!$J$11="",$G378=CETAK!$J$11),OR(CETAK!$J$12="",$P378=CETAK!$J$12),OR(CETAK!$J$13="",$N378=CETAK!$J$13),OR(CETAK!$J$14="",$T378=CETAK!$J$14)),MAX($AC$3:AC377)+1,""))</f>
        <v/>
      </c>
      <c r="AD378" s="40" t="str">
        <f aca="false">IF($B378="","",IF(AND(OR(ABSENSI!$H$10="",$F378=ABSENSI!$H$10),OR(ABSENSI!$H$11="",$G378=ABSENSI!$H$11),OR(ABSENSI!$H$12="",$P378=ABSENSI!$H$12)),MAX($AD$3:AD377)+1,""))</f>
        <v/>
      </c>
      <c r="AE378" s="40" t="str">
        <f aca="false">IF($B378="","",IF(AND(OR(KARTU!$K$6="",$F378=KARTU!$K$6),OR(KARTU!$K$7="",$G378=KARTU!$K$7),OR(KARTU!$K$8="",$P378=KARTU!$K$8)),MAX($AE$3:AE377)+1,""))</f>
        <v/>
      </c>
    </row>
    <row r="379" customFormat="false" ht="15" hidden="false" customHeight="false" outlineLevel="0" collapsed="false">
      <c r="A379" s="35" t="str">
        <f aca="false">IF($B379="","",COUNTA($B$4:$B379))</f>
        <v/>
      </c>
      <c r="B379" s="36"/>
      <c r="C379" s="37"/>
      <c r="D379" s="37"/>
      <c r="E379" s="38"/>
      <c r="F379" s="36"/>
      <c r="G379" s="39"/>
      <c r="H379" s="39"/>
      <c r="I379" s="36"/>
      <c r="J379" s="36"/>
      <c r="K379" s="36"/>
      <c r="L379" s="36"/>
      <c r="M379" s="40" t="str">
        <f aca="false">IF($F379="","",$F379&amp;IF($G379="",""," - RT "&amp;$G379&amp;IF($H379="","","/"&amp;$H379)))</f>
        <v/>
      </c>
      <c r="N379" s="36"/>
      <c r="O379" s="37"/>
      <c r="P379" s="39"/>
      <c r="Q379" s="41"/>
      <c r="R379" s="35" t="str">
        <f aca="true">IF(OR($B379="",$Q379=""),"",DATEDIF($Q379,TODAY(),"Y"))</f>
        <v/>
      </c>
      <c r="S379" s="40" t="str">
        <f aca="false">IF($R379="","",INDEX(usia_label,MATCH($R379,usia_min,1)))</f>
        <v/>
      </c>
      <c r="T379" s="36"/>
      <c r="U379" s="41"/>
      <c r="V379" s="36"/>
      <c r="W379" s="36"/>
      <c r="X379" s="40" t="str">
        <f aca="false">IF($M379="","",$M379&amp;"#"&amp;COUNTIF($M$4:$M379,$M379))</f>
        <v/>
      </c>
      <c r="Y379" s="40" t="str">
        <f aca="false">IF($B379="","",IF($C379="","NIK kosong",IF(LEN($C379)&lt;&gt;16,"NIK bukan 16 digit",IF(COUNTIF($C$4:$C$2003,$C379&amp;"*")&gt;1,"NIK ganda",IF(AND($D379&lt;&gt;"",LEN($D379)&lt;&gt;16),"No. KK bukan 16 digit",IF(AND($F379="",$I379=""),"Alamat kosong",IF($N379="","Jabatan kosong",IF($O379="","No. HP kosong",IF(AND($R379&lt;&gt;"",$R379&lt;17),"Usia di bawah 17","")))))))))</f>
        <v/>
      </c>
      <c r="Z379" s="40" t="str">
        <f aca="false">IF($B379="","",IF(AND(OR(CARI!$C$5="",ISNUMBER(SEARCH(CARI!$C$5,$B379&amp;" "&amp;$C379&amp;" "&amp;$D379&amp;" "&amp;$O379&amp;" "&amp;$I379&amp;" "&amp;$F379&amp;" "&amp;$J379&amp;" "&amp;$K379&amp;" "&amp;$L379&amp;" "&amp;$V379))),OR(CARI!$C$6="",$F379=CARI!$C$6),OR(CARI!$C$7="",$G379=CARI!$C$7),OR(CARI!$C$8="",$T379=CARI!$C$8)),MAX($Z$3:Z378)+1,""))</f>
        <v/>
      </c>
      <c r="AA379" s="40" t="str">
        <f aca="false">IF($Y379="","",MAX($AA$3:AA378)+1)</f>
        <v/>
      </c>
      <c r="AB379" s="40" t="str">
        <f aca="false">IF($F379="","",$F379&amp;"#"&amp;COUNTIF($F$4:$F379,$F379))</f>
        <v/>
      </c>
      <c r="AC379" s="40" t="str">
        <f aca="false">IF($B379="","",IF(AND(OR(CETAK!$J$10="",$F379=CETAK!$J$10),OR(CETAK!$J$11="",$G379=CETAK!$J$11),OR(CETAK!$J$12="",$P379=CETAK!$J$12),OR(CETAK!$J$13="",$N379=CETAK!$J$13),OR(CETAK!$J$14="",$T379=CETAK!$J$14)),MAX($AC$3:AC378)+1,""))</f>
        <v/>
      </c>
      <c r="AD379" s="40" t="str">
        <f aca="false">IF($B379="","",IF(AND(OR(ABSENSI!$H$10="",$F379=ABSENSI!$H$10),OR(ABSENSI!$H$11="",$G379=ABSENSI!$H$11),OR(ABSENSI!$H$12="",$P379=ABSENSI!$H$12)),MAX($AD$3:AD378)+1,""))</f>
        <v/>
      </c>
      <c r="AE379" s="40" t="str">
        <f aca="false">IF($B379="","",IF(AND(OR(KARTU!$K$6="",$F379=KARTU!$K$6),OR(KARTU!$K$7="",$G379=KARTU!$K$7),OR(KARTU!$K$8="",$P379=KARTU!$K$8)),MAX($AE$3:AE378)+1,""))</f>
        <v/>
      </c>
    </row>
    <row r="380" customFormat="false" ht="15" hidden="false" customHeight="false" outlineLevel="0" collapsed="false">
      <c r="A380" s="35" t="str">
        <f aca="false">IF($B380="","",COUNTA($B$4:$B380))</f>
        <v/>
      </c>
      <c r="B380" s="36"/>
      <c r="C380" s="37"/>
      <c r="D380" s="37"/>
      <c r="E380" s="38"/>
      <c r="F380" s="36"/>
      <c r="G380" s="39"/>
      <c r="H380" s="39"/>
      <c r="I380" s="36"/>
      <c r="J380" s="36"/>
      <c r="K380" s="36"/>
      <c r="L380" s="36"/>
      <c r="M380" s="40" t="str">
        <f aca="false">IF($F380="","",$F380&amp;IF($G380="",""," - RT "&amp;$G380&amp;IF($H380="","","/"&amp;$H380)))</f>
        <v/>
      </c>
      <c r="N380" s="36"/>
      <c r="O380" s="37"/>
      <c r="P380" s="39"/>
      <c r="Q380" s="41"/>
      <c r="R380" s="35" t="str">
        <f aca="true">IF(OR($B380="",$Q380=""),"",DATEDIF($Q380,TODAY(),"Y"))</f>
        <v/>
      </c>
      <c r="S380" s="40" t="str">
        <f aca="false">IF($R380="","",INDEX(usia_label,MATCH($R380,usia_min,1)))</f>
        <v/>
      </c>
      <c r="T380" s="36"/>
      <c r="U380" s="41"/>
      <c r="V380" s="36"/>
      <c r="W380" s="36"/>
      <c r="X380" s="40" t="str">
        <f aca="false">IF($M380="","",$M380&amp;"#"&amp;COUNTIF($M$4:$M380,$M380))</f>
        <v/>
      </c>
      <c r="Y380" s="40" t="str">
        <f aca="false">IF($B380="","",IF($C380="","NIK kosong",IF(LEN($C380)&lt;&gt;16,"NIK bukan 16 digit",IF(COUNTIF($C$4:$C$2003,$C380&amp;"*")&gt;1,"NIK ganda",IF(AND($D380&lt;&gt;"",LEN($D380)&lt;&gt;16),"No. KK bukan 16 digit",IF(AND($F380="",$I380=""),"Alamat kosong",IF($N380="","Jabatan kosong",IF($O380="","No. HP kosong",IF(AND($R380&lt;&gt;"",$R380&lt;17),"Usia di bawah 17","")))))))))</f>
        <v/>
      </c>
      <c r="Z380" s="40" t="str">
        <f aca="false">IF($B380="","",IF(AND(OR(CARI!$C$5="",ISNUMBER(SEARCH(CARI!$C$5,$B380&amp;" "&amp;$C380&amp;" "&amp;$D380&amp;" "&amp;$O380&amp;" "&amp;$I380&amp;" "&amp;$F380&amp;" "&amp;$J380&amp;" "&amp;$K380&amp;" "&amp;$L380&amp;" "&amp;$V380))),OR(CARI!$C$6="",$F380=CARI!$C$6),OR(CARI!$C$7="",$G380=CARI!$C$7),OR(CARI!$C$8="",$T380=CARI!$C$8)),MAX($Z$3:Z379)+1,""))</f>
        <v/>
      </c>
      <c r="AA380" s="40" t="str">
        <f aca="false">IF($Y380="","",MAX($AA$3:AA379)+1)</f>
        <v/>
      </c>
      <c r="AB380" s="40" t="str">
        <f aca="false">IF($F380="","",$F380&amp;"#"&amp;COUNTIF($F$4:$F380,$F380))</f>
        <v/>
      </c>
      <c r="AC380" s="40" t="str">
        <f aca="false">IF($B380="","",IF(AND(OR(CETAK!$J$10="",$F380=CETAK!$J$10),OR(CETAK!$J$11="",$G380=CETAK!$J$11),OR(CETAK!$J$12="",$P380=CETAK!$J$12),OR(CETAK!$J$13="",$N380=CETAK!$J$13),OR(CETAK!$J$14="",$T380=CETAK!$J$14)),MAX($AC$3:AC379)+1,""))</f>
        <v/>
      </c>
      <c r="AD380" s="40" t="str">
        <f aca="false">IF($B380="","",IF(AND(OR(ABSENSI!$H$10="",$F380=ABSENSI!$H$10),OR(ABSENSI!$H$11="",$G380=ABSENSI!$H$11),OR(ABSENSI!$H$12="",$P380=ABSENSI!$H$12)),MAX($AD$3:AD379)+1,""))</f>
        <v/>
      </c>
      <c r="AE380" s="40" t="str">
        <f aca="false">IF($B380="","",IF(AND(OR(KARTU!$K$6="",$F380=KARTU!$K$6),OR(KARTU!$K$7="",$G380=KARTU!$K$7),OR(KARTU!$K$8="",$P380=KARTU!$K$8)),MAX($AE$3:AE379)+1,""))</f>
        <v/>
      </c>
    </row>
    <row r="381" customFormat="false" ht="15" hidden="false" customHeight="false" outlineLevel="0" collapsed="false">
      <c r="A381" s="35" t="str">
        <f aca="false">IF($B381="","",COUNTA($B$4:$B381))</f>
        <v/>
      </c>
      <c r="B381" s="36"/>
      <c r="C381" s="37"/>
      <c r="D381" s="37"/>
      <c r="E381" s="38"/>
      <c r="F381" s="36"/>
      <c r="G381" s="39"/>
      <c r="H381" s="39"/>
      <c r="I381" s="36"/>
      <c r="J381" s="36"/>
      <c r="K381" s="36"/>
      <c r="L381" s="36"/>
      <c r="M381" s="40" t="str">
        <f aca="false">IF($F381="","",$F381&amp;IF($G381="",""," - RT "&amp;$G381&amp;IF($H381="","","/"&amp;$H381)))</f>
        <v/>
      </c>
      <c r="N381" s="36"/>
      <c r="O381" s="37"/>
      <c r="P381" s="39"/>
      <c r="Q381" s="41"/>
      <c r="R381" s="35" t="str">
        <f aca="true">IF(OR($B381="",$Q381=""),"",DATEDIF($Q381,TODAY(),"Y"))</f>
        <v/>
      </c>
      <c r="S381" s="40" t="str">
        <f aca="false">IF($R381="","",INDEX(usia_label,MATCH($R381,usia_min,1)))</f>
        <v/>
      </c>
      <c r="T381" s="36"/>
      <c r="U381" s="41"/>
      <c r="V381" s="36"/>
      <c r="W381" s="36"/>
      <c r="X381" s="40" t="str">
        <f aca="false">IF($M381="","",$M381&amp;"#"&amp;COUNTIF($M$4:$M381,$M381))</f>
        <v/>
      </c>
      <c r="Y381" s="40" t="str">
        <f aca="false">IF($B381="","",IF($C381="","NIK kosong",IF(LEN($C381)&lt;&gt;16,"NIK bukan 16 digit",IF(COUNTIF($C$4:$C$2003,$C381&amp;"*")&gt;1,"NIK ganda",IF(AND($D381&lt;&gt;"",LEN($D381)&lt;&gt;16),"No. KK bukan 16 digit",IF(AND($F381="",$I381=""),"Alamat kosong",IF($N381="","Jabatan kosong",IF($O381="","No. HP kosong",IF(AND($R381&lt;&gt;"",$R381&lt;17),"Usia di bawah 17","")))))))))</f>
        <v/>
      </c>
      <c r="Z381" s="40" t="str">
        <f aca="false">IF($B381="","",IF(AND(OR(CARI!$C$5="",ISNUMBER(SEARCH(CARI!$C$5,$B381&amp;" "&amp;$C381&amp;" "&amp;$D381&amp;" "&amp;$O381&amp;" "&amp;$I381&amp;" "&amp;$F381&amp;" "&amp;$J381&amp;" "&amp;$K381&amp;" "&amp;$L381&amp;" "&amp;$V381))),OR(CARI!$C$6="",$F381=CARI!$C$6),OR(CARI!$C$7="",$G381=CARI!$C$7),OR(CARI!$C$8="",$T381=CARI!$C$8)),MAX($Z$3:Z380)+1,""))</f>
        <v/>
      </c>
      <c r="AA381" s="40" t="str">
        <f aca="false">IF($Y381="","",MAX($AA$3:AA380)+1)</f>
        <v/>
      </c>
      <c r="AB381" s="40" t="str">
        <f aca="false">IF($F381="","",$F381&amp;"#"&amp;COUNTIF($F$4:$F381,$F381))</f>
        <v/>
      </c>
      <c r="AC381" s="40" t="str">
        <f aca="false">IF($B381="","",IF(AND(OR(CETAK!$J$10="",$F381=CETAK!$J$10),OR(CETAK!$J$11="",$G381=CETAK!$J$11),OR(CETAK!$J$12="",$P381=CETAK!$J$12),OR(CETAK!$J$13="",$N381=CETAK!$J$13),OR(CETAK!$J$14="",$T381=CETAK!$J$14)),MAX($AC$3:AC380)+1,""))</f>
        <v/>
      </c>
      <c r="AD381" s="40" t="str">
        <f aca="false">IF($B381="","",IF(AND(OR(ABSENSI!$H$10="",$F381=ABSENSI!$H$10),OR(ABSENSI!$H$11="",$G381=ABSENSI!$H$11),OR(ABSENSI!$H$12="",$P381=ABSENSI!$H$12)),MAX($AD$3:AD380)+1,""))</f>
        <v/>
      </c>
      <c r="AE381" s="40" t="str">
        <f aca="false">IF($B381="","",IF(AND(OR(KARTU!$K$6="",$F381=KARTU!$K$6),OR(KARTU!$K$7="",$G381=KARTU!$K$7),OR(KARTU!$K$8="",$P381=KARTU!$K$8)),MAX($AE$3:AE380)+1,""))</f>
        <v/>
      </c>
    </row>
    <row r="382" customFormat="false" ht="15" hidden="false" customHeight="false" outlineLevel="0" collapsed="false">
      <c r="A382" s="35" t="str">
        <f aca="false">IF($B382="","",COUNTA($B$4:$B382))</f>
        <v/>
      </c>
      <c r="B382" s="36"/>
      <c r="C382" s="37"/>
      <c r="D382" s="37"/>
      <c r="E382" s="38"/>
      <c r="F382" s="36"/>
      <c r="G382" s="39"/>
      <c r="H382" s="39"/>
      <c r="I382" s="36"/>
      <c r="J382" s="36"/>
      <c r="K382" s="36"/>
      <c r="L382" s="36"/>
      <c r="M382" s="40" t="str">
        <f aca="false">IF($F382="","",$F382&amp;IF($G382="",""," - RT "&amp;$G382&amp;IF($H382="","","/"&amp;$H382)))</f>
        <v/>
      </c>
      <c r="N382" s="36"/>
      <c r="O382" s="37"/>
      <c r="P382" s="39"/>
      <c r="Q382" s="41"/>
      <c r="R382" s="35" t="str">
        <f aca="true">IF(OR($B382="",$Q382=""),"",DATEDIF($Q382,TODAY(),"Y"))</f>
        <v/>
      </c>
      <c r="S382" s="40" t="str">
        <f aca="false">IF($R382="","",INDEX(usia_label,MATCH($R382,usia_min,1)))</f>
        <v/>
      </c>
      <c r="T382" s="36"/>
      <c r="U382" s="41"/>
      <c r="V382" s="36"/>
      <c r="W382" s="36"/>
      <c r="X382" s="40" t="str">
        <f aca="false">IF($M382="","",$M382&amp;"#"&amp;COUNTIF($M$4:$M382,$M382))</f>
        <v/>
      </c>
      <c r="Y382" s="40" t="str">
        <f aca="false">IF($B382="","",IF($C382="","NIK kosong",IF(LEN($C382)&lt;&gt;16,"NIK bukan 16 digit",IF(COUNTIF($C$4:$C$2003,$C382&amp;"*")&gt;1,"NIK ganda",IF(AND($D382&lt;&gt;"",LEN($D382)&lt;&gt;16),"No. KK bukan 16 digit",IF(AND($F382="",$I382=""),"Alamat kosong",IF($N382="","Jabatan kosong",IF($O382="","No. HP kosong",IF(AND($R382&lt;&gt;"",$R382&lt;17),"Usia di bawah 17","")))))))))</f>
        <v/>
      </c>
      <c r="Z382" s="40" t="str">
        <f aca="false">IF($B382="","",IF(AND(OR(CARI!$C$5="",ISNUMBER(SEARCH(CARI!$C$5,$B382&amp;" "&amp;$C382&amp;" "&amp;$D382&amp;" "&amp;$O382&amp;" "&amp;$I382&amp;" "&amp;$F382&amp;" "&amp;$J382&amp;" "&amp;$K382&amp;" "&amp;$L382&amp;" "&amp;$V382))),OR(CARI!$C$6="",$F382=CARI!$C$6),OR(CARI!$C$7="",$G382=CARI!$C$7),OR(CARI!$C$8="",$T382=CARI!$C$8)),MAX($Z$3:Z381)+1,""))</f>
        <v/>
      </c>
      <c r="AA382" s="40" t="str">
        <f aca="false">IF($Y382="","",MAX($AA$3:AA381)+1)</f>
        <v/>
      </c>
      <c r="AB382" s="40" t="str">
        <f aca="false">IF($F382="","",$F382&amp;"#"&amp;COUNTIF($F$4:$F382,$F382))</f>
        <v/>
      </c>
      <c r="AC382" s="40" t="str">
        <f aca="false">IF($B382="","",IF(AND(OR(CETAK!$J$10="",$F382=CETAK!$J$10),OR(CETAK!$J$11="",$G382=CETAK!$J$11),OR(CETAK!$J$12="",$P382=CETAK!$J$12),OR(CETAK!$J$13="",$N382=CETAK!$J$13),OR(CETAK!$J$14="",$T382=CETAK!$J$14)),MAX($AC$3:AC381)+1,""))</f>
        <v/>
      </c>
      <c r="AD382" s="40" t="str">
        <f aca="false">IF($B382="","",IF(AND(OR(ABSENSI!$H$10="",$F382=ABSENSI!$H$10),OR(ABSENSI!$H$11="",$G382=ABSENSI!$H$11),OR(ABSENSI!$H$12="",$P382=ABSENSI!$H$12)),MAX($AD$3:AD381)+1,""))</f>
        <v/>
      </c>
      <c r="AE382" s="40" t="str">
        <f aca="false">IF($B382="","",IF(AND(OR(KARTU!$K$6="",$F382=KARTU!$K$6),OR(KARTU!$K$7="",$G382=KARTU!$K$7),OR(KARTU!$K$8="",$P382=KARTU!$K$8)),MAX($AE$3:AE381)+1,""))</f>
        <v/>
      </c>
    </row>
    <row r="383" customFormat="false" ht="15" hidden="false" customHeight="false" outlineLevel="0" collapsed="false">
      <c r="A383" s="35" t="str">
        <f aca="false">IF($B383="","",COUNTA($B$4:$B383))</f>
        <v/>
      </c>
      <c r="B383" s="36"/>
      <c r="C383" s="37"/>
      <c r="D383" s="37"/>
      <c r="E383" s="38"/>
      <c r="F383" s="36"/>
      <c r="G383" s="39"/>
      <c r="H383" s="39"/>
      <c r="I383" s="36"/>
      <c r="J383" s="36"/>
      <c r="K383" s="36"/>
      <c r="L383" s="36"/>
      <c r="M383" s="40" t="str">
        <f aca="false">IF($F383="","",$F383&amp;IF($G383="",""," - RT "&amp;$G383&amp;IF($H383="","","/"&amp;$H383)))</f>
        <v/>
      </c>
      <c r="N383" s="36"/>
      <c r="O383" s="37"/>
      <c r="P383" s="39"/>
      <c r="Q383" s="41"/>
      <c r="R383" s="35" t="str">
        <f aca="true">IF(OR($B383="",$Q383=""),"",DATEDIF($Q383,TODAY(),"Y"))</f>
        <v/>
      </c>
      <c r="S383" s="40" t="str">
        <f aca="false">IF($R383="","",INDEX(usia_label,MATCH($R383,usia_min,1)))</f>
        <v/>
      </c>
      <c r="T383" s="36"/>
      <c r="U383" s="41"/>
      <c r="V383" s="36"/>
      <c r="W383" s="36"/>
      <c r="X383" s="40" t="str">
        <f aca="false">IF($M383="","",$M383&amp;"#"&amp;COUNTIF($M$4:$M383,$M383))</f>
        <v/>
      </c>
      <c r="Y383" s="40" t="str">
        <f aca="false">IF($B383="","",IF($C383="","NIK kosong",IF(LEN($C383)&lt;&gt;16,"NIK bukan 16 digit",IF(COUNTIF($C$4:$C$2003,$C383&amp;"*")&gt;1,"NIK ganda",IF(AND($D383&lt;&gt;"",LEN($D383)&lt;&gt;16),"No. KK bukan 16 digit",IF(AND($F383="",$I383=""),"Alamat kosong",IF($N383="","Jabatan kosong",IF($O383="","No. HP kosong",IF(AND($R383&lt;&gt;"",$R383&lt;17),"Usia di bawah 17","")))))))))</f>
        <v/>
      </c>
      <c r="Z383" s="40" t="str">
        <f aca="false">IF($B383="","",IF(AND(OR(CARI!$C$5="",ISNUMBER(SEARCH(CARI!$C$5,$B383&amp;" "&amp;$C383&amp;" "&amp;$D383&amp;" "&amp;$O383&amp;" "&amp;$I383&amp;" "&amp;$F383&amp;" "&amp;$J383&amp;" "&amp;$K383&amp;" "&amp;$L383&amp;" "&amp;$V383))),OR(CARI!$C$6="",$F383=CARI!$C$6),OR(CARI!$C$7="",$G383=CARI!$C$7),OR(CARI!$C$8="",$T383=CARI!$C$8)),MAX($Z$3:Z382)+1,""))</f>
        <v/>
      </c>
      <c r="AA383" s="40" t="str">
        <f aca="false">IF($Y383="","",MAX($AA$3:AA382)+1)</f>
        <v/>
      </c>
      <c r="AB383" s="40" t="str">
        <f aca="false">IF($F383="","",$F383&amp;"#"&amp;COUNTIF($F$4:$F383,$F383))</f>
        <v/>
      </c>
      <c r="AC383" s="40" t="str">
        <f aca="false">IF($B383="","",IF(AND(OR(CETAK!$J$10="",$F383=CETAK!$J$10),OR(CETAK!$J$11="",$G383=CETAK!$J$11),OR(CETAK!$J$12="",$P383=CETAK!$J$12),OR(CETAK!$J$13="",$N383=CETAK!$J$13),OR(CETAK!$J$14="",$T383=CETAK!$J$14)),MAX($AC$3:AC382)+1,""))</f>
        <v/>
      </c>
      <c r="AD383" s="40" t="str">
        <f aca="false">IF($B383="","",IF(AND(OR(ABSENSI!$H$10="",$F383=ABSENSI!$H$10),OR(ABSENSI!$H$11="",$G383=ABSENSI!$H$11),OR(ABSENSI!$H$12="",$P383=ABSENSI!$H$12)),MAX($AD$3:AD382)+1,""))</f>
        <v/>
      </c>
      <c r="AE383" s="40" t="str">
        <f aca="false">IF($B383="","",IF(AND(OR(KARTU!$K$6="",$F383=KARTU!$K$6),OR(KARTU!$K$7="",$G383=KARTU!$K$7),OR(KARTU!$K$8="",$P383=KARTU!$K$8)),MAX($AE$3:AE382)+1,""))</f>
        <v/>
      </c>
    </row>
    <row r="384" customFormat="false" ht="15" hidden="false" customHeight="false" outlineLevel="0" collapsed="false">
      <c r="A384" s="35" t="str">
        <f aca="false">IF($B384="","",COUNTA($B$4:$B384))</f>
        <v/>
      </c>
      <c r="B384" s="36"/>
      <c r="C384" s="37"/>
      <c r="D384" s="37"/>
      <c r="E384" s="38"/>
      <c r="F384" s="36"/>
      <c r="G384" s="39"/>
      <c r="H384" s="39"/>
      <c r="I384" s="36"/>
      <c r="J384" s="36"/>
      <c r="K384" s="36"/>
      <c r="L384" s="36"/>
      <c r="M384" s="40" t="str">
        <f aca="false">IF($F384="","",$F384&amp;IF($G384="",""," - RT "&amp;$G384&amp;IF($H384="","","/"&amp;$H384)))</f>
        <v/>
      </c>
      <c r="N384" s="36"/>
      <c r="O384" s="37"/>
      <c r="P384" s="39"/>
      <c r="Q384" s="41"/>
      <c r="R384" s="35" t="str">
        <f aca="true">IF(OR($B384="",$Q384=""),"",DATEDIF($Q384,TODAY(),"Y"))</f>
        <v/>
      </c>
      <c r="S384" s="40" t="str">
        <f aca="false">IF($R384="","",INDEX(usia_label,MATCH($R384,usia_min,1)))</f>
        <v/>
      </c>
      <c r="T384" s="36"/>
      <c r="U384" s="41"/>
      <c r="V384" s="36"/>
      <c r="W384" s="36"/>
      <c r="X384" s="40" t="str">
        <f aca="false">IF($M384="","",$M384&amp;"#"&amp;COUNTIF($M$4:$M384,$M384))</f>
        <v/>
      </c>
      <c r="Y384" s="40" t="str">
        <f aca="false">IF($B384="","",IF($C384="","NIK kosong",IF(LEN($C384)&lt;&gt;16,"NIK bukan 16 digit",IF(COUNTIF($C$4:$C$2003,$C384&amp;"*")&gt;1,"NIK ganda",IF(AND($D384&lt;&gt;"",LEN($D384)&lt;&gt;16),"No. KK bukan 16 digit",IF(AND($F384="",$I384=""),"Alamat kosong",IF($N384="","Jabatan kosong",IF($O384="","No. HP kosong",IF(AND($R384&lt;&gt;"",$R384&lt;17),"Usia di bawah 17","")))))))))</f>
        <v/>
      </c>
      <c r="Z384" s="40" t="str">
        <f aca="false">IF($B384="","",IF(AND(OR(CARI!$C$5="",ISNUMBER(SEARCH(CARI!$C$5,$B384&amp;" "&amp;$C384&amp;" "&amp;$D384&amp;" "&amp;$O384&amp;" "&amp;$I384&amp;" "&amp;$F384&amp;" "&amp;$J384&amp;" "&amp;$K384&amp;" "&amp;$L384&amp;" "&amp;$V384))),OR(CARI!$C$6="",$F384=CARI!$C$6),OR(CARI!$C$7="",$G384=CARI!$C$7),OR(CARI!$C$8="",$T384=CARI!$C$8)),MAX($Z$3:Z383)+1,""))</f>
        <v/>
      </c>
      <c r="AA384" s="40" t="str">
        <f aca="false">IF($Y384="","",MAX($AA$3:AA383)+1)</f>
        <v/>
      </c>
      <c r="AB384" s="40" t="str">
        <f aca="false">IF($F384="","",$F384&amp;"#"&amp;COUNTIF($F$4:$F384,$F384))</f>
        <v/>
      </c>
      <c r="AC384" s="40" t="str">
        <f aca="false">IF($B384="","",IF(AND(OR(CETAK!$J$10="",$F384=CETAK!$J$10),OR(CETAK!$J$11="",$G384=CETAK!$J$11),OR(CETAK!$J$12="",$P384=CETAK!$J$12),OR(CETAK!$J$13="",$N384=CETAK!$J$13),OR(CETAK!$J$14="",$T384=CETAK!$J$14)),MAX($AC$3:AC383)+1,""))</f>
        <v/>
      </c>
      <c r="AD384" s="40" t="str">
        <f aca="false">IF($B384="","",IF(AND(OR(ABSENSI!$H$10="",$F384=ABSENSI!$H$10),OR(ABSENSI!$H$11="",$G384=ABSENSI!$H$11),OR(ABSENSI!$H$12="",$P384=ABSENSI!$H$12)),MAX($AD$3:AD383)+1,""))</f>
        <v/>
      </c>
      <c r="AE384" s="40" t="str">
        <f aca="false">IF($B384="","",IF(AND(OR(KARTU!$K$6="",$F384=KARTU!$K$6),OR(KARTU!$K$7="",$G384=KARTU!$K$7),OR(KARTU!$K$8="",$P384=KARTU!$K$8)),MAX($AE$3:AE383)+1,""))</f>
        <v/>
      </c>
    </row>
    <row r="385" customFormat="false" ht="15" hidden="false" customHeight="false" outlineLevel="0" collapsed="false">
      <c r="A385" s="35" t="str">
        <f aca="false">IF($B385="","",COUNTA($B$4:$B385))</f>
        <v/>
      </c>
      <c r="B385" s="36"/>
      <c r="C385" s="37"/>
      <c r="D385" s="37"/>
      <c r="E385" s="38"/>
      <c r="F385" s="36"/>
      <c r="G385" s="39"/>
      <c r="H385" s="39"/>
      <c r="I385" s="36"/>
      <c r="J385" s="36"/>
      <c r="K385" s="36"/>
      <c r="L385" s="36"/>
      <c r="M385" s="40" t="str">
        <f aca="false">IF($F385="","",$F385&amp;IF($G385="",""," - RT "&amp;$G385&amp;IF($H385="","","/"&amp;$H385)))</f>
        <v/>
      </c>
      <c r="N385" s="36"/>
      <c r="O385" s="37"/>
      <c r="P385" s="39"/>
      <c r="Q385" s="41"/>
      <c r="R385" s="35" t="str">
        <f aca="true">IF(OR($B385="",$Q385=""),"",DATEDIF($Q385,TODAY(),"Y"))</f>
        <v/>
      </c>
      <c r="S385" s="40" t="str">
        <f aca="false">IF($R385="","",INDEX(usia_label,MATCH($R385,usia_min,1)))</f>
        <v/>
      </c>
      <c r="T385" s="36"/>
      <c r="U385" s="41"/>
      <c r="V385" s="36"/>
      <c r="W385" s="36"/>
      <c r="X385" s="40" t="str">
        <f aca="false">IF($M385="","",$M385&amp;"#"&amp;COUNTIF($M$4:$M385,$M385))</f>
        <v/>
      </c>
      <c r="Y385" s="40" t="str">
        <f aca="false">IF($B385="","",IF($C385="","NIK kosong",IF(LEN($C385)&lt;&gt;16,"NIK bukan 16 digit",IF(COUNTIF($C$4:$C$2003,$C385&amp;"*")&gt;1,"NIK ganda",IF(AND($D385&lt;&gt;"",LEN($D385)&lt;&gt;16),"No. KK bukan 16 digit",IF(AND($F385="",$I385=""),"Alamat kosong",IF($N385="","Jabatan kosong",IF($O385="","No. HP kosong",IF(AND($R385&lt;&gt;"",$R385&lt;17),"Usia di bawah 17","")))))))))</f>
        <v/>
      </c>
      <c r="Z385" s="40" t="str">
        <f aca="false">IF($B385="","",IF(AND(OR(CARI!$C$5="",ISNUMBER(SEARCH(CARI!$C$5,$B385&amp;" "&amp;$C385&amp;" "&amp;$D385&amp;" "&amp;$O385&amp;" "&amp;$I385&amp;" "&amp;$F385&amp;" "&amp;$J385&amp;" "&amp;$K385&amp;" "&amp;$L385&amp;" "&amp;$V385))),OR(CARI!$C$6="",$F385=CARI!$C$6),OR(CARI!$C$7="",$G385=CARI!$C$7),OR(CARI!$C$8="",$T385=CARI!$C$8)),MAX($Z$3:Z384)+1,""))</f>
        <v/>
      </c>
      <c r="AA385" s="40" t="str">
        <f aca="false">IF($Y385="","",MAX($AA$3:AA384)+1)</f>
        <v/>
      </c>
      <c r="AB385" s="40" t="str">
        <f aca="false">IF($F385="","",$F385&amp;"#"&amp;COUNTIF($F$4:$F385,$F385))</f>
        <v/>
      </c>
      <c r="AC385" s="40" t="str">
        <f aca="false">IF($B385="","",IF(AND(OR(CETAK!$J$10="",$F385=CETAK!$J$10),OR(CETAK!$J$11="",$G385=CETAK!$J$11),OR(CETAK!$J$12="",$P385=CETAK!$J$12),OR(CETAK!$J$13="",$N385=CETAK!$J$13),OR(CETAK!$J$14="",$T385=CETAK!$J$14)),MAX($AC$3:AC384)+1,""))</f>
        <v/>
      </c>
      <c r="AD385" s="40" t="str">
        <f aca="false">IF($B385="","",IF(AND(OR(ABSENSI!$H$10="",$F385=ABSENSI!$H$10),OR(ABSENSI!$H$11="",$G385=ABSENSI!$H$11),OR(ABSENSI!$H$12="",$P385=ABSENSI!$H$12)),MAX($AD$3:AD384)+1,""))</f>
        <v/>
      </c>
      <c r="AE385" s="40" t="str">
        <f aca="false">IF($B385="","",IF(AND(OR(KARTU!$K$6="",$F385=KARTU!$K$6),OR(KARTU!$K$7="",$G385=KARTU!$K$7),OR(KARTU!$K$8="",$P385=KARTU!$K$8)),MAX($AE$3:AE384)+1,""))</f>
        <v/>
      </c>
    </row>
    <row r="386" customFormat="false" ht="15" hidden="false" customHeight="false" outlineLevel="0" collapsed="false">
      <c r="A386" s="35" t="str">
        <f aca="false">IF($B386="","",COUNTA($B$4:$B386))</f>
        <v/>
      </c>
      <c r="B386" s="36"/>
      <c r="C386" s="37"/>
      <c r="D386" s="37"/>
      <c r="E386" s="38"/>
      <c r="F386" s="36"/>
      <c r="G386" s="39"/>
      <c r="H386" s="39"/>
      <c r="I386" s="36"/>
      <c r="J386" s="36"/>
      <c r="K386" s="36"/>
      <c r="L386" s="36"/>
      <c r="M386" s="40" t="str">
        <f aca="false">IF($F386="","",$F386&amp;IF($G386="",""," - RT "&amp;$G386&amp;IF($H386="","","/"&amp;$H386)))</f>
        <v/>
      </c>
      <c r="N386" s="36"/>
      <c r="O386" s="37"/>
      <c r="P386" s="39"/>
      <c r="Q386" s="41"/>
      <c r="R386" s="35" t="str">
        <f aca="true">IF(OR($B386="",$Q386=""),"",DATEDIF($Q386,TODAY(),"Y"))</f>
        <v/>
      </c>
      <c r="S386" s="40" t="str">
        <f aca="false">IF($R386="","",INDEX(usia_label,MATCH($R386,usia_min,1)))</f>
        <v/>
      </c>
      <c r="T386" s="36"/>
      <c r="U386" s="41"/>
      <c r="V386" s="36"/>
      <c r="W386" s="36"/>
      <c r="X386" s="40" t="str">
        <f aca="false">IF($M386="","",$M386&amp;"#"&amp;COUNTIF($M$4:$M386,$M386))</f>
        <v/>
      </c>
      <c r="Y386" s="40" t="str">
        <f aca="false">IF($B386="","",IF($C386="","NIK kosong",IF(LEN($C386)&lt;&gt;16,"NIK bukan 16 digit",IF(COUNTIF($C$4:$C$2003,$C386&amp;"*")&gt;1,"NIK ganda",IF(AND($D386&lt;&gt;"",LEN($D386)&lt;&gt;16),"No. KK bukan 16 digit",IF(AND($F386="",$I386=""),"Alamat kosong",IF($N386="","Jabatan kosong",IF($O386="","No. HP kosong",IF(AND($R386&lt;&gt;"",$R386&lt;17),"Usia di bawah 17","")))))))))</f>
        <v/>
      </c>
      <c r="Z386" s="40" t="str">
        <f aca="false">IF($B386="","",IF(AND(OR(CARI!$C$5="",ISNUMBER(SEARCH(CARI!$C$5,$B386&amp;" "&amp;$C386&amp;" "&amp;$D386&amp;" "&amp;$O386&amp;" "&amp;$I386&amp;" "&amp;$F386&amp;" "&amp;$J386&amp;" "&amp;$K386&amp;" "&amp;$L386&amp;" "&amp;$V386))),OR(CARI!$C$6="",$F386=CARI!$C$6),OR(CARI!$C$7="",$G386=CARI!$C$7),OR(CARI!$C$8="",$T386=CARI!$C$8)),MAX($Z$3:Z385)+1,""))</f>
        <v/>
      </c>
      <c r="AA386" s="40" t="str">
        <f aca="false">IF($Y386="","",MAX($AA$3:AA385)+1)</f>
        <v/>
      </c>
      <c r="AB386" s="40" t="str">
        <f aca="false">IF($F386="","",$F386&amp;"#"&amp;COUNTIF($F$4:$F386,$F386))</f>
        <v/>
      </c>
      <c r="AC386" s="40" t="str">
        <f aca="false">IF($B386="","",IF(AND(OR(CETAK!$J$10="",$F386=CETAK!$J$10),OR(CETAK!$J$11="",$G386=CETAK!$J$11),OR(CETAK!$J$12="",$P386=CETAK!$J$12),OR(CETAK!$J$13="",$N386=CETAK!$J$13),OR(CETAK!$J$14="",$T386=CETAK!$J$14)),MAX($AC$3:AC385)+1,""))</f>
        <v/>
      </c>
      <c r="AD386" s="40" t="str">
        <f aca="false">IF($B386="","",IF(AND(OR(ABSENSI!$H$10="",$F386=ABSENSI!$H$10),OR(ABSENSI!$H$11="",$G386=ABSENSI!$H$11),OR(ABSENSI!$H$12="",$P386=ABSENSI!$H$12)),MAX($AD$3:AD385)+1,""))</f>
        <v/>
      </c>
      <c r="AE386" s="40" t="str">
        <f aca="false">IF($B386="","",IF(AND(OR(KARTU!$K$6="",$F386=KARTU!$K$6),OR(KARTU!$K$7="",$G386=KARTU!$K$7),OR(KARTU!$K$8="",$P386=KARTU!$K$8)),MAX($AE$3:AE385)+1,""))</f>
        <v/>
      </c>
    </row>
    <row r="387" customFormat="false" ht="15" hidden="false" customHeight="false" outlineLevel="0" collapsed="false">
      <c r="A387" s="35" t="str">
        <f aca="false">IF($B387="","",COUNTA($B$4:$B387))</f>
        <v/>
      </c>
      <c r="B387" s="36"/>
      <c r="C387" s="37"/>
      <c r="D387" s="37"/>
      <c r="E387" s="38"/>
      <c r="F387" s="36"/>
      <c r="G387" s="39"/>
      <c r="H387" s="39"/>
      <c r="I387" s="36"/>
      <c r="J387" s="36"/>
      <c r="K387" s="36"/>
      <c r="L387" s="36"/>
      <c r="M387" s="40" t="str">
        <f aca="false">IF($F387="","",$F387&amp;IF($G387="",""," - RT "&amp;$G387&amp;IF($H387="","","/"&amp;$H387)))</f>
        <v/>
      </c>
      <c r="N387" s="36"/>
      <c r="O387" s="37"/>
      <c r="P387" s="39"/>
      <c r="Q387" s="41"/>
      <c r="R387" s="35" t="str">
        <f aca="true">IF(OR($B387="",$Q387=""),"",DATEDIF($Q387,TODAY(),"Y"))</f>
        <v/>
      </c>
      <c r="S387" s="40" t="str">
        <f aca="false">IF($R387="","",INDEX(usia_label,MATCH($R387,usia_min,1)))</f>
        <v/>
      </c>
      <c r="T387" s="36"/>
      <c r="U387" s="41"/>
      <c r="V387" s="36"/>
      <c r="W387" s="36"/>
      <c r="X387" s="40" t="str">
        <f aca="false">IF($M387="","",$M387&amp;"#"&amp;COUNTIF($M$4:$M387,$M387))</f>
        <v/>
      </c>
      <c r="Y387" s="40" t="str">
        <f aca="false">IF($B387="","",IF($C387="","NIK kosong",IF(LEN($C387)&lt;&gt;16,"NIK bukan 16 digit",IF(COUNTIF($C$4:$C$2003,$C387&amp;"*")&gt;1,"NIK ganda",IF(AND($D387&lt;&gt;"",LEN($D387)&lt;&gt;16),"No. KK bukan 16 digit",IF(AND($F387="",$I387=""),"Alamat kosong",IF($N387="","Jabatan kosong",IF($O387="","No. HP kosong",IF(AND($R387&lt;&gt;"",$R387&lt;17),"Usia di bawah 17","")))))))))</f>
        <v/>
      </c>
      <c r="Z387" s="40" t="str">
        <f aca="false">IF($B387="","",IF(AND(OR(CARI!$C$5="",ISNUMBER(SEARCH(CARI!$C$5,$B387&amp;" "&amp;$C387&amp;" "&amp;$D387&amp;" "&amp;$O387&amp;" "&amp;$I387&amp;" "&amp;$F387&amp;" "&amp;$J387&amp;" "&amp;$K387&amp;" "&amp;$L387&amp;" "&amp;$V387))),OR(CARI!$C$6="",$F387=CARI!$C$6),OR(CARI!$C$7="",$G387=CARI!$C$7),OR(CARI!$C$8="",$T387=CARI!$C$8)),MAX($Z$3:Z386)+1,""))</f>
        <v/>
      </c>
      <c r="AA387" s="40" t="str">
        <f aca="false">IF($Y387="","",MAX($AA$3:AA386)+1)</f>
        <v/>
      </c>
      <c r="AB387" s="40" t="str">
        <f aca="false">IF($F387="","",$F387&amp;"#"&amp;COUNTIF($F$4:$F387,$F387))</f>
        <v/>
      </c>
      <c r="AC387" s="40" t="str">
        <f aca="false">IF($B387="","",IF(AND(OR(CETAK!$J$10="",$F387=CETAK!$J$10),OR(CETAK!$J$11="",$G387=CETAK!$J$11),OR(CETAK!$J$12="",$P387=CETAK!$J$12),OR(CETAK!$J$13="",$N387=CETAK!$J$13),OR(CETAK!$J$14="",$T387=CETAK!$J$14)),MAX($AC$3:AC386)+1,""))</f>
        <v/>
      </c>
      <c r="AD387" s="40" t="str">
        <f aca="false">IF($B387="","",IF(AND(OR(ABSENSI!$H$10="",$F387=ABSENSI!$H$10),OR(ABSENSI!$H$11="",$G387=ABSENSI!$H$11),OR(ABSENSI!$H$12="",$P387=ABSENSI!$H$12)),MAX($AD$3:AD386)+1,""))</f>
        <v/>
      </c>
      <c r="AE387" s="40" t="str">
        <f aca="false">IF($B387="","",IF(AND(OR(KARTU!$K$6="",$F387=KARTU!$K$6),OR(KARTU!$K$7="",$G387=KARTU!$K$7),OR(KARTU!$K$8="",$P387=KARTU!$K$8)),MAX($AE$3:AE386)+1,""))</f>
        <v/>
      </c>
    </row>
    <row r="388" customFormat="false" ht="15" hidden="false" customHeight="false" outlineLevel="0" collapsed="false">
      <c r="A388" s="35" t="str">
        <f aca="false">IF($B388="","",COUNTA($B$4:$B388))</f>
        <v/>
      </c>
      <c r="B388" s="36"/>
      <c r="C388" s="37"/>
      <c r="D388" s="37"/>
      <c r="E388" s="38"/>
      <c r="F388" s="36"/>
      <c r="G388" s="39"/>
      <c r="H388" s="39"/>
      <c r="I388" s="36"/>
      <c r="J388" s="36"/>
      <c r="K388" s="36"/>
      <c r="L388" s="36"/>
      <c r="M388" s="40" t="str">
        <f aca="false">IF($F388="","",$F388&amp;IF($G388="",""," - RT "&amp;$G388&amp;IF($H388="","","/"&amp;$H388)))</f>
        <v/>
      </c>
      <c r="N388" s="36"/>
      <c r="O388" s="37"/>
      <c r="P388" s="39"/>
      <c r="Q388" s="41"/>
      <c r="R388" s="35" t="str">
        <f aca="true">IF(OR($B388="",$Q388=""),"",DATEDIF($Q388,TODAY(),"Y"))</f>
        <v/>
      </c>
      <c r="S388" s="40" t="str">
        <f aca="false">IF($R388="","",INDEX(usia_label,MATCH($R388,usia_min,1)))</f>
        <v/>
      </c>
      <c r="T388" s="36"/>
      <c r="U388" s="41"/>
      <c r="V388" s="36"/>
      <c r="W388" s="36"/>
      <c r="X388" s="40" t="str">
        <f aca="false">IF($M388="","",$M388&amp;"#"&amp;COUNTIF($M$4:$M388,$M388))</f>
        <v/>
      </c>
      <c r="Y388" s="40" t="str">
        <f aca="false">IF($B388="","",IF($C388="","NIK kosong",IF(LEN($C388)&lt;&gt;16,"NIK bukan 16 digit",IF(COUNTIF($C$4:$C$2003,$C388&amp;"*")&gt;1,"NIK ganda",IF(AND($D388&lt;&gt;"",LEN($D388)&lt;&gt;16),"No. KK bukan 16 digit",IF(AND($F388="",$I388=""),"Alamat kosong",IF($N388="","Jabatan kosong",IF($O388="","No. HP kosong",IF(AND($R388&lt;&gt;"",$R388&lt;17),"Usia di bawah 17","")))))))))</f>
        <v/>
      </c>
      <c r="Z388" s="40" t="str">
        <f aca="false">IF($B388="","",IF(AND(OR(CARI!$C$5="",ISNUMBER(SEARCH(CARI!$C$5,$B388&amp;" "&amp;$C388&amp;" "&amp;$D388&amp;" "&amp;$O388&amp;" "&amp;$I388&amp;" "&amp;$F388&amp;" "&amp;$J388&amp;" "&amp;$K388&amp;" "&amp;$L388&amp;" "&amp;$V388))),OR(CARI!$C$6="",$F388=CARI!$C$6),OR(CARI!$C$7="",$G388=CARI!$C$7),OR(CARI!$C$8="",$T388=CARI!$C$8)),MAX($Z$3:Z387)+1,""))</f>
        <v/>
      </c>
      <c r="AA388" s="40" t="str">
        <f aca="false">IF($Y388="","",MAX($AA$3:AA387)+1)</f>
        <v/>
      </c>
      <c r="AB388" s="40" t="str">
        <f aca="false">IF($F388="","",$F388&amp;"#"&amp;COUNTIF($F$4:$F388,$F388))</f>
        <v/>
      </c>
      <c r="AC388" s="40" t="str">
        <f aca="false">IF($B388="","",IF(AND(OR(CETAK!$J$10="",$F388=CETAK!$J$10),OR(CETAK!$J$11="",$G388=CETAK!$J$11),OR(CETAK!$J$12="",$P388=CETAK!$J$12),OR(CETAK!$J$13="",$N388=CETAK!$J$13),OR(CETAK!$J$14="",$T388=CETAK!$J$14)),MAX($AC$3:AC387)+1,""))</f>
        <v/>
      </c>
      <c r="AD388" s="40" t="str">
        <f aca="false">IF($B388="","",IF(AND(OR(ABSENSI!$H$10="",$F388=ABSENSI!$H$10),OR(ABSENSI!$H$11="",$G388=ABSENSI!$H$11),OR(ABSENSI!$H$12="",$P388=ABSENSI!$H$12)),MAX($AD$3:AD387)+1,""))</f>
        <v/>
      </c>
      <c r="AE388" s="40" t="str">
        <f aca="false">IF($B388="","",IF(AND(OR(KARTU!$K$6="",$F388=KARTU!$K$6),OR(KARTU!$K$7="",$G388=KARTU!$K$7),OR(KARTU!$K$8="",$P388=KARTU!$K$8)),MAX($AE$3:AE387)+1,""))</f>
        <v/>
      </c>
    </row>
    <row r="389" customFormat="false" ht="15" hidden="false" customHeight="false" outlineLevel="0" collapsed="false">
      <c r="A389" s="35" t="str">
        <f aca="false">IF($B389="","",COUNTA($B$4:$B389))</f>
        <v/>
      </c>
      <c r="B389" s="36"/>
      <c r="C389" s="37"/>
      <c r="D389" s="37"/>
      <c r="E389" s="38"/>
      <c r="F389" s="36"/>
      <c r="G389" s="39"/>
      <c r="H389" s="39"/>
      <c r="I389" s="36"/>
      <c r="J389" s="36"/>
      <c r="K389" s="36"/>
      <c r="L389" s="36"/>
      <c r="M389" s="40" t="str">
        <f aca="false">IF($F389="","",$F389&amp;IF($G389="",""," - RT "&amp;$G389&amp;IF($H389="","","/"&amp;$H389)))</f>
        <v/>
      </c>
      <c r="N389" s="36"/>
      <c r="O389" s="37"/>
      <c r="P389" s="39"/>
      <c r="Q389" s="41"/>
      <c r="R389" s="35" t="str">
        <f aca="true">IF(OR($B389="",$Q389=""),"",DATEDIF($Q389,TODAY(),"Y"))</f>
        <v/>
      </c>
      <c r="S389" s="40" t="str">
        <f aca="false">IF($R389="","",INDEX(usia_label,MATCH($R389,usia_min,1)))</f>
        <v/>
      </c>
      <c r="T389" s="36"/>
      <c r="U389" s="41"/>
      <c r="V389" s="36"/>
      <c r="W389" s="36"/>
      <c r="X389" s="40" t="str">
        <f aca="false">IF($M389="","",$M389&amp;"#"&amp;COUNTIF($M$4:$M389,$M389))</f>
        <v/>
      </c>
      <c r="Y389" s="40" t="str">
        <f aca="false">IF($B389="","",IF($C389="","NIK kosong",IF(LEN($C389)&lt;&gt;16,"NIK bukan 16 digit",IF(COUNTIF($C$4:$C$2003,$C389&amp;"*")&gt;1,"NIK ganda",IF(AND($D389&lt;&gt;"",LEN($D389)&lt;&gt;16),"No. KK bukan 16 digit",IF(AND($F389="",$I389=""),"Alamat kosong",IF($N389="","Jabatan kosong",IF($O389="","No. HP kosong",IF(AND($R389&lt;&gt;"",$R389&lt;17),"Usia di bawah 17","")))))))))</f>
        <v/>
      </c>
      <c r="Z389" s="40" t="str">
        <f aca="false">IF($B389="","",IF(AND(OR(CARI!$C$5="",ISNUMBER(SEARCH(CARI!$C$5,$B389&amp;" "&amp;$C389&amp;" "&amp;$D389&amp;" "&amp;$O389&amp;" "&amp;$I389&amp;" "&amp;$F389&amp;" "&amp;$J389&amp;" "&amp;$K389&amp;" "&amp;$L389&amp;" "&amp;$V389))),OR(CARI!$C$6="",$F389=CARI!$C$6),OR(CARI!$C$7="",$G389=CARI!$C$7),OR(CARI!$C$8="",$T389=CARI!$C$8)),MAX($Z$3:Z388)+1,""))</f>
        <v/>
      </c>
      <c r="AA389" s="40" t="str">
        <f aca="false">IF($Y389="","",MAX($AA$3:AA388)+1)</f>
        <v/>
      </c>
      <c r="AB389" s="40" t="str">
        <f aca="false">IF($F389="","",$F389&amp;"#"&amp;COUNTIF($F$4:$F389,$F389))</f>
        <v/>
      </c>
      <c r="AC389" s="40" t="str">
        <f aca="false">IF($B389="","",IF(AND(OR(CETAK!$J$10="",$F389=CETAK!$J$10),OR(CETAK!$J$11="",$G389=CETAK!$J$11),OR(CETAK!$J$12="",$P389=CETAK!$J$12),OR(CETAK!$J$13="",$N389=CETAK!$J$13),OR(CETAK!$J$14="",$T389=CETAK!$J$14)),MAX($AC$3:AC388)+1,""))</f>
        <v/>
      </c>
      <c r="AD389" s="40" t="str">
        <f aca="false">IF($B389="","",IF(AND(OR(ABSENSI!$H$10="",$F389=ABSENSI!$H$10),OR(ABSENSI!$H$11="",$G389=ABSENSI!$H$11),OR(ABSENSI!$H$12="",$P389=ABSENSI!$H$12)),MAX($AD$3:AD388)+1,""))</f>
        <v/>
      </c>
      <c r="AE389" s="40" t="str">
        <f aca="false">IF($B389="","",IF(AND(OR(KARTU!$K$6="",$F389=KARTU!$K$6),OR(KARTU!$K$7="",$G389=KARTU!$K$7),OR(KARTU!$K$8="",$P389=KARTU!$K$8)),MAX($AE$3:AE388)+1,""))</f>
        <v/>
      </c>
    </row>
    <row r="390" customFormat="false" ht="15" hidden="false" customHeight="false" outlineLevel="0" collapsed="false">
      <c r="A390" s="35" t="str">
        <f aca="false">IF($B390="","",COUNTA($B$4:$B390))</f>
        <v/>
      </c>
      <c r="B390" s="36"/>
      <c r="C390" s="37"/>
      <c r="D390" s="37"/>
      <c r="E390" s="38"/>
      <c r="F390" s="36"/>
      <c r="G390" s="39"/>
      <c r="H390" s="39"/>
      <c r="I390" s="36"/>
      <c r="J390" s="36"/>
      <c r="K390" s="36"/>
      <c r="L390" s="36"/>
      <c r="M390" s="40" t="str">
        <f aca="false">IF($F390="","",$F390&amp;IF($G390="",""," - RT "&amp;$G390&amp;IF($H390="","","/"&amp;$H390)))</f>
        <v/>
      </c>
      <c r="N390" s="36"/>
      <c r="O390" s="37"/>
      <c r="P390" s="39"/>
      <c r="Q390" s="41"/>
      <c r="R390" s="35" t="str">
        <f aca="true">IF(OR($B390="",$Q390=""),"",DATEDIF($Q390,TODAY(),"Y"))</f>
        <v/>
      </c>
      <c r="S390" s="40" t="str">
        <f aca="false">IF($R390="","",INDEX(usia_label,MATCH($R390,usia_min,1)))</f>
        <v/>
      </c>
      <c r="T390" s="36"/>
      <c r="U390" s="41"/>
      <c r="V390" s="36"/>
      <c r="W390" s="36"/>
      <c r="X390" s="40" t="str">
        <f aca="false">IF($M390="","",$M390&amp;"#"&amp;COUNTIF($M$4:$M390,$M390))</f>
        <v/>
      </c>
      <c r="Y390" s="40" t="str">
        <f aca="false">IF($B390="","",IF($C390="","NIK kosong",IF(LEN($C390)&lt;&gt;16,"NIK bukan 16 digit",IF(COUNTIF($C$4:$C$2003,$C390&amp;"*")&gt;1,"NIK ganda",IF(AND($D390&lt;&gt;"",LEN($D390)&lt;&gt;16),"No. KK bukan 16 digit",IF(AND($F390="",$I390=""),"Alamat kosong",IF($N390="","Jabatan kosong",IF($O390="","No. HP kosong",IF(AND($R390&lt;&gt;"",$R390&lt;17),"Usia di bawah 17","")))))))))</f>
        <v/>
      </c>
      <c r="Z390" s="40" t="str">
        <f aca="false">IF($B390="","",IF(AND(OR(CARI!$C$5="",ISNUMBER(SEARCH(CARI!$C$5,$B390&amp;" "&amp;$C390&amp;" "&amp;$D390&amp;" "&amp;$O390&amp;" "&amp;$I390&amp;" "&amp;$F390&amp;" "&amp;$J390&amp;" "&amp;$K390&amp;" "&amp;$L390&amp;" "&amp;$V390))),OR(CARI!$C$6="",$F390=CARI!$C$6),OR(CARI!$C$7="",$G390=CARI!$C$7),OR(CARI!$C$8="",$T390=CARI!$C$8)),MAX($Z$3:Z389)+1,""))</f>
        <v/>
      </c>
      <c r="AA390" s="40" t="str">
        <f aca="false">IF($Y390="","",MAX($AA$3:AA389)+1)</f>
        <v/>
      </c>
      <c r="AB390" s="40" t="str">
        <f aca="false">IF($F390="","",$F390&amp;"#"&amp;COUNTIF($F$4:$F390,$F390))</f>
        <v/>
      </c>
      <c r="AC390" s="40" t="str">
        <f aca="false">IF($B390="","",IF(AND(OR(CETAK!$J$10="",$F390=CETAK!$J$10),OR(CETAK!$J$11="",$G390=CETAK!$J$11),OR(CETAK!$J$12="",$P390=CETAK!$J$12),OR(CETAK!$J$13="",$N390=CETAK!$J$13),OR(CETAK!$J$14="",$T390=CETAK!$J$14)),MAX($AC$3:AC389)+1,""))</f>
        <v/>
      </c>
      <c r="AD390" s="40" t="str">
        <f aca="false">IF($B390="","",IF(AND(OR(ABSENSI!$H$10="",$F390=ABSENSI!$H$10),OR(ABSENSI!$H$11="",$G390=ABSENSI!$H$11),OR(ABSENSI!$H$12="",$P390=ABSENSI!$H$12)),MAX($AD$3:AD389)+1,""))</f>
        <v/>
      </c>
      <c r="AE390" s="40" t="str">
        <f aca="false">IF($B390="","",IF(AND(OR(KARTU!$K$6="",$F390=KARTU!$K$6),OR(KARTU!$K$7="",$G390=KARTU!$K$7),OR(KARTU!$K$8="",$P390=KARTU!$K$8)),MAX($AE$3:AE389)+1,""))</f>
        <v/>
      </c>
    </row>
    <row r="391" customFormat="false" ht="15" hidden="false" customHeight="false" outlineLevel="0" collapsed="false">
      <c r="A391" s="35" t="str">
        <f aca="false">IF($B391="","",COUNTA($B$4:$B391))</f>
        <v/>
      </c>
      <c r="B391" s="36"/>
      <c r="C391" s="37"/>
      <c r="D391" s="37"/>
      <c r="E391" s="38"/>
      <c r="F391" s="36"/>
      <c r="G391" s="39"/>
      <c r="H391" s="39"/>
      <c r="I391" s="36"/>
      <c r="J391" s="36"/>
      <c r="K391" s="36"/>
      <c r="L391" s="36"/>
      <c r="M391" s="40" t="str">
        <f aca="false">IF($F391="","",$F391&amp;IF($G391="",""," - RT "&amp;$G391&amp;IF($H391="","","/"&amp;$H391)))</f>
        <v/>
      </c>
      <c r="N391" s="36"/>
      <c r="O391" s="37"/>
      <c r="P391" s="39"/>
      <c r="Q391" s="41"/>
      <c r="R391" s="35" t="str">
        <f aca="true">IF(OR($B391="",$Q391=""),"",DATEDIF($Q391,TODAY(),"Y"))</f>
        <v/>
      </c>
      <c r="S391" s="40" t="str">
        <f aca="false">IF($R391="","",INDEX(usia_label,MATCH($R391,usia_min,1)))</f>
        <v/>
      </c>
      <c r="T391" s="36"/>
      <c r="U391" s="41"/>
      <c r="V391" s="36"/>
      <c r="W391" s="36"/>
      <c r="X391" s="40" t="str">
        <f aca="false">IF($M391="","",$M391&amp;"#"&amp;COUNTIF($M$4:$M391,$M391))</f>
        <v/>
      </c>
      <c r="Y391" s="40" t="str">
        <f aca="false">IF($B391="","",IF($C391="","NIK kosong",IF(LEN($C391)&lt;&gt;16,"NIK bukan 16 digit",IF(COUNTIF($C$4:$C$2003,$C391&amp;"*")&gt;1,"NIK ganda",IF(AND($D391&lt;&gt;"",LEN($D391)&lt;&gt;16),"No. KK bukan 16 digit",IF(AND($F391="",$I391=""),"Alamat kosong",IF($N391="","Jabatan kosong",IF($O391="","No. HP kosong",IF(AND($R391&lt;&gt;"",$R391&lt;17),"Usia di bawah 17","")))))))))</f>
        <v/>
      </c>
      <c r="Z391" s="40" t="str">
        <f aca="false">IF($B391="","",IF(AND(OR(CARI!$C$5="",ISNUMBER(SEARCH(CARI!$C$5,$B391&amp;" "&amp;$C391&amp;" "&amp;$D391&amp;" "&amp;$O391&amp;" "&amp;$I391&amp;" "&amp;$F391&amp;" "&amp;$J391&amp;" "&amp;$K391&amp;" "&amp;$L391&amp;" "&amp;$V391))),OR(CARI!$C$6="",$F391=CARI!$C$6),OR(CARI!$C$7="",$G391=CARI!$C$7),OR(CARI!$C$8="",$T391=CARI!$C$8)),MAX($Z$3:Z390)+1,""))</f>
        <v/>
      </c>
      <c r="AA391" s="40" t="str">
        <f aca="false">IF($Y391="","",MAX($AA$3:AA390)+1)</f>
        <v/>
      </c>
      <c r="AB391" s="40" t="str">
        <f aca="false">IF($F391="","",$F391&amp;"#"&amp;COUNTIF($F$4:$F391,$F391))</f>
        <v/>
      </c>
      <c r="AC391" s="40" t="str">
        <f aca="false">IF($B391="","",IF(AND(OR(CETAK!$J$10="",$F391=CETAK!$J$10),OR(CETAK!$J$11="",$G391=CETAK!$J$11),OR(CETAK!$J$12="",$P391=CETAK!$J$12),OR(CETAK!$J$13="",$N391=CETAK!$J$13),OR(CETAK!$J$14="",$T391=CETAK!$J$14)),MAX($AC$3:AC390)+1,""))</f>
        <v/>
      </c>
      <c r="AD391" s="40" t="str">
        <f aca="false">IF($B391="","",IF(AND(OR(ABSENSI!$H$10="",$F391=ABSENSI!$H$10),OR(ABSENSI!$H$11="",$G391=ABSENSI!$H$11),OR(ABSENSI!$H$12="",$P391=ABSENSI!$H$12)),MAX($AD$3:AD390)+1,""))</f>
        <v/>
      </c>
      <c r="AE391" s="40" t="str">
        <f aca="false">IF($B391="","",IF(AND(OR(KARTU!$K$6="",$F391=KARTU!$K$6),OR(KARTU!$K$7="",$G391=KARTU!$K$7),OR(KARTU!$K$8="",$P391=KARTU!$K$8)),MAX($AE$3:AE390)+1,""))</f>
        <v/>
      </c>
    </row>
    <row r="392" customFormat="false" ht="15" hidden="false" customHeight="false" outlineLevel="0" collapsed="false">
      <c r="A392" s="35" t="str">
        <f aca="false">IF($B392="","",COUNTA($B$4:$B392))</f>
        <v/>
      </c>
      <c r="B392" s="36"/>
      <c r="C392" s="37"/>
      <c r="D392" s="37"/>
      <c r="E392" s="38"/>
      <c r="F392" s="36"/>
      <c r="G392" s="39"/>
      <c r="H392" s="39"/>
      <c r="I392" s="36"/>
      <c r="J392" s="36"/>
      <c r="K392" s="36"/>
      <c r="L392" s="36"/>
      <c r="M392" s="40" t="str">
        <f aca="false">IF($F392="","",$F392&amp;IF($G392="",""," - RT "&amp;$G392&amp;IF($H392="","","/"&amp;$H392)))</f>
        <v/>
      </c>
      <c r="N392" s="36"/>
      <c r="O392" s="37"/>
      <c r="P392" s="39"/>
      <c r="Q392" s="41"/>
      <c r="R392" s="35" t="str">
        <f aca="true">IF(OR($B392="",$Q392=""),"",DATEDIF($Q392,TODAY(),"Y"))</f>
        <v/>
      </c>
      <c r="S392" s="40" t="str">
        <f aca="false">IF($R392="","",INDEX(usia_label,MATCH($R392,usia_min,1)))</f>
        <v/>
      </c>
      <c r="T392" s="36"/>
      <c r="U392" s="41"/>
      <c r="V392" s="36"/>
      <c r="W392" s="36"/>
      <c r="X392" s="40" t="str">
        <f aca="false">IF($M392="","",$M392&amp;"#"&amp;COUNTIF($M$4:$M392,$M392))</f>
        <v/>
      </c>
      <c r="Y392" s="40" t="str">
        <f aca="false">IF($B392="","",IF($C392="","NIK kosong",IF(LEN($C392)&lt;&gt;16,"NIK bukan 16 digit",IF(COUNTIF($C$4:$C$2003,$C392&amp;"*")&gt;1,"NIK ganda",IF(AND($D392&lt;&gt;"",LEN($D392)&lt;&gt;16),"No. KK bukan 16 digit",IF(AND($F392="",$I392=""),"Alamat kosong",IF($N392="","Jabatan kosong",IF($O392="","No. HP kosong",IF(AND($R392&lt;&gt;"",$R392&lt;17),"Usia di bawah 17","")))))))))</f>
        <v/>
      </c>
      <c r="Z392" s="40" t="str">
        <f aca="false">IF($B392="","",IF(AND(OR(CARI!$C$5="",ISNUMBER(SEARCH(CARI!$C$5,$B392&amp;" "&amp;$C392&amp;" "&amp;$D392&amp;" "&amp;$O392&amp;" "&amp;$I392&amp;" "&amp;$F392&amp;" "&amp;$J392&amp;" "&amp;$K392&amp;" "&amp;$L392&amp;" "&amp;$V392))),OR(CARI!$C$6="",$F392=CARI!$C$6),OR(CARI!$C$7="",$G392=CARI!$C$7),OR(CARI!$C$8="",$T392=CARI!$C$8)),MAX($Z$3:Z391)+1,""))</f>
        <v/>
      </c>
      <c r="AA392" s="40" t="str">
        <f aca="false">IF($Y392="","",MAX($AA$3:AA391)+1)</f>
        <v/>
      </c>
      <c r="AB392" s="40" t="str">
        <f aca="false">IF($F392="","",$F392&amp;"#"&amp;COUNTIF($F$4:$F392,$F392))</f>
        <v/>
      </c>
      <c r="AC392" s="40" t="str">
        <f aca="false">IF($B392="","",IF(AND(OR(CETAK!$J$10="",$F392=CETAK!$J$10),OR(CETAK!$J$11="",$G392=CETAK!$J$11),OR(CETAK!$J$12="",$P392=CETAK!$J$12),OR(CETAK!$J$13="",$N392=CETAK!$J$13),OR(CETAK!$J$14="",$T392=CETAK!$J$14)),MAX($AC$3:AC391)+1,""))</f>
        <v/>
      </c>
      <c r="AD392" s="40" t="str">
        <f aca="false">IF($B392="","",IF(AND(OR(ABSENSI!$H$10="",$F392=ABSENSI!$H$10),OR(ABSENSI!$H$11="",$G392=ABSENSI!$H$11),OR(ABSENSI!$H$12="",$P392=ABSENSI!$H$12)),MAX($AD$3:AD391)+1,""))</f>
        <v/>
      </c>
      <c r="AE392" s="40" t="str">
        <f aca="false">IF($B392="","",IF(AND(OR(KARTU!$K$6="",$F392=KARTU!$K$6),OR(KARTU!$K$7="",$G392=KARTU!$K$7),OR(KARTU!$K$8="",$P392=KARTU!$K$8)),MAX($AE$3:AE391)+1,""))</f>
        <v/>
      </c>
    </row>
    <row r="393" customFormat="false" ht="15" hidden="false" customHeight="false" outlineLevel="0" collapsed="false">
      <c r="A393" s="35" t="str">
        <f aca="false">IF($B393="","",COUNTA($B$4:$B393))</f>
        <v/>
      </c>
      <c r="B393" s="36"/>
      <c r="C393" s="37"/>
      <c r="D393" s="37"/>
      <c r="E393" s="38"/>
      <c r="F393" s="36"/>
      <c r="G393" s="39"/>
      <c r="H393" s="39"/>
      <c r="I393" s="36"/>
      <c r="J393" s="36"/>
      <c r="K393" s="36"/>
      <c r="L393" s="36"/>
      <c r="M393" s="40" t="str">
        <f aca="false">IF($F393="","",$F393&amp;IF($G393="",""," - RT "&amp;$G393&amp;IF($H393="","","/"&amp;$H393)))</f>
        <v/>
      </c>
      <c r="N393" s="36"/>
      <c r="O393" s="37"/>
      <c r="P393" s="39"/>
      <c r="Q393" s="41"/>
      <c r="R393" s="35" t="str">
        <f aca="true">IF(OR($B393="",$Q393=""),"",DATEDIF($Q393,TODAY(),"Y"))</f>
        <v/>
      </c>
      <c r="S393" s="40" t="str">
        <f aca="false">IF($R393="","",INDEX(usia_label,MATCH($R393,usia_min,1)))</f>
        <v/>
      </c>
      <c r="T393" s="36"/>
      <c r="U393" s="41"/>
      <c r="V393" s="36"/>
      <c r="W393" s="36"/>
      <c r="X393" s="40" t="str">
        <f aca="false">IF($M393="","",$M393&amp;"#"&amp;COUNTIF($M$4:$M393,$M393))</f>
        <v/>
      </c>
      <c r="Y393" s="40" t="str">
        <f aca="false">IF($B393="","",IF($C393="","NIK kosong",IF(LEN($C393)&lt;&gt;16,"NIK bukan 16 digit",IF(COUNTIF($C$4:$C$2003,$C393&amp;"*")&gt;1,"NIK ganda",IF(AND($D393&lt;&gt;"",LEN($D393)&lt;&gt;16),"No. KK bukan 16 digit",IF(AND($F393="",$I393=""),"Alamat kosong",IF($N393="","Jabatan kosong",IF($O393="","No. HP kosong",IF(AND($R393&lt;&gt;"",$R393&lt;17),"Usia di bawah 17","")))))))))</f>
        <v/>
      </c>
      <c r="Z393" s="40" t="str">
        <f aca="false">IF($B393="","",IF(AND(OR(CARI!$C$5="",ISNUMBER(SEARCH(CARI!$C$5,$B393&amp;" "&amp;$C393&amp;" "&amp;$D393&amp;" "&amp;$O393&amp;" "&amp;$I393&amp;" "&amp;$F393&amp;" "&amp;$J393&amp;" "&amp;$K393&amp;" "&amp;$L393&amp;" "&amp;$V393))),OR(CARI!$C$6="",$F393=CARI!$C$6),OR(CARI!$C$7="",$G393=CARI!$C$7),OR(CARI!$C$8="",$T393=CARI!$C$8)),MAX($Z$3:Z392)+1,""))</f>
        <v/>
      </c>
      <c r="AA393" s="40" t="str">
        <f aca="false">IF($Y393="","",MAX($AA$3:AA392)+1)</f>
        <v/>
      </c>
      <c r="AB393" s="40" t="str">
        <f aca="false">IF($F393="","",$F393&amp;"#"&amp;COUNTIF($F$4:$F393,$F393))</f>
        <v/>
      </c>
      <c r="AC393" s="40" t="str">
        <f aca="false">IF($B393="","",IF(AND(OR(CETAK!$J$10="",$F393=CETAK!$J$10),OR(CETAK!$J$11="",$G393=CETAK!$J$11),OR(CETAK!$J$12="",$P393=CETAK!$J$12),OR(CETAK!$J$13="",$N393=CETAK!$J$13),OR(CETAK!$J$14="",$T393=CETAK!$J$14)),MAX($AC$3:AC392)+1,""))</f>
        <v/>
      </c>
      <c r="AD393" s="40" t="str">
        <f aca="false">IF($B393="","",IF(AND(OR(ABSENSI!$H$10="",$F393=ABSENSI!$H$10),OR(ABSENSI!$H$11="",$G393=ABSENSI!$H$11),OR(ABSENSI!$H$12="",$P393=ABSENSI!$H$12)),MAX($AD$3:AD392)+1,""))</f>
        <v/>
      </c>
      <c r="AE393" s="40" t="str">
        <f aca="false">IF($B393="","",IF(AND(OR(KARTU!$K$6="",$F393=KARTU!$K$6),OR(KARTU!$K$7="",$G393=KARTU!$K$7),OR(KARTU!$K$8="",$P393=KARTU!$K$8)),MAX($AE$3:AE392)+1,""))</f>
        <v/>
      </c>
    </row>
    <row r="394" customFormat="false" ht="15" hidden="false" customHeight="false" outlineLevel="0" collapsed="false">
      <c r="A394" s="35" t="str">
        <f aca="false">IF($B394="","",COUNTA($B$4:$B394))</f>
        <v/>
      </c>
      <c r="B394" s="36"/>
      <c r="C394" s="37"/>
      <c r="D394" s="37"/>
      <c r="E394" s="38"/>
      <c r="F394" s="36"/>
      <c r="G394" s="39"/>
      <c r="H394" s="39"/>
      <c r="I394" s="36"/>
      <c r="J394" s="36"/>
      <c r="K394" s="36"/>
      <c r="L394" s="36"/>
      <c r="M394" s="40" t="str">
        <f aca="false">IF($F394="","",$F394&amp;IF($G394="",""," - RT "&amp;$G394&amp;IF($H394="","","/"&amp;$H394)))</f>
        <v/>
      </c>
      <c r="N394" s="36"/>
      <c r="O394" s="37"/>
      <c r="P394" s="39"/>
      <c r="Q394" s="41"/>
      <c r="R394" s="35" t="str">
        <f aca="true">IF(OR($B394="",$Q394=""),"",DATEDIF($Q394,TODAY(),"Y"))</f>
        <v/>
      </c>
      <c r="S394" s="40" t="str">
        <f aca="false">IF($R394="","",INDEX(usia_label,MATCH($R394,usia_min,1)))</f>
        <v/>
      </c>
      <c r="T394" s="36"/>
      <c r="U394" s="41"/>
      <c r="V394" s="36"/>
      <c r="W394" s="36"/>
      <c r="X394" s="40" t="str">
        <f aca="false">IF($M394="","",$M394&amp;"#"&amp;COUNTIF($M$4:$M394,$M394))</f>
        <v/>
      </c>
      <c r="Y394" s="40" t="str">
        <f aca="false">IF($B394="","",IF($C394="","NIK kosong",IF(LEN($C394)&lt;&gt;16,"NIK bukan 16 digit",IF(COUNTIF($C$4:$C$2003,$C394&amp;"*")&gt;1,"NIK ganda",IF(AND($D394&lt;&gt;"",LEN($D394)&lt;&gt;16),"No. KK bukan 16 digit",IF(AND($F394="",$I394=""),"Alamat kosong",IF($N394="","Jabatan kosong",IF($O394="","No. HP kosong",IF(AND($R394&lt;&gt;"",$R394&lt;17),"Usia di bawah 17","")))))))))</f>
        <v/>
      </c>
      <c r="Z394" s="40" t="str">
        <f aca="false">IF($B394="","",IF(AND(OR(CARI!$C$5="",ISNUMBER(SEARCH(CARI!$C$5,$B394&amp;" "&amp;$C394&amp;" "&amp;$D394&amp;" "&amp;$O394&amp;" "&amp;$I394&amp;" "&amp;$F394&amp;" "&amp;$J394&amp;" "&amp;$K394&amp;" "&amp;$L394&amp;" "&amp;$V394))),OR(CARI!$C$6="",$F394=CARI!$C$6),OR(CARI!$C$7="",$G394=CARI!$C$7),OR(CARI!$C$8="",$T394=CARI!$C$8)),MAX($Z$3:Z393)+1,""))</f>
        <v/>
      </c>
      <c r="AA394" s="40" t="str">
        <f aca="false">IF($Y394="","",MAX($AA$3:AA393)+1)</f>
        <v/>
      </c>
      <c r="AB394" s="40" t="str">
        <f aca="false">IF($F394="","",$F394&amp;"#"&amp;COUNTIF($F$4:$F394,$F394))</f>
        <v/>
      </c>
      <c r="AC394" s="40" t="str">
        <f aca="false">IF($B394="","",IF(AND(OR(CETAK!$J$10="",$F394=CETAK!$J$10),OR(CETAK!$J$11="",$G394=CETAK!$J$11),OR(CETAK!$J$12="",$P394=CETAK!$J$12),OR(CETAK!$J$13="",$N394=CETAK!$J$13),OR(CETAK!$J$14="",$T394=CETAK!$J$14)),MAX($AC$3:AC393)+1,""))</f>
        <v/>
      </c>
      <c r="AD394" s="40" t="str">
        <f aca="false">IF($B394="","",IF(AND(OR(ABSENSI!$H$10="",$F394=ABSENSI!$H$10),OR(ABSENSI!$H$11="",$G394=ABSENSI!$H$11),OR(ABSENSI!$H$12="",$P394=ABSENSI!$H$12)),MAX($AD$3:AD393)+1,""))</f>
        <v/>
      </c>
      <c r="AE394" s="40" t="str">
        <f aca="false">IF($B394="","",IF(AND(OR(KARTU!$K$6="",$F394=KARTU!$K$6),OR(KARTU!$K$7="",$G394=KARTU!$K$7),OR(KARTU!$K$8="",$P394=KARTU!$K$8)),MAX($AE$3:AE393)+1,""))</f>
        <v/>
      </c>
    </row>
    <row r="395" customFormat="false" ht="15" hidden="false" customHeight="false" outlineLevel="0" collapsed="false">
      <c r="A395" s="35" t="str">
        <f aca="false">IF($B395="","",COUNTA($B$4:$B395))</f>
        <v/>
      </c>
      <c r="B395" s="36"/>
      <c r="C395" s="37"/>
      <c r="D395" s="37"/>
      <c r="E395" s="38"/>
      <c r="F395" s="36"/>
      <c r="G395" s="39"/>
      <c r="H395" s="39"/>
      <c r="I395" s="36"/>
      <c r="J395" s="36"/>
      <c r="K395" s="36"/>
      <c r="L395" s="36"/>
      <c r="M395" s="40" t="str">
        <f aca="false">IF($F395="","",$F395&amp;IF($G395="",""," - RT "&amp;$G395&amp;IF($H395="","","/"&amp;$H395)))</f>
        <v/>
      </c>
      <c r="N395" s="36"/>
      <c r="O395" s="37"/>
      <c r="P395" s="39"/>
      <c r="Q395" s="41"/>
      <c r="R395" s="35" t="str">
        <f aca="true">IF(OR($B395="",$Q395=""),"",DATEDIF($Q395,TODAY(),"Y"))</f>
        <v/>
      </c>
      <c r="S395" s="40" t="str">
        <f aca="false">IF($R395="","",INDEX(usia_label,MATCH($R395,usia_min,1)))</f>
        <v/>
      </c>
      <c r="T395" s="36"/>
      <c r="U395" s="41"/>
      <c r="V395" s="36"/>
      <c r="W395" s="36"/>
      <c r="X395" s="40" t="str">
        <f aca="false">IF($M395="","",$M395&amp;"#"&amp;COUNTIF($M$4:$M395,$M395))</f>
        <v/>
      </c>
      <c r="Y395" s="40" t="str">
        <f aca="false">IF($B395="","",IF($C395="","NIK kosong",IF(LEN($C395)&lt;&gt;16,"NIK bukan 16 digit",IF(COUNTIF($C$4:$C$2003,$C395&amp;"*")&gt;1,"NIK ganda",IF(AND($D395&lt;&gt;"",LEN($D395)&lt;&gt;16),"No. KK bukan 16 digit",IF(AND($F395="",$I395=""),"Alamat kosong",IF($N395="","Jabatan kosong",IF($O395="","No. HP kosong",IF(AND($R395&lt;&gt;"",$R395&lt;17),"Usia di bawah 17","")))))))))</f>
        <v/>
      </c>
      <c r="Z395" s="40" t="str">
        <f aca="false">IF($B395="","",IF(AND(OR(CARI!$C$5="",ISNUMBER(SEARCH(CARI!$C$5,$B395&amp;" "&amp;$C395&amp;" "&amp;$D395&amp;" "&amp;$O395&amp;" "&amp;$I395&amp;" "&amp;$F395&amp;" "&amp;$J395&amp;" "&amp;$K395&amp;" "&amp;$L395&amp;" "&amp;$V395))),OR(CARI!$C$6="",$F395=CARI!$C$6),OR(CARI!$C$7="",$G395=CARI!$C$7),OR(CARI!$C$8="",$T395=CARI!$C$8)),MAX($Z$3:Z394)+1,""))</f>
        <v/>
      </c>
      <c r="AA395" s="40" t="str">
        <f aca="false">IF($Y395="","",MAX($AA$3:AA394)+1)</f>
        <v/>
      </c>
      <c r="AB395" s="40" t="str">
        <f aca="false">IF($F395="","",$F395&amp;"#"&amp;COUNTIF($F$4:$F395,$F395))</f>
        <v/>
      </c>
      <c r="AC395" s="40" t="str">
        <f aca="false">IF($B395="","",IF(AND(OR(CETAK!$J$10="",$F395=CETAK!$J$10),OR(CETAK!$J$11="",$G395=CETAK!$J$11),OR(CETAK!$J$12="",$P395=CETAK!$J$12),OR(CETAK!$J$13="",$N395=CETAK!$J$13),OR(CETAK!$J$14="",$T395=CETAK!$J$14)),MAX($AC$3:AC394)+1,""))</f>
        <v/>
      </c>
      <c r="AD395" s="40" t="str">
        <f aca="false">IF($B395="","",IF(AND(OR(ABSENSI!$H$10="",$F395=ABSENSI!$H$10),OR(ABSENSI!$H$11="",$G395=ABSENSI!$H$11),OR(ABSENSI!$H$12="",$P395=ABSENSI!$H$12)),MAX($AD$3:AD394)+1,""))</f>
        <v/>
      </c>
      <c r="AE395" s="40" t="str">
        <f aca="false">IF($B395="","",IF(AND(OR(KARTU!$K$6="",$F395=KARTU!$K$6),OR(KARTU!$K$7="",$G395=KARTU!$K$7),OR(KARTU!$K$8="",$P395=KARTU!$K$8)),MAX($AE$3:AE394)+1,""))</f>
        <v/>
      </c>
    </row>
    <row r="396" customFormat="false" ht="15" hidden="false" customHeight="false" outlineLevel="0" collapsed="false">
      <c r="A396" s="35" t="str">
        <f aca="false">IF($B396="","",COUNTA($B$4:$B396))</f>
        <v/>
      </c>
      <c r="B396" s="36"/>
      <c r="C396" s="37"/>
      <c r="D396" s="37"/>
      <c r="E396" s="38"/>
      <c r="F396" s="36"/>
      <c r="G396" s="39"/>
      <c r="H396" s="39"/>
      <c r="I396" s="36"/>
      <c r="J396" s="36"/>
      <c r="K396" s="36"/>
      <c r="L396" s="36"/>
      <c r="M396" s="40" t="str">
        <f aca="false">IF($F396="","",$F396&amp;IF($G396="",""," - RT "&amp;$G396&amp;IF($H396="","","/"&amp;$H396)))</f>
        <v/>
      </c>
      <c r="N396" s="36"/>
      <c r="O396" s="37"/>
      <c r="P396" s="39"/>
      <c r="Q396" s="41"/>
      <c r="R396" s="35" t="str">
        <f aca="true">IF(OR($B396="",$Q396=""),"",DATEDIF($Q396,TODAY(),"Y"))</f>
        <v/>
      </c>
      <c r="S396" s="40" t="str">
        <f aca="false">IF($R396="","",INDEX(usia_label,MATCH($R396,usia_min,1)))</f>
        <v/>
      </c>
      <c r="T396" s="36"/>
      <c r="U396" s="41"/>
      <c r="V396" s="36"/>
      <c r="W396" s="36"/>
      <c r="X396" s="40" t="str">
        <f aca="false">IF($M396="","",$M396&amp;"#"&amp;COUNTIF($M$4:$M396,$M396))</f>
        <v/>
      </c>
      <c r="Y396" s="40" t="str">
        <f aca="false">IF($B396="","",IF($C396="","NIK kosong",IF(LEN($C396)&lt;&gt;16,"NIK bukan 16 digit",IF(COUNTIF($C$4:$C$2003,$C396&amp;"*")&gt;1,"NIK ganda",IF(AND($D396&lt;&gt;"",LEN($D396)&lt;&gt;16),"No. KK bukan 16 digit",IF(AND($F396="",$I396=""),"Alamat kosong",IF($N396="","Jabatan kosong",IF($O396="","No. HP kosong",IF(AND($R396&lt;&gt;"",$R396&lt;17),"Usia di bawah 17","")))))))))</f>
        <v/>
      </c>
      <c r="Z396" s="40" t="str">
        <f aca="false">IF($B396="","",IF(AND(OR(CARI!$C$5="",ISNUMBER(SEARCH(CARI!$C$5,$B396&amp;" "&amp;$C396&amp;" "&amp;$D396&amp;" "&amp;$O396&amp;" "&amp;$I396&amp;" "&amp;$F396&amp;" "&amp;$J396&amp;" "&amp;$K396&amp;" "&amp;$L396&amp;" "&amp;$V396))),OR(CARI!$C$6="",$F396=CARI!$C$6),OR(CARI!$C$7="",$G396=CARI!$C$7),OR(CARI!$C$8="",$T396=CARI!$C$8)),MAX($Z$3:Z395)+1,""))</f>
        <v/>
      </c>
      <c r="AA396" s="40" t="str">
        <f aca="false">IF($Y396="","",MAX($AA$3:AA395)+1)</f>
        <v/>
      </c>
      <c r="AB396" s="40" t="str">
        <f aca="false">IF($F396="","",$F396&amp;"#"&amp;COUNTIF($F$4:$F396,$F396))</f>
        <v/>
      </c>
      <c r="AC396" s="40" t="str">
        <f aca="false">IF($B396="","",IF(AND(OR(CETAK!$J$10="",$F396=CETAK!$J$10),OR(CETAK!$J$11="",$G396=CETAK!$J$11),OR(CETAK!$J$12="",$P396=CETAK!$J$12),OR(CETAK!$J$13="",$N396=CETAK!$J$13),OR(CETAK!$J$14="",$T396=CETAK!$J$14)),MAX($AC$3:AC395)+1,""))</f>
        <v/>
      </c>
      <c r="AD396" s="40" t="str">
        <f aca="false">IF($B396="","",IF(AND(OR(ABSENSI!$H$10="",$F396=ABSENSI!$H$10),OR(ABSENSI!$H$11="",$G396=ABSENSI!$H$11),OR(ABSENSI!$H$12="",$P396=ABSENSI!$H$12)),MAX($AD$3:AD395)+1,""))</f>
        <v/>
      </c>
      <c r="AE396" s="40" t="str">
        <f aca="false">IF($B396="","",IF(AND(OR(KARTU!$K$6="",$F396=KARTU!$K$6),OR(KARTU!$K$7="",$G396=KARTU!$K$7),OR(KARTU!$K$8="",$P396=KARTU!$K$8)),MAX($AE$3:AE395)+1,""))</f>
        <v/>
      </c>
    </row>
    <row r="397" customFormat="false" ht="15" hidden="false" customHeight="false" outlineLevel="0" collapsed="false">
      <c r="A397" s="35" t="str">
        <f aca="false">IF($B397="","",COUNTA($B$4:$B397))</f>
        <v/>
      </c>
      <c r="B397" s="36"/>
      <c r="C397" s="37"/>
      <c r="D397" s="37"/>
      <c r="E397" s="38"/>
      <c r="F397" s="36"/>
      <c r="G397" s="39"/>
      <c r="H397" s="39"/>
      <c r="I397" s="36"/>
      <c r="J397" s="36"/>
      <c r="K397" s="36"/>
      <c r="L397" s="36"/>
      <c r="M397" s="40" t="str">
        <f aca="false">IF($F397="","",$F397&amp;IF($G397="",""," - RT "&amp;$G397&amp;IF($H397="","","/"&amp;$H397)))</f>
        <v/>
      </c>
      <c r="N397" s="36"/>
      <c r="O397" s="37"/>
      <c r="P397" s="39"/>
      <c r="Q397" s="41"/>
      <c r="R397" s="35" t="str">
        <f aca="true">IF(OR($B397="",$Q397=""),"",DATEDIF($Q397,TODAY(),"Y"))</f>
        <v/>
      </c>
      <c r="S397" s="40" t="str">
        <f aca="false">IF($R397="","",INDEX(usia_label,MATCH($R397,usia_min,1)))</f>
        <v/>
      </c>
      <c r="T397" s="36"/>
      <c r="U397" s="41"/>
      <c r="V397" s="36"/>
      <c r="W397" s="36"/>
      <c r="X397" s="40" t="str">
        <f aca="false">IF($M397="","",$M397&amp;"#"&amp;COUNTIF($M$4:$M397,$M397))</f>
        <v/>
      </c>
      <c r="Y397" s="40" t="str">
        <f aca="false">IF($B397="","",IF($C397="","NIK kosong",IF(LEN($C397)&lt;&gt;16,"NIK bukan 16 digit",IF(COUNTIF($C$4:$C$2003,$C397&amp;"*")&gt;1,"NIK ganda",IF(AND($D397&lt;&gt;"",LEN($D397)&lt;&gt;16),"No. KK bukan 16 digit",IF(AND($F397="",$I397=""),"Alamat kosong",IF($N397="","Jabatan kosong",IF($O397="","No. HP kosong",IF(AND($R397&lt;&gt;"",$R397&lt;17),"Usia di bawah 17","")))))))))</f>
        <v/>
      </c>
      <c r="Z397" s="40" t="str">
        <f aca="false">IF($B397="","",IF(AND(OR(CARI!$C$5="",ISNUMBER(SEARCH(CARI!$C$5,$B397&amp;" "&amp;$C397&amp;" "&amp;$D397&amp;" "&amp;$O397&amp;" "&amp;$I397&amp;" "&amp;$F397&amp;" "&amp;$J397&amp;" "&amp;$K397&amp;" "&amp;$L397&amp;" "&amp;$V397))),OR(CARI!$C$6="",$F397=CARI!$C$6),OR(CARI!$C$7="",$G397=CARI!$C$7),OR(CARI!$C$8="",$T397=CARI!$C$8)),MAX($Z$3:Z396)+1,""))</f>
        <v/>
      </c>
      <c r="AA397" s="40" t="str">
        <f aca="false">IF($Y397="","",MAX($AA$3:AA396)+1)</f>
        <v/>
      </c>
      <c r="AB397" s="40" t="str">
        <f aca="false">IF($F397="","",$F397&amp;"#"&amp;COUNTIF($F$4:$F397,$F397))</f>
        <v/>
      </c>
      <c r="AC397" s="40" t="str">
        <f aca="false">IF($B397="","",IF(AND(OR(CETAK!$J$10="",$F397=CETAK!$J$10),OR(CETAK!$J$11="",$G397=CETAK!$J$11),OR(CETAK!$J$12="",$P397=CETAK!$J$12),OR(CETAK!$J$13="",$N397=CETAK!$J$13),OR(CETAK!$J$14="",$T397=CETAK!$J$14)),MAX($AC$3:AC396)+1,""))</f>
        <v/>
      </c>
      <c r="AD397" s="40" t="str">
        <f aca="false">IF($B397="","",IF(AND(OR(ABSENSI!$H$10="",$F397=ABSENSI!$H$10),OR(ABSENSI!$H$11="",$G397=ABSENSI!$H$11),OR(ABSENSI!$H$12="",$P397=ABSENSI!$H$12)),MAX($AD$3:AD396)+1,""))</f>
        <v/>
      </c>
      <c r="AE397" s="40" t="str">
        <f aca="false">IF($B397="","",IF(AND(OR(KARTU!$K$6="",$F397=KARTU!$K$6),OR(KARTU!$K$7="",$G397=KARTU!$K$7),OR(KARTU!$K$8="",$P397=KARTU!$K$8)),MAX($AE$3:AE396)+1,""))</f>
        <v/>
      </c>
    </row>
    <row r="398" customFormat="false" ht="15" hidden="false" customHeight="false" outlineLevel="0" collapsed="false">
      <c r="A398" s="35" t="str">
        <f aca="false">IF($B398="","",COUNTA($B$4:$B398))</f>
        <v/>
      </c>
      <c r="B398" s="36"/>
      <c r="C398" s="37"/>
      <c r="D398" s="37"/>
      <c r="E398" s="38"/>
      <c r="F398" s="36"/>
      <c r="G398" s="39"/>
      <c r="H398" s="39"/>
      <c r="I398" s="36"/>
      <c r="J398" s="36"/>
      <c r="K398" s="36"/>
      <c r="L398" s="36"/>
      <c r="M398" s="40" t="str">
        <f aca="false">IF($F398="","",$F398&amp;IF($G398="",""," - RT "&amp;$G398&amp;IF($H398="","","/"&amp;$H398)))</f>
        <v/>
      </c>
      <c r="N398" s="36"/>
      <c r="O398" s="37"/>
      <c r="P398" s="39"/>
      <c r="Q398" s="41"/>
      <c r="R398" s="35" t="str">
        <f aca="true">IF(OR($B398="",$Q398=""),"",DATEDIF($Q398,TODAY(),"Y"))</f>
        <v/>
      </c>
      <c r="S398" s="40" t="str">
        <f aca="false">IF($R398="","",INDEX(usia_label,MATCH($R398,usia_min,1)))</f>
        <v/>
      </c>
      <c r="T398" s="36"/>
      <c r="U398" s="41"/>
      <c r="V398" s="36"/>
      <c r="W398" s="36"/>
      <c r="X398" s="40" t="str">
        <f aca="false">IF($M398="","",$M398&amp;"#"&amp;COUNTIF($M$4:$M398,$M398))</f>
        <v/>
      </c>
      <c r="Y398" s="40" t="str">
        <f aca="false">IF($B398="","",IF($C398="","NIK kosong",IF(LEN($C398)&lt;&gt;16,"NIK bukan 16 digit",IF(COUNTIF($C$4:$C$2003,$C398&amp;"*")&gt;1,"NIK ganda",IF(AND($D398&lt;&gt;"",LEN($D398)&lt;&gt;16),"No. KK bukan 16 digit",IF(AND($F398="",$I398=""),"Alamat kosong",IF($N398="","Jabatan kosong",IF($O398="","No. HP kosong",IF(AND($R398&lt;&gt;"",$R398&lt;17),"Usia di bawah 17","")))))))))</f>
        <v/>
      </c>
      <c r="Z398" s="40" t="str">
        <f aca="false">IF($B398="","",IF(AND(OR(CARI!$C$5="",ISNUMBER(SEARCH(CARI!$C$5,$B398&amp;" "&amp;$C398&amp;" "&amp;$D398&amp;" "&amp;$O398&amp;" "&amp;$I398&amp;" "&amp;$F398&amp;" "&amp;$J398&amp;" "&amp;$K398&amp;" "&amp;$L398&amp;" "&amp;$V398))),OR(CARI!$C$6="",$F398=CARI!$C$6),OR(CARI!$C$7="",$G398=CARI!$C$7),OR(CARI!$C$8="",$T398=CARI!$C$8)),MAX($Z$3:Z397)+1,""))</f>
        <v/>
      </c>
      <c r="AA398" s="40" t="str">
        <f aca="false">IF($Y398="","",MAX($AA$3:AA397)+1)</f>
        <v/>
      </c>
      <c r="AB398" s="40" t="str">
        <f aca="false">IF($F398="","",$F398&amp;"#"&amp;COUNTIF($F$4:$F398,$F398))</f>
        <v/>
      </c>
      <c r="AC398" s="40" t="str">
        <f aca="false">IF($B398="","",IF(AND(OR(CETAK!$J$10="",$F398=CETAK!$J$10),OR(CETAK!$J$11="",$G398=CETAK!$J$11),OR(CETAK!$J$12="",$P398=CETAK!$J$12),OR(CETAK!$J$13="",$N398=CETAK!$J$13),OR(CETAK!$J$14="",$T398=CETAK!$J$14)),MAX($AC$3:AC397)+1,""))</f>
        <v/>
      </c>
      <c r="AD398" s="40" t="str">
        <f aca="false">IF($B398="","",IF(AND(OR(ABSENSI!$H$10="",$F398=ABSENSI!$H$10),OR(ABSENSI!$H$11="",$G398=ABSENSI!$H$11),OR(ABSENSI!$H$12="",$P398=ABSENSI!$H$12)),MAX($AD$3:AD397)+1,""))</f>
        <v/>
      </c>
      <c r="AE398" s="40" t="str">
        <f aca="false">IF($B398="","",IF(AND(OR(KARTU!$K$6="",$F398=KARTU!$K$6),OR(KARTU!$K$7="",$G398=KARTU!$K$7),OR(KARTU!$K$8="",$P398=KARTU!$K$8)),MAX($AE$3:AE397)+1,""))</f>
        <v/>
      </c>
    </row>
    <row r="399" customFormat="false" ht="15" hidden="false" customHeight="false" outlineLevel="0" collapsed="false">
      <c r="A399" s="35" t="str">
        <f aca="false">IF($B399="","",COUNTA($B$4:$B399))</f>
        <v/>
      </c>
      <c r="B399" s="36"/>
      <c r="C399" s="37"/>
      <c r="D399" s="37"/>
      <c r="E399" s="38"/>
      <c r="F399" s="36"/>
      <c r="G399" s="39"/>
      <c r="H399" s="39"/>
      <c r="I399" s="36"/>
      <c r="J399" s="36"/>
      <c r="K399" s="36"/>
      <c r="L399" s="36"/>
      <c r="M399" s="40" t="str">
        <f aca="false">IF($F399="","",$F399&amp;IF($G399="",""," - RT "&amp;$G399&amp;IF($H399="","","/"&amp;$H399)))</f>
        <v/>
      </c>
      <c r="N399" s="36"/>
      <c r="O399" s="37"/>
      <c r="P399" s="39"/>
      <c r="Q399" s="41"/>
      <c r="R399" s="35" t="str">
        <f aca="true">IF(OR($B399="",$Q399=""),"",DATEDIF($Q399,TODAY(),"Y"))</f>
        <v/>
      </c>
      <c r="S399" s="40" t="str">
        <f aca="false">IF($R399="","",INDEX(usia_label,MATCH($R399,usia_min,1)))</f>
        <v/>
      </c>
      <c r="T399" s="36"/>
      <c r="U399" s="41"/>
      <c r="V399" s="36"/>
      <c r="W399" s="36"/>
      <c r="X399" s="40" t="str">
        <f aca="false">IF($M399="","",$M399&amp;"#"&amp;COUNTIF($M$4:$M399,$M399))</f>
        <v/>
      </c>
      <c r="Y399" s="40" t="str">
        <f aca="false">IF($B399="","",IF($C399="","NIK kosong",IF(LEN($C399)&lt;&gt;16,"NIK bukan 16 digit",IF(COUNTIF($C$4:$C$2003,$C399&amp;"*")&gt;1,"NIK ganda",IF(AND($D399&lt;&gt;"",LEN($D399)&lt;&gt;16),"No. KK bukan 16 digit",IF(AND($F399="",$I399=""),"Alamat kosong",IF($N399="","Jabatan kosong",IF($O399="","No. HP kosong",IF(AND($R399&lt;&gt;"",$R399&lt;17),"Usia di bawah 17","")))))))))</f>
        <v/>
      </c>
      <c r="Z399" s="40" t="str">
        <f aca="false">IF($B399="","",IF(AND(OR(CARI!$C$5="",ISNUMBER(SEARCH(CARI!$C$5,$B399&amp;" "&amp;$C399&amp;" "&amp;$D399&amp;" "&amp;$O399&amp;" "&amp;$I399&amp;" "&amp;$F399&amp;" "&amp;$J399&amp;" "&amp;$K399&amp;" "&amp;$L399&amp;" "&amp;$V399))),OR(CARI!$C$6="",$F399=CARI!$C$6),OR(CARI!$C$7="",$G399=CARI!$C$7),OR(CARI!$C$8="",$T399=CARI!$C$8)),MAX($Z$3:Z398)+1,""))</f>
        <v/>
      </c>
      <c r="AA399" s="40" t="str">
        <f aca="false">IF($Y399="","",MAX($AA$3:AA398)+1)</f>
        <v/>
      </c>
      <c r="AB399" s="40" t="str">
        <f aca="false">IF($F399="","",$F399&amp;"#"&amp;COUNTIF($F$4:$F399,$F399))</f>
        <v/>
      </c>
      <c r="AC399" s="40" t="str">
        <f aca="false">IF($B399="","",IF(AND(OR(CETAK!$J$10="",$F399=CETAK!$J$10),OR(CETAK!$J$11="",$G399=CETAK!$J$11),OR(CETAK!$J$12="",$P399=CETAK!$J$12),OR(CETAK!$J$13="",$N399=CETAK!$J$13),OR(CETAK!$J$14="",$T399=CETAK!$J$14)),MAX($AC$3:AC398)+1,""))</f>
        <v/>
      </c>
      <c r="AD399" s="40" t="str">
        <f aca="false">IF($B399="","",IF(AND(OR(ABSENSI!$H$10="",$F399=ABSENSI!$H$10),OR(ABSENSI!$H$11="",$G399=ABSENSI!$H$11),OR(ABSENSI!$H$12="",$P399=ABSENSI!$H$12)),MAX($AD$3:AD398)+1,""))</f>
        <v/>
      </c>
      <c r="AE399" s="40" t="str">
        <f aca="false">IF($B399="","",IF(AND(OR(KARTU!$K$6="",$F399=KARTU!$K$6),OR(KARTU!$K$7="",$G399=KARTU!$K$7),OR(KARTU!$K$8="",$P399=KARTU!$K$8)),MAX($AE$3:AE398)+1,""))</f>
        <v/>
      </c>
    </row>
    <row r="400" customFormat="false" ht="15" hidden="false" customHeight="false" outlineLevel="0" collapsed="false">
      <c r="A400" s="35" t="str">
        <f aca="false">IF($B400="","",COUNTA($B$4:$B400))</f>
        <v/>
      </c>
      <c r="B400" s="36"/>
      <c r="C400" s="37"/>
      <c r="D400" s="37"/>
      <c r="E400" s="38"/>
      <c r="F400" s="36"/>
      <c r="G400" s="39"/>
      <c r="H400" s="39"/>
      <c r="I400" s="36"/>
      <c r="J400" s="36"/>
      <c r="K400" s="36"/>
      <c r="L400" s="36"/>
      <c r="M400" s="40" t="str">
        <f aca="false">IF($F400="","",$F400&amp;IF($G400="",""," - RT "&amp;$G400&amp;IF($H400="","","/"&amp;$H400)))</f>
        <v/>
      </c>
      <c r="N400" s="36"/>
      <c r="O400" s="37"/>
      <c r="P400" s="39"/>
      <c r="Q400" s="41"/>
      <c r="R400" s="35" t="str">
        <f aca="true">IF(OR($B400="",$Q400=""),"",DATEDIF($Q400,TODAY(),"Y"))</f>
        <v/>
      </c>
      <c r="S400" s="40" t="str">
        <f aca="false">IF($R400="","",INDEX(usia_label,MATCH($R400,usia_min,1)))</f>
        <v/>
      </c>
      <c r="T400" s="36"/>
      <c r="U400" s="41"/>
      <c r="V400" s="36"/>
      <c r="W400" s="36"/>
      <c r="X400" s="40" t="str">
        <f aca="false">IF($M400="","",$M400&amp;"#"&amp;COUNTIF($M$4:$M400,$M400))</f>
        <v/>
      </c>
      <c r="Y400" s="40" t="str">
        <f aca="false">IF($B400="","",IF($C400="","NIK kosong",IF(LEN($C400)&lt;&gt;16,"NIK bukan 16 digit",IF(COUNTIF($C$4:$C$2003,$C400&amp;"*")&gt;1,"NIK ganda",IF(AND($D400&lt;&gt;"",LEN($D400)&lt;&gt;16),"No. KK bukan 16 digit",IF(AND($F400="",$I400=""),"Alamat kosong",IF($N400="","Jabatan kosong",IF($O400="","No. HP kosong",IF(AND($R400&lt;&gt;"",$R400&lt;17),"Usia di bawah 17","")))))))))</f>
        <v/>
      </c>
      <c r="Z400" s="40" t="str">
        <f aca="false">IF($B400="","",IF(AND(OR(CARI!$C$5="",ISNUMBER(SEARCH(CARI!$C$5,$B400&amp;" "&amp;$C400&amp;" "&amp;$D400&amp;" "&amp;$O400&amp;" "&amp;$I400&amp;" "&amp;$F400&amp;" "&amp;$J400&amp;" "&amp;$K400&amp;" "&amp;$L400&amp;" "&amp;$V400))),OR(CARI!$C$6="",$F400=CARI!$C$6),OR(CARI!$C$7="",$G400=CARI!$C$7),OR(CARI!$C$8="",$T400=CARI!$C$8)),MAX($Z$3:Z399)+1,""))</f>
        <v/>
      </c>
      <c r="AA400" s="40" t="str">
        <f aca="false">IF($Y400="","",MAX($AA$3:AA399)+1)</f>
        <v/>
      </c>
      <c r="AB400" s="40" t="str">
        <f aca="false">IF($F400="","",$F400&amp;"#"&amp;COUNTIF($F$4:$F400,$F400))</f>
        <v/>
      </c>
      <c r="AC400" s="40" t="str">
        <f aca="false">IF($B400="","",IF(AND(OR(CETAK!$J$10="",$F400=CETAK!$J$10),OR(CETAK!$J$11="",$G400=CETAK!$J$11),OR(CETAK!$J$12="",$P400=CETAK!$J$12),OR(CETAK!$J$13="",$N400=CETAK!$J$13),OR(CETAK!$J$14="",$T400=CETAK!$J$14)),MAX($AC$3:AC399)+1,""))</f>
        <v/>
      </c>
      <c r="AD400" s="40" t="str">
        <f aca="false">IF($B400="","",IF(AND(OR(ABSENSI!$H$10="",$F400=ABSENSI!$H$10),OR(ABSENSI!$H$11="",$G400=ABSENSI!$H$11),OR(ABSENSI!$H$12="",$P400=ABSENSI!$H$12)),MAX($AD$3:AD399)+1,""))</f>
        <v/>
      </c>
      <c r="AE400" s="40" t="str">
        <f aca="false">IF($B400="","",IF(AND(OR(KARTU!$K$6="",$F400=KARTU!$K$6),OR(KARTU!$K$7="",$G400=KARTU!$K$7),OR(KARTU!$K$8="",$P400=KARTU!$K$8)),MAX($AE$3:AE399)+1,""))</f>
        <v/>
      </c>
    </row>
    <row r="401" customFormat="false" ht="15" hidden="false" customHeight="false" outlineLevel="0" collapsed="false">
      <c r="A401" s="35" t="str">
        <f aca="false">IF($B401="","",COUNTA($B$4:$B401))</f>
        <v/>
      </c>
      <c r="B401" s="36"/>
      <c r="C401" s="37"/>
      <c r="D401" s="37"/>
      <c r="E401" s="38"/>
      <c r="F401" s="36"/>
      <c r="G401" s="39"/>
      <c r="H401" s="39"/>
      <c r="I401" s="36"/>
      <c r="J401" s="36"/>
      <c r="K401" s="36"/>
      <c r="L401" s="36"/>
      <c r="M401" s="40" t="str">
        <f aca="false">IF($F401="","",$F401&amp;IF($G401="",""," - RT "&amp;$G401&amp;IF($H401="","","/"&amp;$H401)))</f>
        <v/>
      </c>
      <c r="N401" s="36"/>
      <c r="O401" s="37"/>
      <c r="P401" s="39"/>
      <c r="Q401" s="41"/>
      <c r="R401" s="35" t="str">
        <f aca="true">IF(OR($B401="",$Q401=""),"",DATEDIF($Q401,TODAY(),"Y"))</f>
        <v/>
      </c>
      <c r="S401" s="40" t="str">
        <f aca="false">IF($R401="","",INDEX(usia_label,MATCH($R401,usia_min,1)))</f>
        <v/>
      </c>
      <c r="T401" s="36"/>
      <c r="U401" s="41"/>
      <c r="V401" s="36"/>
      <c r="W401" s="36"/>
      <c r="X401" s="40" t="str">
        <f aca="false">IF($M401="","",$M401&amp;"#"&amp;COUNTIF($M$4:$M401,$M401))</f>
        <v/>
      </c>
      <c r="Y401" s="40" t="str">
        <f aca="false">IF($B401="","",IF($C401="","NIK kosong",IF(LEN($C401)&lt;&gt;16,"NIK bukan 16 digit",IF(COUNTIF($C$4:$C$2003,$C401&amp;"*")&gt;1,"NIK ganda",IF(AND($D401&lt;&gt;"",LEN($D401)&lt;&gt;16),"No. KK bukan 16 digit",IF(AND($F401="",$I401=""),"Alamat kosong",IF($N401="","Jabatan kosong",IF($O401="","No. HP kosong",IF(AND($R401&lt;&gt;"",$R401&lt;17),"Usia di bawah 17","")))))))))</f>
        <v/>
      </c>
      <c r="Z401" s="40" t="str">
        <f aca="false">IF($B401="","",IF(AND(OR(CARI!$C$5="",ISNUMBER(SEARCH(CARI!$C$5,$B401&amp;" "&amp;$C401&amp;" "&amp;$D401&amp;" "&amp;$O401&amp;" "&amp;$I401&amp;" "&amp;$F401&amp;" "&amp;$J401&amp;" "&amp;$K401&amp;" "&amp;$L401&amp;" "&amp;$V401))),OR(CARI!$C$6="",$F401=CARI!$C$6),OR(CARI!$C$7="",$G401=CARI!$C$7),OR(CARI!$C$8="",$T401=CARI!$C$8)),MAX($Z$3:Z400)+1,""))</f>
        <v/>
      </c>
      <c r="AA401" s="40" t="str">
        <f aca="false">IF($Y401="","",MAX($AA$3:AA400)+1)</f>
        <v/>
      </c>
      <c r="AB401" s="40" t="str">
        <f aca="false">IF($F401="","",$F401&amp;"#"&amp;COUNTIF($F$4:$F401,$F401))</f>
        <v/>
      </c>
      <c r="AC401" s="40" t="str">
        <f aca="false">IF($B401="","",IF(AND(OR(CETAK!$J$10="",$F401=CETAK!$J$10),OR(CETAK!$J$11="",$G401=CETAK!$J$11),OR(CETAK!$J$12="",$P401=CETAK!$J$12),OR(CETAK!$J$13="",$N401=CETAK!$J$13),OR(CETAK!$J$14="",$T401=CETAK!$J$14)),MAX($AC$3:AC400)+1,""))</f>
        <v/>
      </c>
      <c r="AD401" s="40" t="str">
        <f aca="false">IF($B401="","",IF(AND(OR(ABSENSI!$H$10="",$F401=ABSENSI!$H$10),OR(ABSENSI!$H$11="",$G401=ABSENSI!$H$11),OR(ABSENSI!$H$12="",$P401=ABSENSI!$H$12)),MAX($AD$3:AD400)+1,""))</f>
        <v/>
      </c>
      <c r="AE401" s="40" t="str">
        <f aca="false">IF($B401="","",IF(AND(OR(KARTU!$K$6="",$F401=KARTU!$K$6),OR(KARTU!$K$7="",$G401=KARTU!$K$7),OR(KARTU!$K$8="",$P401=KARTU!$K$8)),MAX($AE$3:AE400)+1,""))</f>
        <v/>
      </c>
    </row>
    <row r="402" customFormat="false" ht="15" hidden="false" customHeight="false" outlineLevel="0" collapsed="false">
      <c r="A402" s="35" t="str">
        <f aca="false">IF($B402="","",COUNTA($B$4:$B402))</f>
        <v/>
      </c>
      <c r="B402" s="36"/>
      <c r="C402" s="37"/>
      <c r="D402" s="37"/>
      <c r="E402" s="38"/>
      <c r="F402" s="36"/>
      <c r="G402" s="39"/>
      <c r="H402" s="39"/>
      <c r="I402" s="36"/>
      <c r="J402" s="36"/>
      <c r="K402" s="36"/>
      <c r="L402" s="36"/>
      <c r="M402" s="40" t="str">
        <f aca="false">IF($F402="","",$F402&amp;IF($G402="",""," - RT "&amp;$G402&amp;IF($H402="","","/"&amp;$H402)))</f>
        <v/>
      </c>
      <c r="N402" s="36"/>
      <c r="O402" s="37"/>
      <c r="P402" s="39"/>
      <c r="Q402" s="41"/>
      <c r="R402" s="35" t="str">
        <f aca="true">IF(OR($B402="",$Q402=""),"",DATEDIF($Q402,TODAY(),"Y"))</f>
        <v/>
      </c>
      <c r="S402" s="40" t="str">
        <f aca="false">IF($R402="","",INDEX(usia_label,MATCH($R402,usia_min,1)))</f>
        <v/>
      </c>
      <c r="T402" s="36"/>
      <c r="U402" s="41"/>
      <c r="V402" s="36"/>
      <c r="W402" s="36"/>
      <c r="X402" s="40" t="str">
        <f aca="false">IF($M402="","",$M402&amp;"#"&amp;COUNTIF($M$4:$M402,$M402))</f>
        <v/>
      </c>
      <c r="Y402" s="40" t="str">
        <f aca="false">IF($B402="","",IF($C402="","NIK kosong",IF(LEN($C402)&lt;&gt;16,"NIK bukan 16 digit",IF(COUNTIF($C$4:$C$2003,$C402&amp;"*")&gt;1,"NIK ganda",IF(AND($D402&lt;&gt;"",LEN($D402)&lt;&gt;16),"No. KK bukan 16 digit",IF(AND($F402="",$I402=""),"Alamat kosong",IF($N402="","Jabatan kosong",IF($O402="","No. HP kosong",IF(AND($R402&lt;&gt;"",$R402&lt;17),"Usia di bawah 17","")))))))))</f>
        <v/>
      </c>
      <c r="Z402" s="40" t="str">
        <f aca="false">IF($B402="","",IF(AND(OR(CARI!$C$5="",ISNUMBER(SEARCH(CARI!$C$5,$B402&amp;" "&amp;$C402&amp;" "&amp;$D402&amp;" "&amp;$O402&amp;" "&amp;$I402&amp;" "&amp;$F402&amp;" "&amp;$J402&amp;" "&amp;$K402&amp;" "&amp;$L402&amp;" "&amp;$V402))),OR(CARI!$C$6="",$F402=CARI!$C$6),OR(CARI!$C$7="",$G402=CARI!$C$7),OR(CARI!$C$8="",$T402=CARI!$C$8)),MAX($Z$3:Z401)+1,""))</f>
        <v/>
      </c>
      <c r="AA402" s="40" t="str">
        <f aca="false">IF($Y402="","",MAX($AA$3:AA401)+1)</f>
        <v/>
      </c>
      <c r="AB402" s="40" t="str">
        <f aca="false">IF($F402="","",$F402&amp;"#"&amp;COUNTIF($F$4:$F402,$F402))</f>
        <v/>
      </c>
      <c r="AC402" s="40" t="str">
        <f aca="false">IF($B402="","",IF(AND(OR(CETAK!$J$10="",$F402=CETAK!$J$10),OR(CETAK!$J$11="",$G402=CETAK!$J$11),OR(CETAK!$J$12="",$P402=CETAK!$J$12),OR(CETAK!$J$13="",$N402=CETAK!$J$13),OR(CETAK!$J$14="",$T402=CETAK!$J$14)),MAX($AC$3:AC401)+1,""))</f>
        <v/>
      </c>
      <c r="AD402" s="40" t="str">
        <f aca="false">IF($B402="","",IF(AND(OR(ABSENSI!$H$10="",$F402=ABSENSI!$H$10),OR(ABSENSI!$H$11="",$G402=ABSENSI!$H$11),OR(ABSENSI!$H$12="",$P402=ABSENSI!$H$12)),MAX($AD$3:AD401)+1,""))</f>
        <v/>
      </c>
      <c r="AE402" s="40" t="str">
        <f aca="false">IF($B402="","",IF(AND(OR(KARTU!$K$6="",$F402=KARTU!$K$6),OR(KARTU!$K$7="",$G402=KARTU!$K$7),OR(KARTU!$K$8="",$P402=KARTU!$K$8)),MAX($AE$3:AE401)+1,""))</f>
        <v/>
      </c>
    </row>
    <row r="403" customFormat="false" ht="15" hidden="false" customHeight="false" outlineLevel="0" collapsed="false">
      <c r="A403" s="35" t="str">
        <f aca="false">IF($B403="","",COUNTA($B$4:$B403))</f>
        <v/>
      </c>
      <c r="B403" s="36"/>
      <c r="C403" s="37"/>
      <c r="D403" s="37"/>
      <c r="E403" s="38"/>
      <c r="F403" s="36"/>
      <c r="G403" s="39"/>
      <c r="H403" s="39"/>
      <c r="I403" s="36"/>
      <c r="J403" s="36"/>
      <c r="K403" s="36"/>
      <c r="L403" s="36"/>
      <c r="M403" s="40" t="str">
        <f aca="false">IF($F403="","",$F403&amp;IF($G403="",""," - RT "&amp;$G403&amp;IF($H403="","","/"&amp;$H403)))</f>
        <v/>
      </c>
      <c r="N403" s="36"/>
      <c r="O403" s="37"/>
      <c r="P403" s="39"/>
      <c r="Q403" s="41"/>
      <c r="R403" s="35" t="str">
        <f aca="true">IF(OR($B403="",$Q403=""),"",DATEDIF($Q403,TODAY(),"Y"))</f>
        <v/>
      </c>
      <c r="S403" s="40" t="str">
        <f aca="false">IF($R403="","",INDEX(usia_label,MATCH($R403,usia_min,1)))</f>
        <v/>
      </c>
      <c r="T403" s="36"/>
      <c r="U403" s="41"/>
      <c r="V403" s="36"/>
      <c r="W403" s="36"/>
      <c r="X403" s="40" t="str">
        <f aca="false">IF($M403="","",$M403&amp;"#"&amp;COUNTIF($M$4:$M403,$M403))</f>
        <v/>
      </c>
      <c r="Y403" s="40" t="str">
        <f aca="false">IF($B403="","",IF($C403="","NIK kosong",IF(LEN($C403)&lt;&gt;16,"NIK bukan 16 digit",IF(COUNTIF($C$4:$C$2003,$C403&amp;"*")&gt;1,"NIK ganda",IF(AND($D403&lt;&gt;"",LEN($D403)&lt;&gt;16),"No. KK bukan 16 digit",IF(AND($F403="",$I403=""),"Alamat kosong",IF($N403="","Jabatan kosong",IF($O403="","No. HP kosong",IF(AND($R403&lt;&gt;"",$R403&lt;17),"Usia di bawah 17","")))))))))</f>
        <v/>
      </c>
      <c r="Z403" s="40" t="str">
        <f aca="false">IF($B403="","",IF(AND(OR(CARI!$C$5="",ISNUMBER(SEARCH(CARI!$C$5,$B403&amp;" "&amp;$C403&amp;" "&amp;$D403&amp;" "&amp;$O403&amp;" "&amp;$I403&amp;" "&amp;$F403&amp;" "&amp;$J403&amp;" "&amp;$K403&amp;" "&amp;$L403&amp;" "&amp;$V403))),OR(CARI!$C$6="",$F403=CARI!$C$6),OR(CARI!$C$7="",$G403=CARI!$C$7),OR(CARI!$C$8="",$T403=CARI!$C$8)),MAX($Z$3:Z402)+1,""))</f>
        <v/>
      </c>
      <c r="AA403" s="40" t="str">
        <f aca="false">IF($Y403="","",MAX($AA$3:AA402)+1)</f>
        <v/>
      </c>
      <c r="AB403" s="40" t="str">
        <f aca="false">IF($F403="","",$F403&amp;"#"&amp;COUNTIF($F$4:$F403,$F403))</f>
        <v/>
      </c>
      <c r="AC403" s="40" t="str">
        <f aca="false">IF($B403="","",IF(AND(OR(CETAK!$J$10="",$F403=CETAK!$J$10),OR(CETAK!$J$11="",$G403=CETAK!$J$11),OR(CETAK!$J$12="",$P403=CETAK!$J$12),OR(CETAK!$J$13="",$N403=CETAK!$J$13),OR(CETAK!$J$14="",$T403=CETAK!$J$14)),MAX($AC$3:AC402)+1,""))</f>
        <v/>
      </c>
      <c r="AD403" s="40" t="str">
        <f aca="false">IF($B403="","",IF(AND(OR(ABSENSI!$H$10="",$F403=ABSENSI!$H$10),OR(ABSENSI!$H$11="",$G403=ABSENSI!$H$11),OR(ABSENSI!$H$12="",$P403=ABSENSI!$H$12)),MAX($AD$3:AD402)+1,""))</f>
        <v/>
      </c>
      <c r="AE403" s="40" t="str">
        <f aca="false">IF($B403="","",IF(AND(OR(KARTU!$K$6="",$F403=KARTU!$K$6),OR(KARTU!$K$7="",$G403=KARTU!$K$7),OR(KARTU!$K$8="",$P403=KARTU!$K$8)),MAX($AE$3:AE402)+1,""))</f>
        <v/>
      </c>
    </row>
    <row r="404" customFormat="false" ht="15" hidden="false" customHeight="false" outlineLevel="0" collapsed="false">
      <c r="A404" s="35" t="str">
        <f aca="false">IF($B404="","",COUNTA($B$4:$B404))</f>
        <v/>
      </c>
      <c r="B404" s="36"/>
      <c r="C404" s="37"/>
      <c r="D404" s="37"/>
      <c r="E404" s="38"/>
      <c r="F404" s="36"/>
      <c r="G404" s="39"/>
      <c r="H404" s="39"/>
      <c r="I404" s="36"/>
      <c r="J404" s="36"/>
      <c r="K404" s="36"/>
      <c r="L404" s="36"/>
      <c r="M404" s="40" t="str">
        <f aca="false">IF($F404="","",$F404&amp;IF($G404="",""," - RT "&amp;$G404&amp;IF($H404="","","/"&amp;$H404)))</f>
        <v/>
      </c>
      <c r="N404" s="36"/>
      <c r="O404" s="37"/>
      <c r="P404" s="39"/>
      <c r="Q404" s="41"/>
      <c r="R404" s="35" t="str">
        <f aca="true">IF(OR($B404="",$Q404=""),"",DATEDIF($Q404,TODAY(),"Y"))</f>
        <v/>
      </c>
      <c r="S404" s="40" t="str">
        <f aca="false">IF($R404="","",INDEX(usia_label,MATCH($R404,usia_min,1)))</f>
        <v/>
      </c>
      <c r="T404" s="36"/>
      <c r="U404" s="41"/>
      <c r="V404" s="36"/>
      <c r="W404" s="36"/>
      <c r="X404" s="40" t="str">
        <f aca="false">IF($M404="","",$M404&amp;"#"&amp;COUNTIF($M$4:$M404,$M404))</f>
        <v/>
      </c>
      <c r="Y404" s="40" t="str">
        <f aca="false">IF($B404="","",IF($C404="","NIK kosong",IF(LEN($C404)&lt;&gt;16,"NIK bukan 16 digit",IF(COUNTIF($C$4:$C$2003,$C404&amp;"*")&gt;1,"NIK ganda",IF(AND($D404&lt;&gt;"",LEN($D404)&lt;&gt;16),"No. KK bukan 16 digit",IF(AND($F404="",$I404=""),"Alamat kosong",IF($N404="","Jabatan kosong",IF($O404="","No. HP kosong",IF(AND($R404&lt;&gt;"",$R404&lt;17),"Usia di bawah 17","")))))))))</f>
        <v/>
      </c>
      <c r="Z404" s="40" t="str">
        <f aca="false">IF($B404="","",IF(AND(OR(CARI!$C$5="",ISNUMBER(SEARCH(CARI!$C$5,$B404&amp;" "&amp;$C404&amp;" "&amp;$D404&amp;" "&amp;$O404&amp;" "&amp;$I404&amp;" "&amp;$F404&amp;" "&amp;$J404&amp;" "&amp;$K404&amp;" "&amp;$L404&amp;" "&amp;$V404))),OR(CARI!$C$6="",$F404=CARI!$C$6),OR(CARI!$C$7="",$G404=CARI!$C$7),OR(CARI!$C$8="",$T404=CARI!$C$8)),MAX($Z$3:Z403)+1,""))</f>
        <v/>
      </c>
      <c r="AA404" s="40" t="str">
        <f aca="false">IF($Y404="","",MAX($AA$3:AA403)+1)</f>
        <v/>
      </c>
      <c r="AB404" s="40" t="str">
        <f aca="false">IF($F404="","",$F404&amp;"#"&amp;COUNTIF($F$4:$F404,$F404))</f>
        <v/>
      </c>
      <c r="AC404" s="40" t="str">
        <f aca="false">IF($B404="","",IF(AND(OR(CETAK!$J$10="",$F404=CETAK!$J$10),OR(CETAK!$J$11="",$G404=CETAK!$J$11),OR(CETAK!$J$12="",$P404=CETAK!$J$12),OR(CETAK!$J$13="",$N404=CETAK!$J$13),OR(CETAK!$J$14="",$T404=CETAK!$J$14)),MAX($AC$3:AC403)+1,""))</f>
        <v/>
      </c>
      <c r="AD404" s="40" t="str">
        <f aca="false">IF($B404="","",IF(AND(OR(ABSENSI!$H$10="",$F404=ABSENSI!$H$10),OR(ABSENSI!$H$11="",$G404=ABSENSI!$H$11),OR(ABSENSI!$H$12="",$P404=ABSENSI!$H$12)),MAX($AD$3:AD403)+1,""))</f>
        <v/>
      </c>
      <c r="AE404" s="40" t="str">
        <f aca="false">IF($B404="","",IF(AND(OR(KARTU!$K$6="",$F404=KARTU!$K$6),OR(KARTU!$K$7="",$G404=KARTU!$K$7),OR(KARTU!$K$8="",$P404=KARTU!$K$8)),MAX($AE$3:AE403)+1,""))</f>
        <v/>
      </c>
    </row>
    <row r="405" customFormat="false" ht="15" hidden="false" customHeight="false" outlineLevel="0" collapsed="false">
      <c r="A405" s="35" t="str">
        <f aca="false">IF($B405="","",COUNTA($B$4:$B405))</f>
        <v/>
      </c>
      <c r="B405" s="36"/>
      <c r="C405" s="37"/>
      <c r="D405" s="37"/>
      <c r="E405" s="38"/>
      <c r="F405" s="36"/>
      <c r="G405" s="39"/>
      <c r="H405" s="39"/>
      <c r="I405" s="36"/>
      <c r="J405" s="36"/>
      <c r="K405" s="36"/>
      <c r="L405" s="36"/>
      <c r="M405" s="40" t="str">
        <f aca="false">IF($F405="","",$F405&amp;IF($G405="",""," - RT "&amp;$G405&amp;IF($H405="","","/"&amp;$H405)))</f>
        <v/>
      </c>
      <c r="N405" s="36"/>
      <c r="O405" s="37"/>
      <c r="P405" s="39"/>
      <c r="Q405" s="41"/>
      <c r="R405" s="35" t="str">
        <f aca="true">IF(OR($B405="",$Q405=""),"",DATEDIF($Q405,TODAY(),"Y"))</f>
        <v/>
      </c>
      <c r="S405" s="40" t="str">
        <f aca="false">IF($R405="","",INDEX(usia_label,MATCH($R405,usia_min,1)))</f>
        <v/>
      </c>
      <c r="T405" s="36"/>
      <c r="U405" s="41"/>
      <c r="V405" s="36"/>
      <c r="W405" s="36"/>
      <c r="X405" s="40" t="str">
        <f aca="false">IF($M405="","",$M405&amp;"#"&amp;COUNTIF($M$4:$M405,$M405))</f>
        <v/>
      </c>
      <c r="Y405" s="40" t="str">
        <f aca="false">IF($B405="","",IF($C405="","NIK kosong",IF(LEN($C405)&lt;&gt;16,"NIK bukan 16 digit",IF(COUNTIF($C$4:$C$2003,$C405&amp;"*")&gt;1,"NIK ganda",IF(AND($D405&lt;&gt;"",LEN($D405)&lt;&gt;16),"No. KK bukan 16 digit",IF(AND($F405="",$I405=""),"Alamat kosong",IF($N405="","Jabatan kosong",IF($O405="","No. HP kosong",IF(AND($R405&lt;&gt;"",$R405&lt;17),"Usia di bawah 17","")))))))))</f>
        <v/>
      </c>
      <c r="Z405" s="40" t="str">
        <f aca="false">IF($B405="","",IF(AND(OR(CARI!$C$5="",ISNUMBER(SEARCH(CARI!$C$5,$B405&amp;" "&amp;$C405&amp;" "&amp;$D405&amp;" "&amp;$O405&amp;" "&amp;$I405&amp;" "&amp;$F405&amp;" "&amp;$J405&amp;" "&amp;$K405&amp;" "&amp;$L405&amp;" "&amp;$V405))),OR(CARI!$C$6="",$F405=CARI!$C$6),OR(CARI!$C$7="",$G405=CARI!$C$7),OR(CARI!$C$8="",$T405=CARI!$C$8)),MAX($Z$3:Z404)+1,""))</f>
        <v/>
      </c>
      <c r="AA405" s="40" t="str">
        <f aca="false">IF($Y405="","",MAX($AA$3:AA404)+1)</f>
        <v/>
      </c>
      <c r="AB405" s="40" t="str">
        <f aca="false">IF($F405="","",$F405&amp;"#"&amp;COUNTIF($F$4:$F405,$F405))</f>
        <v/>
      </c>
      <c r="AC405" s="40" t="str">
        <f aca="false">IF($B405="","",IF(AND(OR(CETAK!$J$10="",$F405=CETAK!$J$10),OR(CETAK!$J$11="",$G405=CETAK!$J$11),OR(CETAK!$J$12="",$P405=CETAK!$J$12),OR(CETAK!$J$13="",$N405=CETAK!$J$13),OR(CETAK!$J$14="",$T405=CETAK!$J$14)),MAX($AC$3:AC404)+1,""))</f>
        <v/>
      </c>
      <c r="AD405" s="40" t="str">
        <f aca="false">IF($B405="","",IF(AND(OR(ABSENSI!$H$10="",$F405=ABSENSI!$H$10),OR(ABSENSI!$H$11="",$G405=ABSENSI!$H$11),OR(ABSENSI!$H$12="",$P405=ABSENSI!$H$12)),MAX($AD$3:AD404)+1,""))</f>
        <v/>
      </c>
      <c r="AE405" s="40" t="str">
        <f aca="false">IF($B405="","",IF(AND(OR(KARTU!$K$6="",$F405=KARTU!$K$6),OR(KARTU!$K$7="",$G405=KARTU!$K$7),OR(KARTU!$K$8="",$P405=KARTU!$K$8)),MAX($AE$3:AE404)+1,""))</f>
        <v/>
      </c>
    </row>
    <row r="406" customFormat="false" ht="15" hidden="false" customHeight="false" outlineLevel="0" collapsed="false">
      <c r="A406" s="35" t="str">
        <f aca="false">IF($B406="","",COUNTA($B$4:$B406))</f>
        <v/>
      </c>
      <c r="B406" s="36"/>
      <c r="C406" s="37"/>
      <c r="D406" s="37"/>
      <c r="E406" s="38"/>
      <c r="F406" s="36"/>
      <c r="G406" s="39"/>
      <c r="H406" s="39"/>
      <c r="I406" s="36"/>
      <c r="J406" s="36"/>
      <c r="K406" s="36"/>
      <c r="L406" s="36"/>
      <c r="M406" s="40" t="str">
        <f aca="false">IF($F406="","",$F406&amp;IF($G406="",""," - RT "&amp;$G406&amp;IF($H406="","","/"&amp;$H406)))</f>
        <v/>
      </c>
      <c r="N406" s="36"/>
      <c r="O406" s="37"/>
      <c r="P406" s="39"/>
      <c r="Q406" s="41"/>
      <c r="R406" s="35" t="str">
        <f aca="true">IF(OR($B406="",$Q406=""),"",DATEDIF($Q406,TODAY(),"Y"))</f>
        <v/>
      </c>
      <c r="S406" s="40" t="str">
        <f aca="false">IF($R406="","",INDEX(usia_label,MATCH($R406,usia_min,1)))</f>
        <v/>
      </c>
      <c r="T406" s="36"/>
      <c r="U406" s="41"/>
      <c r="V406" s="36"/>
      <c r="W406" s="36"/>
      <c r="X406" s="40" t="str">
        <f aca="false">IF($M406="","",$M406&amp;"#"&amp;COUNTIF($M$4:$M406,$M406))</f>
        <v/>
      </c>
      <c r="Y406" s="40" t="str">
        <f aca="false">IF($B406="","",IF($C406="","NIK kosong",IF(LEN($C406)&lt;&gt;16,"NIK bukan 16 digit",IF(COUNTIF($C$4:$C$2003,$C406&amp;"*")&gt;1,"NIK ganda",IF(AND($D406&lt;&gt;"",LEN($D406)&lt;&gt;16),"No. KK bukan 16 digit",IF(AND($F406="",$I406=""),"Alamat kosong",IF($N406="","Jabatan kosong",IF($O406="","No. HP kosong",IF(AND($R406&lt;&gt;"",$R406&lt;17),"Usia di bawah 17","")))))))))</f>
        <v/>
      </c>
      <c r="Z406" s="40" t="str">
        <f aca="false">IF($B406="","",IF(AND(OR(CARI!$C$5="",ISNUMBER(SEARCH(CARI!$C$5,$B406&amp;" "&amp;$C406&amp;" "&amp;$D406&amp;" "&amp;$O406&amp;" "&amp;$I406&amp;" "&amp;$F406&amp;" "&amp;$J406&amp;" "&amp;$K406&amp;" "&amp;$L406&amp;" "&amp;$V406))),OR(CARI!$C$6="",$F406=CARI!$C$6),OR(CARI!$C$7="",$G406=CARI!$C$7),OR(CARI!$C$8="",$T406=CARI!$C$8)),MAX($Z$3:Z405)+1,""))</f>
        <v/>
      </c>
      <c r="AA406" s="40" t="str">
        <f aca="false">IF($Y406="","",MAX($AA$3:AA405)+1)</f>
        <v/>
      </c>
      <c r="AB406" s="40" t="str">
        <f aca="false">IF($F406="","",$F406&amp;"#"&amp;COUNTIF($F$4:$F406,$F406))</f>
        <v/>
      </c>
      <c r="AC406" s="40" t="str">
        <f aca="false">IF($B406="","",IF(AND(OR(CETAK!$J$10="",$F406=CETAK!$J$10),OR(CETAK!$J$11="",$G406=CETAK!$J$11),OR(CETAK!$J$12="",$P406=CETAK!$J$12),OR(CETAK!$J$13="",$N406=CETAK!$J$13),OR(CETAK!$J$14="",$T406=CETAK!$J$14)),MAX($AC$3:AC405)+1,""))</f>
        <v/>
      </c>
      <c r="AD406" s="40" t="str">
        <f aca="false">IF($B406="","",IF(AND(OR(ABSENSI!$H$10="",$F406=ABSENSI!$H$10),OR(ABSENSI!$H$11="",$G406=ABSENSI!$H$11),OR(ABSENSI!$H$12="",$P406=ABSENSI!$H$12)),MAX($AD$3:AD405)+1,""))</f>
        <v/>
      </c>
      <c r="AE406" s="40" t="str">
        <f aca="false">IF($B406="","",IF(AND(OR(KARTU!$K$6="",$F406=KARTU!$K$6),OR(KARTU!$K$7="",$G406=KARTU!$K$7),OR(KARTU!$K$8="",$P406=KARTU!$K$8)),MAX($AE$3:AE405)+1,""))</f>
        <v/>
      </c>
    </row>
    <row r="407" customFormat="false" ht="15" hidden="false" customHeight="false" outlineLevel="0" collapsed="false">
      <c r="A407" s="35" t="str">
        <f aca="false">IF($B407="","",COUNTA($B$4:$B407))</f>
        <v/>
      </c>
      <c r="B407" s="36"/>
      <c r="C407" s="37"/>
      <c r="D407" s="37"/>
      <c r="E407" s="38"/>
      <c r="F407" s="36"/>
      <c r="G407" s="39"/>
      <c r="H407" s="39"/>
      <c r="I407" s="36"/>
      <c r="J407" s="36"/>
      <c r="K407" s="36"/>
      <c r="L407" s="36"/>
      <c r="M407" s="40" t="str">
        <f aca="false">IF($F407="","",$F407&amp;IF($G407="",""," - RT "&amp;$G407&amp;IF($H407="","","/"&amp;$H407)))</f>
        <v/>
      </c>
      <c r="N407" s="36"/>
      <c r="O407" s="37"/>
      <c r="P407" s="39"/>
      <c r="Q407" s="41"/>
      <c r="R407" s="35" t="str">
        <f aca="true">IF(OR($B407="",$Q407=""),"",DATEDIF($Q407,TODAY(),"Y"))</f>
        <v/>
      </c>
      <c r="S407" s="40" t="str">
        <f aca="false">IF($R407="","",INDEX(usia_label,MATCH($R407,usia_min,1)))</f>
        <v/>
      </c>
      <c r="T407" s="36"/>
      <c r="U407" s="41"/>
      <c r="V407" s="36"/>
      <c r="W407" s="36"/>
      <c r="X407" s="40" t="str">
        <f aca="false">IF($M407="","",$M407&amp;"#"&amp;COUNTIF($M$4:$M407,$M407))</f>
        <v/>
      </c>
      <c r="Y407" s="40" t="str">
        <f aca="false">IF($B407="","",IF($C407="","NIK kosong",IF(LEN($C407)&lt;&gt;16,"NIK bukan 16 digit",IF(COUNTIF($C$4:$C$2003,$C407&amp;"*")&gt;1,"NIK ganda",IF(AND($D407&lt;&gt;"",LEN($D407)&lt;&gt;16),"No. KK bukan 16 digit",IF(AND($F407="",$I407=""),"Alamat kosong",IF($N407="","Jabatan kosong",IF($O407="","No. HP kosong",IF(AND($R407&lt;&gt;"",$R407&lt;17),"Usia di bawah 17","")))))))))</f>
        <v/>
      </c>
      <c r="Z407" s="40" t="str">
        <f aca="false">IF($B407="","",IF(AND(OR(CARI!$C$5="",ISNUMBER(SEARCH(CARI!$C$5,$B407&amp;" "&amp;$C407&amp;" "&amp;$D407&amp;" "&amp;$O407&amp;" "&amp;$I407&amp;" "&amp;$F407&amp;" "&amp;$J407&amp;" "&amp;$K407&amp;" "&amp;$L407&amp;" "&amp;$V407))),OR(CARI!$C$6="",$F407=CARI!$C$6),OR(CARI!$C$7="",$G407=CARI!$C$7),OR(CARI!$C$8="",$T407=CARI!$C$8)),MAX($Z$3:Z406)+1,""))</f>
        <v/>
      </c>
      <c r="AA407" s="40" t="str">
        <f aca="false">IF($Y407="","",MAX($AA$3:AA406)+1)</f>
        <v/>
      </c>
      <c r="AB407" s="40" t="str">
        <f aca="false">IF($F407="","",$F407&amp;"#"&amp;COUNTIF($F$4:$F407,$F407))</f>
        <v/>
      </c>
      <c r="AC407" s="40" t="str">
        <f aca="false">IF($B407="","",IF(AND(OR(CETAK!$J$10="",$F407=CETAK!$J$10),OR(CETAK!$J$11="",$G407=CETAK!$J$11),OR(CETAK!$J$12="",$P407=CETAK!$J$12),OR(CETAK!$J$13="",$N407=CETAK!$J$13),OR(CETAK!$J$14="",$T407=CETAK!$J$14)),MAX($AC$3:AC406)+1,""))</f>
        <v/>
      </c>
      <c r="AD407" s="40" t="str">
        <f aca="false">IF($B407="","",IF(AND(OR(ABSENSI!$H$10="",$F407=ABSENSI!$H$10),OR(ABSENSI!$H$11="",$G407=ABSENSI!$H$11),OR(ABSENSI!$H$12="",$P407=ABSENSI!$H$12)),MAX($AD$3:AD406)+1,""))</f>
        <v/>
      </c>
      <c r="AE407" s="40" t="str">
        <f aca="false">IF($B407="","",IF(AND(OR(KARTU!$K$6="",$F407=KARTU!$K$6),OR(KARTU!$K$7="",$G407=KARTU!$K$7),OR(KARTU!$K$8="",$P407=KARTU!$K$8)),MAX($AE$3:AE406)+1,""))</f>
        <v/>
      </c>
    </row>
    <row r="408" customFormat="false" ht="15" hidden="false" customHeight="false" outlineLevel="0" collapsed="false">
      <c r="A408" s="35" t="str">
        <f aca="false">IF($B408="","",COUNTA($B$4:$B408))</f>
        <v/>
      </c>
      <c r="B408" s="36"/>
      <c r="C408" s="37"/>
      <c r="D408" s="37"/>
      <c r="E408" s="38"/>
      <c r="F408" s="36"/>
      <c r="G408" s="39"/>
      <c r="H408" s="39"/>
      <c r="I408" s="36"/>
      <c r="J408" s="36"/>
      <c r="K408" s="36"/>
      <c r="L408" s="36"/>
      <c r="M408" s="40" t="str">
        <f aca="false">IF($F408="","",$F408&amp;IF($G408="",""," - RT "&amp;$G408&amp;IF($H408="","","/"&amp;$H408)))</f>
        <v/>
      </c>
      <c r="N408" s="36"/>
      <c r="O408" s="37"/>
      <c r="P408" s="39"/>
      <c r="Q408" s="41"/>
      <c r="R408" s="35" t="str">
        <f aca="true">IF(OR($B408="",$Q408=""),"",DATEDIF($Q408,TODAY(),"Y"))</f>
        <v/>
      </c>
      <c r="S408" s="40" t="str">
        <f aca="false">IF($R408="","",INDEX(usia_label,MATCH($R408,usia_min,1)))</f>
        <v/>
      </c>
      <c r="T408" s="36"/>
      <c r="U408" s="41"/>
      <c r="V408" s="36"/>
      <c r="W408" s="36"/>
      <c r="X408" s="40" t="str">
        <f aca="false">IF($M408="","",$M408&amp;"#"&amp;COUNTIF($M$4:$M408,$M408))</f>
        <v/>
      </c>
      <c r="Y408" s="40" t="str">
        <f aca="false">IF($B408="","",IF($C408="","NIK kosong",IF(LEN($C408)&lt;&gt;16,"NIK bukan 16 digit",IF(COUNTIF($C$4:$C$2003,$C408&amp;"*")&gt;1,"NIK ganda",IF(AND($D408&lt;&gt;"",LEN($D408)&lt;&gt;16),"No. KK bukan 16 digit",IF(AND($F408="",$I408=""),"Alamat kosong",IF($N408="","Jabatan kosong",IF($O408="","No. HP kosong",IF(AND($R408&lt;&gt;"",$R408&lt;17),"Usia di bawah 17","")))))))))</f>
        <v/>
      </c>
      <c r="Z408" s="40" t="str">
        <f aca="false">IF($B408="","",IF(AND(OR(CARI!$C$5="",ISNUMBER(SEARCH(CARI!$C$5,$B408&amp;" "&amp;$C408&amp;" "&amp;$D408&amp;" "&amp;$O408&amp;" "&amp;$I408&amp;" "&amp;$F408&amp;" "&amp;$J408&amp;" "&amp;$K408&amp;" "&amp;$L408&amp;" "&amp;$V408))),OR(CARI!$C$6="",$F408=CARI!$C$6),OR(CARI!$C$7="",$G408=CARI!$C$7),OR(CARI!$C$8="",$T408=CARI!$C$8)),MAX($Z$3:Z407)+1,""))</f>
        <v/>
      </c>
      <c r="AA408" s="40" t="str">
        <f aca="false">IF($Y408="","",MAX($AA$3:AA407)+1)</f>
        <v/>
      </c>
      <c r="AB408" s="40" t="str">
        <f aca="false">IF($F408="","",$F408&amp;"#"&amp;COUNTIF($F$4:$F408,$F408))</f>
        <v/>
      </c>
      <c r="AC408" s="40" t="str">
        <f aca="false">IF($B408="","",IF(AND(OR(CETAK!$J$10="",$F408=CETAK!$J$10),OR(CETAK!$J$11="",$G408=CETAK!$J$11),OR(CETAK!$J$12="",$P408=CETAK!$J$12),OR(CETAK!$J$13="",$N408=CETAK!$J$13),OR(CETAK!$J$14="",$T408=CETAK!$J$14)),MAX($AC$3:AC407)+1,""))</f>
        <v/>
      </c>
      <c r="AD408" s="40" t="str">
        <f aca="false">IF($B408="","",IF(AND(OR(ABSENSI!$H$10="",$F408=ABSENSI!$H$10),OR(ABSENSI!$H$11="",$G408=ABSENSI!$H$11),OR(ABSENSI!$H$12="",$P408=ABSENSI!$H$12)),MAX($AD$3:AD407)+1,""))</f>
        <v/>
      </c>
      <c r="AE408" s="40" t="str">
        <f aca="false">IF($B408="","",IF(AND(OR(KARTU!$K$6="",$F408=KARTU!$K$6),OR(KARTU!$K$7="",$G408=KARTU!$K$7),OR(KARTU!$K$8="",$P408=KARTU!$K$8)),MAX($AE$3:AE407)+1,""))</f>
        <v/>
      </c>
    </row>
    <row r="409" customFormat="false" ht="15" hidden="false" customHeight="false" outlineLevel="0" collapsed="false">
      <c r="A409" s="35" t="str">
        <f aca="false">IF($B409="","",COUNTA($B$4:$B409))</f>
        <v/>
      </c>
      <c r="B409" s="36"/>
      <c r="C409" s="37"/>
      <c r="D409" s="37"/>
      <c r="E409" s="38"/>
      <c r="F409" s="36"/>
      <c r="G409" s="39"/>
      <c r="H409" s="39"/>
      <c r="I409" s="36"/>
      <c r="J409" s="36"/>
      <c r="K409" s="36"/>
      <c r="L409" s="36"/>
      <c r="M409" s="40" t="str">
        <f aca="false">IF($F409="","",$F409&amp;IF($G409="",""," - RT "&amp;$G409&amp;IF($H409="","","/"&amp;$H409)))</f>
        <v/>
      </c>
      <c r="N409" s="36"/>
      <c r="O409" s="37"/>
      <c r="P409" s="39"/>
      <c r="Q409" s="41"/>
      <c r="R409" s="35" t="str">
        <f aca="true">IF(OR($B409="",$Q409=""),"",DATEDIF($Q409,TODAY(),"Y"))</f>
        <v/>
      </c>
      <c r="S409" s="40" t="str">
        <f aca="false">IF($R409="","",INDEX(usia_label,MATCH($R409,usia_min,1)))</f>
        <v/>
      </c>
      <c r="T409" s="36"/>
      <c r="U409" s="41"/>
      <c r="V409" s="36"/>
      <c r="W409" s="36"/>
      <c r="X409" s="40" t="str">
        <f aca="false">IF($M409="","",$M409&amp;"#"&amp;COUNTIF($M$4:$M409,$M409))</f>
        <v/>
      </c>
      <c r="Y409" s="40" t="str">
        <f aca="false">IF($B409="","",IF($C409="","NIK kosong",IF(LEN($C409)&lt;&gt;16,"NIK bukan 16 digit",IF(COUNTIF($C$4:$C$2003,$C409&amp;"*")&gt;1,"NIK ganda",IF(AND($D409&lt;&gt;"",LEN($D409)&lt;&gt;16),"No. KK bukan 16 digit",IF(AND($F409="",$I409=""),"Alamat kosong",IF($N409="","Jabatan kosong",IF($O409="","No. HP kosong",IF(AND($R409&lt;&gt;"",$R409&lt;17),"Usia di bawah 17","")))))))))</f>
        <v/>
      </c>
      <c r="Z409" s="40" t="str">
        <f aca="false">IF($B409="","",IF(AND(OR(CARI!$C$5="",ISNUMBER(SEARCH(CARI!$C$5,$B409&amp;" "&amp;$C409&amp;" "&amp;$D409&amp;" "&amp;$O409&amp;" "&amp;$I409&amp;" "&amp;$F409&amp;" "&amp;$J409&amp;" "&amp;$K409&amp;" "&amp;$L409&amp;" "&amp;$V409))),OR(CARI!$C$6="",$F409=CARI!$C$6),OR(CARI!$C$7="",$G409=CARI!$C$7),OR(CARI!$C$8="",$T409=CARI!$C$8)),MAX($Z$3:Z408)+1,""))</f>
        <v/>
      </c>
      <c r="AA409" s="40" t="str">
        <f aca="false">IF($Y409="","",MAX($AA$3:AA408)+1)</f>
        <v/>
      </c>
      <c r="AB409" s="40" t="str">
        <f aca="false">IF($F409="","",$F409&amp;"#"&amp;COUNTIF($F$4:$F409,$F409))</f>
        <v/>
      </c>
      <c r="AC409" s="40" t="str">
        <f aca="false">IF($B409="","",IF(AND(OR(CETAK!$J$10="",$F409=CETAK!$J$10),OR(CETAK!$J$11="",$G409=CETAK!$J$11),OR(CETAK!$J$12="",$P409=CETAK!$J$12),OR(CETAK!$J$13="",$N409=CETAK!$J$13),OR(CETAK!$J$14="",$T409=CETAK!$J$14)),MAX($AC$3:AC408)+1,""))</f>
        <v/>
      </c>
      <c r="AD409" s="40" t="str">
        <f aca="false">IF($B409="","",IF(AND(OR(ABSENSI!$H$10="",$F409=ABSENSI!$H$10),OR(ABSENSI!$H$11="",$G409=ABSENSI!$H$11),OR(ABSENSI!$H$12="",$P409=ABSENSI!$H$12)),MAX($AD$3:AD408)+1,""))</f>
        <v/>
      </c>
      <c r="AE409" s="40" t="str">
        <f aca="false">IF($B409="","",IF(AND(OR(KARTU!$K$6="",$F409=KARTU!$K$6),OR(KARTU!$K$7="",$G409=KARTU!$K$7),OR(KARTU!$K$8="",$P409=KARTU!$K$8)),MAX($AE$3:AE408)+1,""))</f>
        <v/>
      </c>
    </row>
    <row r="410" customFormat="false" ht="15" hidden="false" customHeight="false" outlineLevel="0" collapsed="false">
      <c r="A410" s="35" t="str">
        <f aca="false">IF($B410="","",COUNTA($B$4:$B410))</f>
        <v/>
      </c>
      <c r="B410" s="36"/>
      <c r="C410" s="37"/>
      <c r="D410" s="37"/>
      <c r="E410" s="38"/>
      <c r="F410" s="36"/>
      <c r="G410" s="39"/>
      <c r="H410" s="39"/>
      <c r="I410" s="36"/>
      <c r="J410" s="36"/>
      <c r="K410" s="36"/>
      <c r="L410" s="36"/>
      <c r="M410" s="40" t="str">
        <f aca="false">IF($F410="","",$F410&amp;IF($G410="",""," - RT "&amp;$G410&amp;IF($H410="","","/"&amp;$H410)))</f>
        <v/>
      </c>
      <c r="N410" s="36"/>
      <c r="O410" s="37"/>
      <c r="P410" s="39"/>
      <c r="Q410" s="41"/>
      <c r="R410" s="35" t="str">
        <f aca="true">IF(OR($B410="",$Q410=""),"",DATEDIF($Q410,TODAY(),"Y"))</f>
        <v/>
      </c>
      <c r="S410" s="40" t="str">
        <f aca="false">IF($R410="","",INDEX(usia_label,MATCH($R410,usia_min,1)))</f>
        <v/>
      </c>
      <c r="T410" s="36"/>
      <c r="U410" s="41"/>
      <c r="V410" s="36"/>
      <c r="W410" s="36"/>
      <c r="X410" s="40" t="str">
        <f aca="false">IF($M410="","",$M410&amp;"#"&amp;COUNTIF($M$4:$M410,$M410))</f>
        <v/>
      </c>
      <c r="Y410" s="40" t="str">
        <f aca="false">IF($B410="","",IF($C410="","NIK kosong",IF(LEN($C410)&lt;&gt;16,"NIK bukan 16 digit",IF(COUNTIF($C$4:$C$2003,$C410&amp;"*")&gt;1,"NIK ganda",IF(AND($D410&lt;&gt;"",LEN($D410)&lt;&gt;16),"No. KK bukan 16 digit",IF(AND($F410="",$I410=""),"Alamat kosong",IF($N410="","Jabatan kosong",IF($O410="","No. HP kosong",IF(AND($R410&lt;&gt;"",$R410&lt;17),"Usia di bawah 17","")))))))))</f>
        <v/>
      </c>
      <c r="Z410" s="40" t="str">
        <f aca="false">IF($B410="","",IF(AND(OR(CARI!$C$5="",ISNUMBER(SEARCH(CARI!$C$5,$B410&amp;" "&amp;$C410&amp;" "&amp;$D410&amp;" "&amp;$O410&amp;" "&amp;$I410&amp;" "&amp;$F410&amp;" "&amp;$J410&amp;" "&amp;$K410&amp;" "&amp;$L410&amp;" "&amp;$V410))),OR(CARI!$C$6="",$F410=CARI!$C$6),OR(CARI!$C$7="",$G410=CARI!$C$7),OR(CARI!$C$8="",$T410=CARI!$C$8)),MAX($Z$3:Z409)+1,""))</f>
        <v/>
      </c>
      <c r="AA410" s="40" t="str">
        <f aca="false">IF($Y410="","",MAX($AA$3:AA409)+1)</f>
        <v/>
      </c>
      <c r="AB410" s="40" t="str">
        <f aca="false">IF($F410="","",$F410&amp;"#"&amp;COUNTIF($F$4:$F410,$F410))</f>
        <v/>
      </c>
      <c r="AC410" s="40" t="str">
        <f aca="false">IF($B410="","",IF(AND(OR(CETAK!$J$10="",$F410=CETAK!$J$10),OR(CETAK!$J$11="",$G410=CETAK!$J$11),OR(CETAK!$J$12="",$P410=CETAK!$J$12),OR(CETAK!$J$13="",$N410=CETAK!$J$13),OR(CETAK!$J$14="",$T410=CETAK!$J$14)),MAX($AC$3:AC409)+1,""))</f>
        <v/>
      </c>
      <c r="AD410" s="40" t="str">
        <f aca="false">IF($B410="","",IF(AND(OR(ABSENSI!$H$10="",$F410=ABSENSI!$H$10),OR(ABSENSI!$H$11="",$G410=ABSENSI!$H$11),OR(ABSENSI!$H$12="",$P410=ABSENSI!$H$12)),MAX($AD$3:AD409)+1,""))</f>
        <v/>
      </c>
      <c r="AE410" s="40" t="str">
        <f aca="false">IF($B410="","",IF(AND(OR(KARTU!$K$6="",$F410=KARTU!$K$6),OR(KARTU!$K$7="",$G410=KARTU!$K$7),OR(KARTU!$K$8="",$P410=KARTU!$K$8)),MAX($AE$3:AE409)+1,""))</f>
        <v/>
      </c>
    </row>
    <row r="411" customFormat="false" ht="15" hidden="false" customHeight="false" outlineLevel="0" collapsed="false">
      <c r="A411" s="35" t="str">
        <f aca="false">IF($B411="","",COUNTA($B$4:$B411))</f>
        <v/>
      </c>
      <c r="B411" s="36"/>
      <c r="C411" s="37"/>
      <c r="D411" s="37"/>
      <c r="E411" s="38"/>
      <c r="F411" s="36"/>
      <c r="G411" s="39"/>
      <c r="H411" s="39"/>
      <c r="I411" s="36"/>
      <c r="J411" s="36"/>
      <c r="K411" s="36"/>
      <c r="L411" s="36"/>
      <c r="M411" s="40" t="str">
        <f aca="false">IF($F411="","",$F411&amp;IF($G411="",""," - RT "&amp;$G411&amp;IF($H411="","","/"&amp;$H411)))</f>
        <v/>
      </c>
      <c r="N411" s="36"/>
      <c r="O411" s="37"/>
      <c r="P411" s="39"/>
      <c r="Q411" s="41"/>
      <c r="R411" s="35" t="str">
        <f aca="true">IF(OR($B411="",$Q411=""),"",DATEDIF($Q411,TODAY(),"Y"))</f>
        <v/>
      </c>
      <c r="S411" s="40" t="str">
        <f aca="false">IF($R411="","",INDEX(usia_label,MATCH($R411,usia_min,1)))</f>
        <v/>
      </c>
      <c r="T411" s="36"/>
      <c r="U411" s="41"/>
      <c r="V411" s="36"/>
      <c r="W411" s="36"/>
      <c r="X411" s="40" t="str">
        <f aca="false">IF($M411="","",$M411&amp;"#"&amp;COUNTIF($M$4:$M411,$M411))</f>
        <v/>
      </c>
      <c r="Y411" s="40" t="str">
        <f aca="false">IF($B411="","",IF($C411="","NIK kosong",IF(LEN($C411)&lt;&gt;16,"NIK bukan 16 digit",IF(COUNTIF($C$4:$C$2003,$C411&amp;"*")&gt;1,"NIK ganda",IF(AND($D411&lt;&gt;"",LEN($D411)&lt;&gt;16),"No. KK bukan 16 digit",IF(AND($F411="",$I411=""),"Alamat kosong",IF($N411="","Jabatan kosong",IF($O411="","No. HP kosong",IF(AND($R411&lt;&gt;"",$R411&lt;17),"Usia di bawah 17","")))))))))</f>
        <v/>
      </c>
      <c r="Z411" s="40" t="str">
        <f aca="false">IF($B411="","",IF(AND(OR(CARI!$C$5="",ISNUMBER(SEARCH(CARI!$C$5,$B411&amp;" "&amp;$C411&amp;" "&amp;$D411&amp;" "&amp;$O411&amp;" "&amp;$I411&amp;" "&amp;$F411&amp;" "&amp;$J411&amp;" "&amp;$K411&amp;" "&amp;$L411&amp;" "&amp;$V411))),OR(CARI!$C$6="",$F411=CARI!$C$6),OR(CARI!$C$7="",$G411=CARI!$C$7),OR(CARI!$C$8="",$T411=CARI!$C$8)),MAX($Z$3:Z410)+1,""))</f>
        <v/>
      </c>
      <c r="AA411" s="40" t="str">
        <f aca="false">IF($Y411="","",MAX($AA$3:AA410)+1)</f>
        <v/>
      </c>
      <c r="AB411" s="40" t="str">
        <f aca="false">IF($F411="","",$F411&amp;"#"&amp;COUNTIF($F$4:$F411,$F411))</f>
        <v/>
      </c>
      <c r="AC411" s="40" t="str">
        <f aca="false">IF($B411="","",IF(AND(OR(CETAK!$J$10="",$F411=CETAK!$J$10),OR(CETAK!$J$11="",$G411=CETAK!$J$11),OR(CETAK!$J$12="",$P411=CETAK!$J$12),OR(CETAK!$J$13="",$N411=CETAK!$J$13),OR(CETAK!$J$14="",$T411=CETAK!$J$14)),MAX($AC$3:AC410)+1,""))</f>
        <v/>
      </c>
      <c r="AD411" s="40" t="str">
        <f aca="false">IF($B411="","",IF(AND(OR(ABSENSI!$H$10="",$F411=ABSENSI!$H$10),OR(ABSENSI!$H$11="",$G411=ABSENSI!$H$11),OR(ABSENSI!$H$12="",$P411=ABSENSI!$H$12)),MAX($AD$3:AD410)+1,""))</f>
        <v/>
      </c>
      <c r="AE411" s="40" t="str">
        <f aca="false">IF($B411="","",IF(AND(OR(KARTU!$K$6="",$F411=KARTU!$K$6),OR(KARTU!$K$7="",$G411=KARTU!$K$7),OR(KARTU!$K$8="",$P411=KARTU!$K$8)),MAX($AE$3:AE410)+1,""))</f>
        <v/>
      </c>
    </row>
    <row r="412" customFormat="false" ht="15" hidden="false" customHeight="false" outlineLevel="0" collapsed="false">
      <c r="A412" s="35" t="str">
        <f aca="false">IF($B412="","",COUNTA($B$4:$B412))</f>
        <v/>
      </c>
      <c r="B412" s="36"/>
      <c r="C412" s="37"/>
      <c r="D412" s="37"/>
      <c r="E412" s="38"/>
      <c r="F412" s="36"/>
      <c r="G412" s="39"/>
      <c r="H412" s="39"/>
      <c r="I412" s="36"/>
      <c r="J412" s="36"/>
      <c r="K412" s="36"/>
      <c r="L412" s="36"/>
      <c r="M412" s="40" t="str">
        <f aca="false">IF($F412="","",$F412&amp;IF($G412="",""," - RT "&amp;$G412&amp;IF($H412="","","/"&amp;$H412)))</f>
        <v/>
      </c>
      <c r="N412" s="36"/>
      <c r="O412" s="37"/>
      <c r="P412" s="39"/>
      <c r="Q412" s="41"/>
      <c r="R412" s="35" t="str">
        <f aca="true">IF(OR($B412="",$Q412=""),"",DATEDIF($Q412,TODAY(),"Y"))</f>
        <v/>
      </c>
      <c r="S412" s="40" t="str">
        <f aca="false">IF($R412="","",INDEX(usia_label,MATCH($R412,usia_min,1)))</f>
        <v/>
      </c>
      <c r="T412" s="36"/>
      <c r="U412" s="41"/>
      <c r="V412" s="36"/>
      <c r="W412" s="36"/>
      <c r="X412" s="40" t="str">
        <f aca="false">IF($M412="","",$M412&amp;"#"&amp;COUNTIF($M$4:$M412,$M412))</f>
        <v/>
      </c>
      <c r="Y412" s="40" t="str">
        <f aca="false">IF($B412="","",IF($C412="","NIK kosong",IF(LEN($C412)&lt;&gt;16,"NIK bukan 16 digit",IF(COUNTIF($C$4:$C$2003,$C412&amp;"*")&gt;1,"NIK ganda",IF(AND($D412&lt;&gt;"",LEN($D412)&lt;&gt;16),"No. KK bukan 16 digit",IF(AND($F412="",$I412=""),"Alamat kosong",IF($N412="","Jabatan kosong",IF($O412="","No. HP kosong",IF(AND($R412&lt;&gt;"",$R412&lt;17),"Usia di bawah 17","")))))))))</f>
        <v/>
      </c>
      <c r="Z412" s="40" t="str">
        <f aca="false">IF($B412="","",IF(AND(OR(CARI!$C$5="",ISNUMBER(SEARCH(CARI!$C$5,$B412&amp;" "&amp;$C412&amp;" "&amp;$D412&amp;" "&amp;$O412&amp;" "&amp;$I412&amp;" "&amp;$F412&amp;" "&amp;$J412&amp;" "&amp;$K412&amp;" "&amp;$L412&amp;" "&amp;$V412))),OR(CARI!$C$6="",$F412=CARI!$C$6),OR(CARI!$C$7="",$G412=CARI!$C$7),OR(CARI!$C$8="",$T412=CARI!$C$8)),MAX($Z$3:Z411)+1,""))</f>
        <v/>
      </c>
      <c r="AA412" s="40" t="str">
        <f aca="false">IF($Y412="","",MAX($AA$3:AA411)+1)</f>
        <v/>
      </c>
      <c r="AB412" s="40" t="str">
        <f aca="false">IF($F412="","",$F412&amp;"#"&amp;COUNTIF($F$4:$F412,$F412))</f>
        <v/>
      </c>
      <c r="AC412" s="40" t="str">
        <f aca="false">IF($B412="","",IF(AND(OR(CETAK!$J$10="",$F412=CETAK!$J$10),OR(CETAK!$J$11="",$G412=CETAK!$J$11),OR(CETAK!$J$12="",$P412=CETAK!$J$12),OR(CETAK!$J$13="",$N412=CETAK!$J$13),OR(CETAK!$J$14="",$T412=CETAK!$J$14)),MAX($AC$3:AC411)+1,""))</f>
        <v/>
      </c>
      <c r="AD412" s="40" t="str">
        <f aca="false">IF($B412="","",IF(AND(OR(ABSENSI!$H$10="",$F412=ABSENSI!$H$10),OR(ABSENSI!$H$11="",$G412=ABSENSI!$H$11),OR(ABSENSI!$H$12="",$P412=ABSENSI!$H$12)),MAX($AD$3:AD411)+1,""))</f>
        <v/>
      </c>
      <c r="AE412" s="40" t="str">
        <f aca="false">IF($B412="","",IF(AND(OR(KARTU!$K$6="",$F412=KARTU!$K$6),OR(KARTU!$K$7="",$G412=KARTU!$K$7),OR(KARTU!$K$8="",$P412=KARTU!$K$8)),MAX($AE$3:AE411)+1,""))</f>
        <v/>
      </c>
    </row>
    <row r="413" customFormat="false" ht="15" hidden="false" customHeight="false" outlineLevel="0" collapsed="false">
      <c r="A413" s="35" t="str">
        <f aca="false">IF($B413="","",COUNTA($B$4:$B413))</f>
        <v/>
      </c>
      <c r="B413" s="36"/>
      <c r="C413" s="37"/>
      <c r="D413" s="37"/>
      <c r="E413" s="38"/>
      <c r="F413" s="36"/>
      <c r="G413" s="39"/>
      <c r="H413" s="39"/>
      <c r="I413" s="36"/>
      <c r="J413" s="36"/>
      <c r="K413" s="36"/>
      <c r="L413" s="36"/>
      <c r="M413" s="40" t="str">
        <f aca="false">IF($F413="","",$F413&amp;IF($G413="",""," - RT "&amp;$G413&amp;IF($H413="","","/"&amp;$H413)))</f>
        <v/>
      </c>
      <c r="N413" s="36"/>
      <c r="O413" s="37"/>
      <c r="P413" s="39"/>
      <c r="Q413" s="41"/>
      <c r="R413" s="35" t="str">
        <f aca="true">IF(OR($B413="",$Q413=""),"",DATEDIF($Q413,TODAY(),"Y"))</f>
        <v/>
      </c>
      <c r="S413" s="40" t="str">
        <f aca="false">IF($R413="","",INDEX(usia_label,MATCH($R413,usia_min,1)))</f>
        <v/>
      </c>
      <c r="T413" s="36"/>
      <c r="U413" s="41"/>
      <c r="V413" s="36"/>
      <c r="W413" s="36"/>
      <c r="X413" s="40" t="str">
        <f aca="false">IF($M413="","",$M413&amp;"#"&amp;COUNTIF($M$4:$M413,$M413))</f>
        <v/>
      </c>
      <c r="Y413" s="40" t="str">
        <f aca="false">IF($B413="","",IF($C413="","NIK kosong",IF(LEN($C413)&lt;&gt;16,"NIK bukan 16 digit",IF(COUNTIF($C$4:$C$2003,$C413&amp;"*")&gt;1,"NIK ganda",IF(AND($D413&lt;&gt;"",LEN($D413)&lt;&gt;16),"No. KK bukan 16 digit",IF(AND($F413="",$I413=""),"Alamat kosong",IF($N413="","Jabatan kosong",IF($O413="","No. HP kosong",IF(AND($R413&lt;&gt;"",$R413&lt;17),"Usia di bawah 17","")))))))))</f>
        <v/>
      </c>
      <c r="Z413" s="40" t="str">
        <f aca="false">IF($B413="","",IF(AND(OR(CARI!$C$5="",ISNUMBER(SEARCH(CARI!$C$5,$B413&amp;" "&amp;$C413&amp;" "&amp;$D413&amp;" "&amp;$O413&amp;" "&amp;$I413&amp;" "&amp;$F413&amp;" "&amp;$J413&amp;" "&amp;$K413&amp;" "&amp;$L413&amp;" "&amp;$V413))),OR(CARI!$C$6="",$F413=CARI!$C$6),OR(CARI!$C$7="",$G413=CARI!$C$7),OR(CARI!$C$8="",$T413=CARI!$C$8)),MAX($Z$3:Z412)+1,""))</f>
        <v/>
      </c>
      <c r="AA413" s="40" t="str">
        <f aca="false">IF($Y413="","",MAX($AA$3:AA412)+1)</f>
        <v/>
      </c>
      <c r="AB413" s="40" t="str">
        <f aca="false">IF($F413="","",$F413&amp;"#"&amp;COUNTIF($F$4:$F413,$F413))</f>
        <v/>
      </c>
      <c r="AC413" s="40" t="str">
        <f aca="false">IF($B413="","",IF(AND(OR(CETAK!$J$10="",$F413=CETAK!$J$10),OR(CETAK!$J$11="",$G413=CETAK!$J$11),OR(CETAK!$J$12="",$P413=CETAK!$J$12),OR(CETAK!$J$13="",$N413=CETAK!$J$13),OR(CETAK!$J$14="",$T413=CETAK!$J$14)),MAX($AC$3:AC412)+1,""))</f>
        <v/>
      </c>
      <c r="AD413" s="40" t="str">
        <f aca="false">IF($B413="","",IF(AND(OR(ABSENSI!$H$10="",$F413=ABSENSI!$H$10),OR(ABSENSI!$H$11="",$G413=ABSENSI!$H$11),OR(ABSENSI!$H$12="",$P413=ABSENSI!$H$12)),MAX($AD$3:AD412)+1,""))</f>
        <v/>
      </c>
      <c r="AE413" s="40" t="str">
        <f aca="false">IF($B413="","",IF(AND(OR(KARTU!$K$6="",$F413=KARTU!$K$6),OR(KARTU!$K$7="",$G413=KARTU!$K$7),OR(KARTU!$K$8="",$P413=KARTU!$K$8)),MAX($AE$3:AE412)+1,""))</f>
        <v/>
      </c>
    </row>
    <row r="414" customFormat="false" ht="15" hidden="false" customHeight="false" outlineLevel="0" collapsed="false">
      <c r="A414" s="35" t="str">
        <f aca="false">IF($B414="","",COUNTA($B$4:$B414))</f>
        <v/>
      </c>
      <c r="B414" s="36"/>
      <c r="C414" s="37"/>
      <c r="D414" s="37"/>
      <c r="E414" s="38"/>
      <c r="F414" s="36"/>
      <c r="G414" s="39"/>
      <c r="H414" s="39"/>
      <c r="I414" s="36"/>
      <c r="J414" s="36"/>
      <c r="K414" s="36"/>
      <c r="L414" s="36"/>
      <c r="M414" s="40" t="str">
        <f aca="false">IF($F414="","",$F414&amp;IF($G414="",""," - RT "&amp;$G414&amp;IF($H414="","","/"&amp;$H414)))</f>
        <v/>
      </c>
      <c r="N414" s="36"/>
      <c r="O414" s="37"/>
      <c r="P414" s="39"/>
      <c r="Q414" s="41"/>
      <c r="R414" s="35" t="str">
        <f aca="true">IF(OR($B414="",$Q414=""),"",DATEDIF($Q414,TODAY(),"Y"))</f>
        <v/>
      </c>
      <c r="S414" s="40" t="str">
        <f aca="false">IF($R414="","",INDEX(usia_label,MATCH($R414,usia_min,1)))</f>
        <v/>
      </c>
      <c r="T414" s="36"/>
      <c r="U414" s="41"/>
      <c r="V414" s="36"/>
      <c r="W414" s="36"/>
      <c r="X414" s="40" t="str">
        <f aca="false">IF($M414="","",$M414&amp;"#"&amp;COUNTIF($M$4:$M414,$M414))</f>
        <v/>
      </c>
      <c r="Y414" s="40" t="str">
        <f aca="false">IF($B414="","",IF($C414="","NIK kosong",IF(LEN($C414)&lt;&gt;16,"NIK bukan 16 digit",IF(COUNTIF($C$4:$C$2003,$C414&amp;"*")&gt;1,"NIK ganda",IF(AND($D414&lt;&gt;"",LEN($D414)&lt;&gt;16),"No. KK bukan 16 digit",IF(AND($F414="",$I414=""),"Alamat kosong",IF($N414="","Jabatan kosong",IF($O414="","No. HP kosong",IF(AND($R414&lt;&gt;"",$R414&lt;17),"Usia di bawah 17","")))))))))</f>
        <v/>
      </c>
      <c r="Z414" s="40" t="str">
        <f aca="false">IF($B414="","",IF(AND(OR(CARI!$C$5="",ISNUMBER(SEARCH(CARI!$C$5,$B414&amp;" "&amp;$C414&amp;" "&amp;$D414&amp;" "&amp;$O414&amp;" "&amp;$I414&amp;" "&amp;$F414&amp;" "&amp;$J414&amp;" "&amp;$K414&amp;" "&amp;$L414&amp;" "&amp;$V414))),OR(CARI!$C$6="",$F414=CARI!$C$6),OR(CARI!$C$7="",$G414=CARI!$C$7),OR(CARI!$C$8="",$T414=CARI!$C$8)),MAX($Z$3:Z413)+1,""))</f>
        <v/>
      </c>
      <c r="AA414" s="40" t="str">
        <f aca="false">IF($Y414="","",MAX($AA$3:AA413)+1)</f>
        <v/>
      </c>
      <c r="AB414" s="40" t="str">
        <f aca="false">IF($F414="","",$F414&amp;"#"&amp;COUNTIF($F$4:$F414,$F414))</f>
        <v/>
      </c>
      <c r="AC414" s="40" t="str">
        <f aca="false">IF($B414="","",IF(AND(OR(CETAK!$J$10="",$F414=CETAK!$J$10),OR(CETAK!$J$11="",$G414=CETAK!$J$11),OR(CETAK!$J$12="",$P414=CETAK!$J$12),OR(CETAK!$J$13="",$N414=CETAK!$J$13),OR(CETAK!$J$14="",$T414=CETAK!$J$14)),MAX($AC$3:AC413)+1,""))</f>
        <v/>
      </c>
      <c r="AD414" s="40" t="str">
        <f aca="false">IF($B414="","",IF(AND(OR(ABSENSI!$H$10="",$F414=ABSENSI!$H$10),OR(ABSENSI!$H$11="",$G414=ABSENSI!$H$11),OR(ABSENSI!$H$12="",$P414=ABSENSI!$H$12)),MAX($AD$3:AD413)+1,""))</f>
        <v/>
      </c>
      <c r="AE414" s="40" t="str">
        <f aca="false">IF($B414="","",IF(AND(OR(KARTU!$K$6="",$F414=KARTU!$K$6),OR(KARTU!$K$7="",$G414=KARTU!$K$7),OR(KARTU!$K$8="",$P414=KARTU!$K$8)),MAX($AE$3:AE413)+1,""))</f>
        <v/>
      </c>
    </row>
    <row r="415" customFormat="false" ht="15" hidden="false" customHeight="false" outlineLevel="0" collapsed="false">
      <c r="A415" s="35" t="str">
        <f aca="false">IF($B415="","",COUNTA($B$4:$B415))</f>
        <v/>
      </c>
      <c r="B415" s="36"/>
      <c r="C415" s="37"/>
      <c r="D415" s="37"/>
      <c r="E415" s="38"/>
      <c r="F415" s="36"/>
      <c r="G415" s="39"/>
      <c r="H415" s="39"/>
      <c r="I415" s="36"/>
      <c r="J415" s="36"/>
      <c r="K415" s="36"/>
      <c r="L415" s="36"/>
      <c r="M415" s="40" t="str">
        <f aca="false">IF($F415="","",$F415&amp;IF($G415="",""," - RT "&amp;$G415&amp;IF($H415="","","/"&amp;$H415)))</f>
        <v/>
      </c>
      <c r="N415" s="36"/>
      <c r="O415" s="37"/>
      <c r="P415" s="39"/>
      <c r="Q415" s="41"/>
      <c r="R415" s="35" t="str">
        <f aca="true">IF(OR($B415="",$Q415=""),"",DATEDIF($Q415,TODAY(),"Y"))</f>
        <v/>
      </c>
      <c r="S415" s="40" t="str">
        <f aca="false">IF($R415="","",INDEX(usia_label,MATCH($R415,usia_min,1)))</f>
        <v/>
      </c>
      <c r="T415" s="36"/>
      <c r="U415" s="41"/>
      <c r="V415" s="36"/>
      <c r="W415" s="36"/>
      <c r="X415" s="40" t="str">
        <f aca="false">IF($M415="","",$M415&amp;"#"&amp;COUNTIF($M$4:$M415,$M415))</f>
        <v/>
      </c>
      <c r="Y415" s="40" t="str">
        <f aca="false">IF($B415="","",IF($C415="","NIK kosong",IF(LEN($C415)&lt;&gt;16,"NIK bukan 16 digit",IF(COUNTIF($C$4:$C$2003,$C415&amp;"*")&gt;1,"NIK ganda",IF(AND($D415&lt;&gt;"",LEN($D415)&lt;&gt;16),"No. KK bukan 16 digit",IF(AND($F415="",$I415=""),"Alamat kosong",IF($N415="","Jabatan kosong",IF($O415="","No. HP kosong",IF(AND($R415&lt;&gt;"",$R415&lt;17),"Usia di bawah 17","")))))))))</f>
        <v/>
      </c>
      <c r="Z415" s="40" t="str">
        <f aca="false">IF($B415="","",IF(AND(OR(CARI!$C$5="",ISNUMBER(SEARCH(CARI!$C$5,$B415&amp;" "&amp;$C415&amp;" "&amp;$D415&amp;" "&amp;$O415&amp;" "&amp;$I415&amp;" "&amp;$F415&amp;" "&amp;$J415&amp;" "&amp;$K415&amp;" "&amp;$L415&amp;" "&amp;$V415))),OR(CARI!$C$6="",$F415=CARI!$C$6),OR(CARI!$C$7="",$G415=CARI!$C$7),OR(CARI!$C$8="",$T415=CARI!$C$8)),MAX($Z$3:Z414)+1,""))</f>
        <v/>
      </c>
      <c r="AA415" s="40" t="str">
        <f aca="false">IF($Y415="","",MAX($AA$3:AA414)+1)</f>
        <v/>
      </c>
      <c r="AB415" s="40" t="str">
        <f aca="false">IF($F415="","",$F415&amp;"#"&amp;COUNTIF($F$4:$F415,$F415))</f>
        <v/>
      </c>
      <c r="AC415" s="40" t="str">
        <f aca="false">IF($B415="","",IF(AND(OR(CETAK!$J$10="",$F415=CETAK!$J$10),OR(CETAK!$J$11="",$G415=CETAK!$J$11),OR(CETAK!$J$12="",$P415=CETAK!$J$12),OR(CETAK!$J$13="",$N415=CETAK!$J$13),OR(CETAK!$J$14="",$T415=CETAK!$J$14)),MAX($AC$3:AC414)+1,""))</f>
        <v/>
      </c>
      <c r="AD415" s="40" t="str">
        <f aca="false">IF($B415="","",IF(AND(OR(ABSENSI!$H$10="",$F415=ABSENSI!$H$10),OR(ABSENSI!$H$11="",$G415=ABSENSI!$H$11),OR(ABSENSI!$H$12="",$P415=ABSENSI!$H$12)),MAX($AD$3:AD414)+1,""))</f>
        <v/>
      </c>
      <c r="AE415" s="40" t="str">
        <f aca="false">IF($B415="","",IF(AND(OR(KARTU!$K$6="",$F415=KARTU!$K$6),OR(KARTU!$K$7="",$G415=KARTU!$K$7),OR(KARTU!$K$8="",$P415=KARTU!$K$8)),MAX($AE$3:AE414)+1,""))</f>
        <v/>
      </c>
    </row>
    <row r="416" customFormat="false" ht="15" hidden="false" customHeight="false" outlineLevel="0" collapsed="false">
      <c r="A416" s="35" t="str">
        <f aca="false">IF($B416="","",COUNTA($B$4:$B416))</f>
        <v/>
      </c>
      <c r="B416" s="36"/>
      <c r="C416" s="37"/>
      <c r="D416" s="37"/>
      <c r="E416" s="38"/>
      <c r="F416" s="36"/>
      <c r="G416" s="39"/>
      <c r="H416" s="39"/>
      <c r="I416" s="36"/>
      <c r="J416" s="36"/>
      <c r="K416" s="36"/>
      <c r="L416" s="36"/>
      <c r="M416" s="40" t="str">
        <f aca="false">IF($F416="","",$F416&amp;IF($G416="",""," - RT "&amp;$G416&amp;IF($H416="","","/"&amp;$H416)))</f>
        <v/>
      </c>
      <c r="N416" s="36"/>
      <c r="O416" s="37"/>
      <c r="P416" s="39"/>
      <c r="Q416" s="41"/>
      <c r="R416" s="35" t="str">
        <f aca="true">IF(OR($B416="",$Q416=""),"",DATEDIF($Q416,TODAY(),"Y"))</f>
        <v/>
      </c>
      <c r="S416" s="40" t="str">
        <f aca="false">IF($R416="","",INDEX(usia_label,MATCH($R416,usia_min,1)))</f>
        <v/>
      </c>
      <c r="T416" s="36"/>
      <c r="U416" s="41"/>
      <c r="V416" s="36"/>
      <c r="W416" s="36"/>
      <c r="X416" s="40" t="str">
        <f aca="false">IF($M416="","",$M416&amp;"#"&amp;COUNTIF($M$4:$M416,$M416))</f>
        <v/>
      </c>
      <c r="Y416" s="40" t="str">
        <f aca="false">IF($B416="","",IF($C416="","NIK kosong",IF(LEN($C416)&lt;&gt;16,"NIK bukan 16 digit",IF(COUNTIF($C$4:$C$2003,$C416&amp;"*")&gt;1,"NIK ganda",IF(AND($D416&lt;&gt;"",LEN($D416)&lt;&gt;16),"No. KK bukan 16 digit",IF(AND($F416="",$I416=""),"Alamat kosong",IF($N416="","Jabatan kosong",IF($O416="","No. HP kosong",IF(AND($R416&lt;&gt;"",$R416&lt;17),"Usia di bawah 17","")))))))))</f>
        <v/>
      </c>
      <c r="Z416" s="40" t="str">
        <f aca="false">IF($B416="","",IF(AND(OR(CARI!$C$5="",ISNUMBER(SEARCH(CARI!$C$5,$B416&amp;" "&amp;$C416&amp;" "&amp;$D416&amp;" "&amp;$O416&amp;" "&amp;$I416&amp;" "&amp;$F416&amp;" "&amp;$J416&amp;" "&amp;$K416&amp;" "&amp;$L416&amp;" "&amp;$V416))),OR(CARI!$C$6="",$F416=CARI!$C$6),OR(CARI!$C$7="",$G416=CARI!$C$7),OR(CARI!$C$8="",$T416=CARI!$C$8)),MAX($Z$3:Z415)+1,""))</f>
        <v/>
      </c>
      <c r="AA416" s="40" t="str">
        <f aca="false">IF($Y416="","",MAX($AA$3:AA415)+1)</f>
        <v/>
      </c>
      <c r="AB416" s="40" t="str">
        <f aca="false">IF($F416="","",$F416&amp;"#"&amp;COUNTIF($F$4:$F416,$F416))</f>
        <v/>
      </c>
      <c r="AC416" s="40" t="str">
        <f aca="false">IF($B416="","",IF(AND(OR(CETAK!$J$10="",$F416=CETAK!$J$10),OR(CETAK!$J$11="",$G416=CETAK!$J$11),OR(CETAK!$J$12="",$P416=CETAK!$J$12),OR(CETAK!$J$13="",$N416=CETAK!$J$13),OR(CETAK!$J$14="",$T416=CETAK!$J$14)),MAX($AC$3:AC415)+1,""))</f>
        <v/>
      </c>
      <c r="AD416" s="40" t="str">
        <f aca="false">IF($B416="","",IF(AND(OR(ABSENSI!$H$10="",$F416=ABSENSI!$H$10),OR(ABSENSI!$H$11="",$G416=ABSENSI!$H$11),OR(ABSENSI!$H$12="",$P416=ABSENSI!$H$12)),MAX($AD$3:AD415)+1,""))</f>
        <v/>
      </c>
      <c r="AE416" s="40" t="str">
        <f aca="false">IF($B416="","",IF(AND(OR(KARTU!$K$6="",$F416=KARTU!$K$6),OR(KARTU!$K$7="",$G416=KARTU!$K$7),OR(KARTU!$K$8="",$P416=KARTU!$K$8)),MAX($AE$3:AE415)+1,""))</f>
        <v/>
      </c>
    </row>
    <row r="417" customFormat="false" ht="15" hidden="false" customHeight="false" outlineLevel="0" collapsed="false">
      <c r="A417" s="35" t="str">
        <f aca="false">IF($B417="","",COUNTA($B$4:$B417))</f>
        <v/>
      </c>
      <c r="B417" s="36"/>
      <c r="C417" s="37"/>
      <c r="D417" s="37"/>
      <c r="E417" s="38"/>
      <c r="F417" s="36"/>
      <c r="G417" s="39"/>
      <c r="H417" s="39"/>
      <c r="I417" s="36"/>
      <c r="J417" s="36"/>
      <c r="K417" s="36"/>
      <c r="L417" s="36"/>
      <c r="M417" s="40" t="str">
        <f aca="false">IF($F417="","",$F417&amp;IF($G417="",""," - RT "&amp;$G417&amp;IF($H417="","","/"&amp;$H417)))</f>
        <v/>
      </c>
      <c r="N417" s="36"/>
      <c r="O417" s="37"/>
      <c r="P417" s="39"/>
      <c r="Q417" s="41"/>
      <c r="R417" s="35" t="str">
        <f aca="true">IF(OR($B417="",$Q417=""),"",DATEDIF($Q417,TODAY(),"Y"))</f>
        <v/>
      </c>
      <c r="S417" s="40" t="str">
        <f aca="false">IF($R417="","",INDEX(usia_label,MATCH($R417,usia_min,1)))</f>
        <v/>
      </c>
      <c r="T417" s="36"/>
      <c r="U417" s="41"/>
      <c r="V417" s="36"/>
      <c r="W417" s="36"/>
      <c r="X417" s="40" t="str">
        <f aca="false">IF($M417="","",$M417&amp;"#"&amp;COUNTIF($M$4:$M417,$M417))</f>
        <v/>
      </c>
      <c r="Y417" s="40" t="str">
        <f aca="false">IF($B417="","",IF($C417="","NIK kosong",IF(LEN($C417)&lt;&gt;16,"NIK bukan 16 digit",IF(COUNTIF($C$4:$C$2003,$C417&amp;"*")&gt;1,"NIK ganda",IF(AND($D417&lt;&gt;"",LEN($D417)&lt;&gt;16),"No. KK bukan 16 digit",IF(AND($F417="",$I417=""),"Alamat kosong",IF($N417="","Jabatan kosong",IF($O417="","No. HP kosong",IF(AND($R417&lt;&gt;"",$R417&lt;17),"Usia di bawah 17","")))))))))</f>
        <v/>
      </c>
      <c r="Z417" s="40" t="str">
        <f aca="false">IF($B417="","",IF(AND(OR(CARI!$C$5="",ISNUMBER(SEARCH(CARI!$C$5,$B417&amp;" "&amp;$C417&amp;" "&amp;$D417&amp;" "&amp;$O417&amp;" "&amp;$I417&amp;" "&amp;$F417&amp;" "&amp;$J417&amp;" "&amp;$K417&amp;" "&amp;$L417&amp;" "&amp;$V417))),OR(CARI!$C$6="",$F417=CARI!$C$6),OR(CARI!$C$7="",$G417=CARI!$C$7),OR(CARI!$C$8="",$T417=CARI!$C$8)),MAX($Z$3:Z416)+1,""))</f>
        <v/>
      </c>
      <c r="AA417" s="40" t="str">
        <f aca="false">IF($Y417="","",MAX($AA$3:AA416)+1)</f>
        <v/>
      </c>
      <c r="AB417" s="40" t="str">
        <f aca="false">IF($F417="","",$F417&amp;"#"&amp;COUNTIF($F$4:$F417,$F417))</f>
        <v/>
      </c>
      <c r="AC417" s="40" t="str">
        <f aca="false">IF($B417="","",IF(AND(OR(CETAK!$J$10="",$F417=CETAK!$J$10),OR(CETAK!$J$11="",$G417=CETAK!$J$11),OR(CETAK!$J$12="",$P417=CETAK!$J$12),OR(CETAK!$J$13="",$N417=CETAK!$J$13),OR(CETAK!$J$14="",$T417=CETAK!$J$14)),MAX($AC$3:AC416)+1,""))</f>
        <v/>
      </c>
      <c r="AD417" s="40" t="str">
        <f aca="false">IF($B417="","",IF(AND(OR(ABSENSI!$H$10="",$F417=ABSENSI!$H$10),OR(ABSENSI!$H$11="",$G417=ABSENSI!$H$11),OR(ABSENSI!$H$12="",$P417=ABSENSI!$H$12)),MAX($AD$3:AD416)+1,""))</f>
        <v/>
      </c>
      <c r="AE417" s="40" t="str">
        <f aca="false">IF($B417="","",IF(AND(OR(KARTU!$K$6="",$F417=KARTU!$K$6),OR(KARTU!$K$7="",$G417=KARTU!$K$7),OR(KARTU!$K$8="",$P417=KARTU!$K$8)),MAX($AE$3:AE416)+1,""))</f>
        <v/>
      </c>
    </row>
    <row r="418" customFormat="false" ht="15" hidden="false" customHeight="false" outlineLevel="0" collapsed="false">
      <c r="A418" s="35" t="str">
        <f aca="false">IF($B418="","",COUNTA($B$4:$B418))</f>
        <v/>
      </c>
      <c r="B418" s="36"/>
      <c r="C418" s="37"/>
      <c r="D418" s="37"/>
      <c r="E418" s="38"/>
      <c r="F418" s="36"/>
      <c r="G418" s="39"/>
      <c r="H418" s="39"/>
      <c r="I418" s="36"/>
      <c r="J418" s="36"/>
      <c r="K418" s="36"/>
      <c r="L418" s="36"/>
      <c r="M418" s="40" t="str">
        <f aca="false">IF($F418="","",$F418&amp;IF($G418="",""," - RT "&amp;$G418&amp;IF($H418="","","/"&amp;$H418)))</f>
        <v/>
      </c>
      <c r="N418" s="36"/>
      <c r="O418" s="37"/>
      <c r="P418" s="39"/>
      <c r="Q418" s="41"/>
      <c r="R418" s="35" t="str">
        <f aca="true">IF(OR($B418="",$Q418=""),"",DATEDIF($Q418,TODAY(),"Y"))</f>
        <v/>
      </c>
      <c r="S418" s="40" t="str">
        <f aca="false">IF($R418="","",INDEX(usia_label,MATCH($R418,usia_min,1)))</f>
        <v/>
      </c>
      <c r="T418" s="36"/>
      <c r="U418" s="41"/>
      <c r="V418" s="36"/>
      <c r="W418" s="36"/>
      <c r="X418" s="40" t="str">
        <f aca="false">IF($M418="","",$M418&amp;"#"&amp;COUNTIF($M$4:$M418,$M418))</f>
        <v/>
      </c>
      <c r="Y418" s="40" t="str">
        <f aca="false">IF($B418="","",IF($C418="","NIK kosong",IF(LEN($C418)&lt;&gt;16,"NIK bukan 16 digit",IF(COUNTIF($C$4:$C$2003,$C418&amp;"*")&gt;1,"NIK ganda",IF(AND($D418&lt;&gt;"",LEN($D418)&lt;&gt;16),"No. KK bukan 16 digit",IF(AND($F418="",$I418=""),"Alamat kosong",IF($N418="","Jabatan kosong",IF($O418="","No. HP kosong",IF(AND($R418&lt;&gt;"",$R418&lt;17),"Usia di bawah 17","")))))))))</f>
        <v/>
      </c>
      <c r="Z418" s="40" t="str">
        <f aca="false">IF($B418="","",IF(AND(OR(CARI!$C$5="",ISNUMBER(SEARCH(CARI!$C$5,$B418&amp;" "&amp;$C418&amp;" "&amp;$D418&amp;" "&amp;$O418&amp;" "&amp;$I418&amp;" "&amp;$F418&amp;" "&amp;$J418&amp;" "&amp;$K418&amp;" "&amp;$L418&amp;" "&amp;$V418))),OR(CARI!$C$6="",$F418=CARI!$C$6),OR(CARI!$C$7="",$G418=CARI!$C$7),OR(CARI!$C$8="",$T418=CARI!$C$8)),MAX($Z$3:Z417)+1,""))</f>
        <v/>
      </c>
      <c r="AA418" s="40" t="str">
        <f aca="false">IF($Y418="","",MAX($AA$3:AA417)+1)</f>
        <v/>
      </c>
      <c r="AB418" s="40" t="str">
        <f aca="false">IF($F418="","",$F418&amp;"#"&amp;COUNTIF($F$4:$F418,$F418))</f>
        <v/>
      </c>
      <c r="AC418" s="40" t="str">
        <f aca="false">IF($B418="","",IF(AND(OR(CETAK!$J$10="",$F418=CETAK!$J$10),OR(CETAK!$J$11="",$G418=CETAK!$J$11),OR(CETAK!$J$12="",$P418=CETAK!$J$12),OR(CETAK!$J$13="",$N418=CETAK!$J$13),OR(CETAK!$J$14="",$T418=CETAK!$J$14)),MAX($AC$3:AC417)+1,""))</f>
        <v/>
      </c>
      <c r="AD418" s="40" t="str">
        <f aca="false">IF($B418="","",IF(AND(OR(ABSENSI!$H$10="",$F418=ABSENSI!$H$10),OR(ABSENSI!$H$11="",$G418=ABSENSI!$H$11),OR(ABSENSI!$H$12="",$P418=ABSENSI!$H$12)),MAX($AD$3:AD417)+1,""))</f>
        <v/>
      </c>
      <c r="AE418" s="40" t="str">
        <f aca="false">IF($B418="","",IF(AND(OR(KARTU!$K$6="",$F418=KARTU!$K$6),OR(KARTU!$K$7="",$G418=KARTU!$K$7),OR(KARTU!$K$8="",$P418=KARTU!$K$8)),MAX($AE$3:AE417)+1,""))</f>
        <v/>
      </c>
    </row>
    <row r="419" customFormat="false" ht="15" hidden="false" customHeight="false" outlineLevel="0" collapsed="false">
      <c r="A419" s="35" t="str">
        <f aca="false">IF($B419="","",COUNTA($B$4:$B419))</f>
        <v/>
      </c>
      <c r="B419" s="36"/>
      <c r="C419" s="37"/>
      <c r="D419" s="37"/>
      <c r="E419" s="38"/>
      <c r="F419" s="36"/>
      <c r="G419" s="39"/>
      <c r="H419" s="39"/>
      <c r="I419" s="36"/>
      <c r="J419" s="36"/>
      <c r="K419" s="36"/>
      <c r="L419" s="36"/>
      <c r="M419" s="40" t="str">
        <f aca="false">IF($F419="","",$F419&amp;IF($G419="",""," - RT "&amp;$G419&amp;IF($H419="","","/"&amp;$H419)))</f>
        <v/>
      </c>
      <c r="N419" s="36"/>
      <c r="O419" s="37"/>
      <c r="P419" s="39"/>
      <c r="Q419" s="41"/>
      <c r="R419" s="35" t="str">
        <f aca="true">IF(OR($B419="",$Q419=""),"",DATEDIF($Q419,TODAY(),"Y"))</f>
        <v/>
      </c>
      <c r="S419" s="40" t="str">
        <f aca="false">IF($R419="","",INDEX(usia_label,MATCH($R419,usia_min,1)))</f>
        <v/>
      </c>
      <c r="T419" s="36"/>
      <c r="U419" s="41"/>
      <c r="V419" s="36"/>
      <c r="W419" s="36"/>
      <c r="X419" s="40" t="str">
        <f aca="false">IF($M419="","",$M419&amp;"#"&amp;COUNTIF($M$4:$M419,$M419))</f>
        <v/>
      </c>
      <c r="Y419" s="40" t="str">
        <f aca="false">IF($B419="","",IF($C419="","NIK kosong",IF(LEN($C419)&lt;&gt;16,"NIK bukan 16 digit",IF(COUNTIF($C$4:$C$2003,$C419&amp;"*")&gt;1,"NIK ganda",IF(AND($D419&lt;&gt;"",LEN($D419)&lt;&gt;16),"No. KK bukan 16 digit",IF(AND($F419="",$I419=""),"Alamat kosong",IF($N419="","Jabatan kosong",IF($O419="","No. HP kosong",IF(AND($R419&lt;&gt;"",$R419&lt;17),"Usia di bawah 17","")))))))))</f>
        <v/>
      </c>
      <c r="Z419" s="40" t="str">
        <f aca="false">IF($B419="","",IF(AND(OR(CARI!$C$5="",ISNUMBER(SEARCH(CARI!$C$5,$B419&amp;" "&amp;$C419&amp;" "&amp;$D419&amp;" "&amp;$O419&amp;" "&amp;$I419&amp;" "&amp;$F419&amp;" "&amp;$J419&amp;" "&amp;$K419&amp;" "&amp;$L419&amp;" "&amp;$V419))),OR(CARI!$C$6="",$F419=CARI!$C$6),OR(CARI!$C$7="",$G419=CARI!$C$7),OR(CARI!$C$8="",$T419=CARI!$C$8)),MAX($Z$3:Z418)+1,""))</f>
        <v/>
      </c>
      <c r="AA419" s="40" t="str">
        <f aca="false">IF($Y419="","",MAX($AA$3:AA418)+1)</f>
        <v/>
      </c>
      <c r="AB419" s="40" t="str">
        <f aca="false">IF($F419="","",$F419&amp;"#"&amp;COUNTIF($F$4:$F419,$F419))</f>
        <v/>
      </c>
      <c r="AC419" s="40" t="str">
        <f aca="false">IF($B419="","",IF(AND(OR(CETAK!$J$10="",$F419=CETAK!$J$10),OR(CETAK!$J$11="",$G419=CETAK!$J$11),OR(CETAK!$J$12="",$P419=CETAK!$J$12),OR(CETAK!$J$13="",$N419=CETAK!$J$13),OR(CETAK!$J$14="",$T419=CETAK!$J$14)),MAX($AC$3:AC418)+1,""))</f>
        <v/>
      </c>
      <c r="AD419" s="40" t="str">
        <f aca="false">IF($B419="","",IF(AND(OR(ABSENSI!$H$10="",$F419=ABSENSI!$H$10),OR(ABSENSI!$H$11="",$G419=ABSENSI!$H$11),OR(ABSENSI!$H$12="",$P419=ABSENSI!$H$12)),MAX($AD$3:AD418)+1,""))</f>
        <v/>
      </c>
      <c r="AE419" s="40" t="str">
        <f aca="false">IF($B419="","",IF(AND(OR(KARTU!$K$6="",$F419=KARTU!$K$6),OR(KARTU!$K$7="",$G419=KARTU!$K$7),OR(KARTU!$K$8="",$P419=KARTU!$K$8)),MAX($AE$3:AE418)+1,""))</f>
        <v/>
      </c>
    </row>
    <row r="420" customFormat="false" ht="15" hidden="false" customHeight="false" outlineLevel="0" collapsed="false">
      <c r="A420" s="35" t="str">
        <f aca="false">IF($B420="","",COUNTA($B$4:$B420))</f>
        <v/>
      </c>
      <c r="B420" s="36"/>
      <c r="C420" s="37"/>
      <c r="D420" s="37"/>
      <c r="E420" s="38"/>
      <c r="F420" s="36"/>
      <c r="G420" s="39"/>
      <c r="H420" s="39"/>
      <c r="I420" s="36"/>
      <c r="J420" s="36"/>
      <c r="K420" s="36"/>
      <c r="L420" s="36"/>
      <c r="M420" s="40" t="str">
        <f aca="false">IF($F420="","",$F420&amp;IF($G420="",""," - RT "&amp;$G420&amp;IF($H420="","","/"&amp;$H420)))</f>
        <v/>
      </c>
      <c r="N420" s="36"/>
      <c r="O420" s="37"/>
      <c r="P420" s="39"/>
      <c r="Q420" s="41"/>
      <c r="R420" s="35" t="str">
        <f aca="true">IF(OR($B420="",$Q420=""),"",DATEDIF($Q420,TODAY(),"Y"))</f>
        <v/>
      </c>
      <c r="S420" s="40" t="str">
        <f aca="false">IF($R420="","",INDEX(usia_label,MATCH($R420,usia_min,1)))</f>
        <v/>
      </c>
      <c r="T420" s="36"/>
      <c r="U420" s="41"/>
      <c r="V420" s="36"/>
      <c r="W420" s="36"/>
      <c r="X420" s="40" t="str">
        <f aca="false">IF($M420="","",$M420&amp;"#"&amp;COUNTIF($M$4:$M420,$M420))</f>
        <v/>
      </c>
      <c r="Y420" s="40" t="str">
        <f aca="false">IF($B420="","",IF($C420="","NIK kosong",IF(LEN($C420)&lt;&gt;16,"NIK bukan 16 digit",IF(COUNTIF($C$4:$C$2003,$C420&amp;"*")&gt;1,"NIK ganda",IF(AND($D420&lt;&gt;"",LEN($D420)&lt;&gt;16),"No. KK bukan 16 digit",IF(AND($F420="",$I420=""),"Alamat kosong",IF($N420="","Jabatan kosong",IF($O420="","No. HP kosong",IF(AND($R420&lt;&gt;"",$R420&lt;17),"Usia di bawah 17","")))))))))</f>
        <v/>
      </c>
      <c r="Z420" s="40" t="str">
        <f aca="false">IF($B420="","",IF(AND(OR(CARI!$C$5="",ISNUMBER(SEARCH(CARI!$C$5,$B420&amp;" "&amp;$C420&amp;" "&amp;$D420&amp;" "&amp;$O420&amp;" "&amp;$I420&amp;" "&amp;$F420&amp;" "&amp;$J420&amp;" "&amp;$K420&amp;" "&amp;$L420&amp;" "&amp;$V420))),OR(CARI!$C$6="",$F420=CARI!$C$6),OR(CARI!$C$7="",$G420=CARI!$C$7),OR(CARI!$C$8="",$T420=CARI!$C$8)),MAX($Z$3:Z419)+1,""))</f>
        <v/>
      </c>
      <c r="AA420" s="40" t="str">
        <f aca="false">IF($Y420="","",MAX($AA$3:AA419)+1)</f>
        <v/>
      </c>
      <c r="AB420" s="40" t="str">
        <f aca="false">IF($F420="","",$F420&amp;"#"&amp;COUNTIF($F$4:$F420,$F420))</f>
        <v/>
      </c>
      <c r="AC420" s="40" t="str">
        <f aca="false">IF($B420="","",IF(AND(OR(CETAK!$J$10="",$F420=CETAK!$J$10),OR(CETAK!$J$11="",$G420=CETAK!$J$11),OR(CETAK!$J$12="",$P420=CETAK!$J$12),OR(CETAK!$J$13="",$N420=CETAK!$J$13),OR(CETAK!$J$14="",$T420=CETAK!$J$14)),MAX($AC$3:AC419)+1,""))</f>
        <v/>
      </c>
      <c r="AD420" s="40" t="str">
        <f aca="false">IF($B420="","",IF(AND(OR(ABSENSI!$H$10="",$F420=ABSENSI!$H$10),OR(ABSENSI!$H$11="",$G420=ABSENSI!$H$11),OR(ABSENSI!$H$12="",$P420=ABSENSI!$H$12)),MAX($AD$3:AD419)+1,""))</f>
        <v/>
      </c>
      <c r="AE420" s="40" t="str">
        <f aca="false">IF($B420="","",IF(AND(OR(KARTU!$K$6="",$F420=KARTU!$K$6),OR(KARTU!$K$7="",$G420=KARTU!$K$7),OR(KARTU!$K$8="",$P420=KARTU!$K$8)),MAX($AE$3:AE419)+1,""))</f>
        <v/>
      </c>
    </row>
    <row r="421" customFormat="false" ht="15" hidden="false" customHeight="false" outlineLevel="0" collapsed="false">
      <c r="A421" s="35" t="str">
        <f aca="false">IF($B421="","",COUNTA($B$4:$B421))</f>
        <v/>
      </c>
      <c r="B421" s="36"/>
      <c r="C421" s="37"/>
      <c r="D421" s="37"/>
      <c r="E421" s="38"/>
      <c r="F421" s="36"/>
      <c r="G421" s="39"/>
      <c r="H421" s="39"/>
      <c r="I421" s="36"/>
      <c r="J421" s="36"/>
      <c r="K421" s="36"/>
      <c r="L421" s="36"/>
      <c r="M421" s="40" t="str">
        <f aca="false">IF($F421="","",$F421&amp;IF($G421="",""," - RT "&amp;$G421&amp;IF($H421="","","/"&amp;$H421)))</f>
        <v/>
      </c>
      <c r="N421" s="36"/>
      <c r="O421" s="37"/>
      <c r="P421" s="39"/>
      <c r="Q421" s="41"/>
      <c r="R421" s="35" t="str">
        <f aca="true">IF(OR($B421="",$Q421=""),"",DATEDIF($Q421,TODAY(),"Y"))</f>
        <v/>
      </c>
      <c r="S421" s="40" t="str">
        <f aca="false">IF($R421="","",INDEX(usia_label,MATCH($R421,usia_min,1)))</f>
        <v/>
      </c>
      <c r="T421" s="36"/>
      <c r="U421" s="41"/>
      <c r="V421" s="36"/>
      <c r="W421" s="36"/>
      <c r="X421" s="40" t="str">
        <f aca="false">IF($M421="","",$M421&amp;"#"&amp;COUNTIF($M$4:$M421,$M421))</f>
        <v/>
      </c>
      <c r="Y421" s="40" t="str">
        <f aca="false">IF($B421="","",IF($C421="","NIK kosong",IF(LEN($C421)&lt;&gt;16,"NIK bukan 16 digit",IF(COUNTIF($C$4:$C$2003,$C421&amp;"*")&gt;1,"NIK ganda",IF(AND($D421&lt;&gt;"",LEN($D421)&lt;&gt;16),"No. KK bukan 16 digit",IF(AND($F421="",$I421=""),"Alamat kosong",IF($N421="","Jabatan kosong",IF($O421="","No. HP kosong",IF(AND($R421&lt;&gt;"",$R421&lt;17),"Usia di bawah 17","")))))))))</f>
        <v/>
      </c>
      <c r="Z421" s="40" t="str">
        <f aca="false">IF($B421="","",IF(AND(OR(CARI!$C$5="",ISNUMBER(SEARCH(CARI!$C$5,$B421&amp;" "&amp;$C421&amp;" "&amp;$D421&amp;" "&amp;$O421&amp;" "&amp;$I421&amp;" "&amp;$F421&amp;" "&amp;$J421&amp;" "&amp;$K421&amp;" "&amp;$L421&amp;" "&amp;$V421))),OR(CARI!$C$6="",$F421=CARI!$C$6),OR(CARI!$C$7="",$G421=CARI!$C$7),OR(CARI!$C$8="",$T421=CARI!$C$8)),MAX($Z$3:Z420)+1,""))</f>
        <v/>
      </c>
      <c r="AA421" s="40" t="str">
        <f aca="false">IF($Y421="","",MAX($AA$3:AA420)+1)</f>
        <v/>
      </c>
      <c r="AB421" s="40" t="str">
        <f aca="false">IF($F421="","",$F421&amp;"#"&amp;COUNTIF($F$4:$F421,$F421))</f>
        <v/>
      </c>
      <c r="AC421" s="40" t="str">
        <f aca="false">IF($B421="","",IF(AND(OR(CETAK!$J$10="",$F421=CETAK!$J$10),OR(CETAK!$J$11="",$G421=CETAK!$J$11),OR(CETAK!$J$12="",$P421=CETAK!$J$12),OR(CETAK!$J$13="",$N421=CETAK!$J$13),OR(CETAK!$J$14="",$T421=CETAK!$J$14)),MAX($AC$3:AC420)+1,""))</f>
        <v/>
      </c>
      <c r="AD421" s="40" t="str">
        <f aca="false">IF($B421="","",IF(AND(OR(ABSENSI!$H$10="",$F421=ABSENSI!$H$10),OR(ABSENSI!$H$11="",$G421=ABSENSI!$H$11),OR(ABSENSI!$H$12="",$P421=ABSENSI!$H$12)),MAX($AD$3:AD420)+1,""))</f>
        <v/>
      </c>
      <c r="AE421" s="40" t="str">
        <f aca="false">IF($B421="","",IF(AND(OR(KARTU!$K$6="",$F421=KARTU!$K$6),OR(KARTU!$K$7="",$G421=KARTU!$K$7),OR(KARTU!$K$8="",$P421=KARTU!$K$8)),MAX($AE$3:AE420)+1,""))</f>
        <v/>
      </c>
    </row>
    <row r="422" customFormat="false" ht="15" hidden="false" customHeight="false" outlineLevel="0" collapsed="false">
      <c r="A422" s="35" t="str">
        <f aca="false">IF($B422="","",COUNTA($B$4:$B422))</f>
        <v/>
      </c>
      <c r="B422" s="36"/>
      <c r="C422" s="37"/>
      <c r="D422" s="37"/>
      <c r="E422" s="38"/>
      <c r="F422" s="36"/>
      <c r="G422" s="39"/>
      <c r="H422" s="39"/>
      <c r="I422" s="36"/>
      <c r="J422" s="36"/>
      <c r="K422" s="36"/>
      <c r="L422" s="36"/>
      <c r="M422" s="40" t="str">
        <f aca="false">IF($F422="","",$F422&amp;IF($G422="",""," - RT "&amp;$G422&amp;IF($H422="","","/"&amp;$H422)))</f>
        <v/>
      </c>
      <c r="N422" s="36"/>
      <c r="O422" s="37"/>
      <c r="P422" s="39"/>
      <c r="Q422" s="41"/>
      <c r="R422" s="35" t="str">
        <f aca="true">IF(OR($B422="",$Q422=""),"",DATEDIF($Q422,TODAY(),"Y"))</f>
        <v/>
      </c>
      <c r="S422" s="40" t="str">
        <f aca="false">IF($R422="","",INDEX(usia_label,MATCH($R422,usia_min,1)))</f>
        <v/>
      </c>
      <c r="T422" s="36"/>
      <c r="U422" s="41"/>
      <c r="V422" s="36"/>
      <c r="W422" s="36"/>
      <c r="X422" s="40" t="str">
        <f aca="false">IF($M422="","",$M422&amp;"#"&amp;COUNTIF($M$4:$M422,$M422))</f>
        <v/>
      </c>
      <c r="Y422" s="40" t="str">
        <f aca="false">IF($B422="","",IF($C422="","NIK kosong",IF(LEN($C422)&lt;&gt;16,"NIK bukan 16 digit",IF(COUNTIF($C$4:$C$2003,$C422&amp;"*")&gt;1,"NIK ganda",IF(AND($D422&lt;&gt;"",LEN($D422)&lt;&gt;16),"No. KK bukan 16 digit",IF(AND($F422="",$I422=""),"Alamat kosong",IF($N422="","Jabatan kosong",IF($O422="","No. HP kosong",IF(AND($R422&lt;&gt;"",$R422&lt;17),"Usia di bawah 17","")))))))))</f>
        <v/>
      </c>
      <c r="Z422" s="40" t="str">
        <f aca="false">IF($B422="","",IF(AND(OR(CARI!$C$5="",ISNUMBER(SEARCH(CARI!$C$5,$B422&amp;" "&amp;$C422&amp;" "&amp;$D422&amp;" "&amp;$O422&amp;" "&amp;$I422&amp;" "&amp;$F422&amp;" "&amp;$J422&amp;" "&amp;$K422&amp;" "&amp;$L422&amp;" "&amp;$V422))),OR(CARI!$C$6="",$F422=CARI!$C$6),OR(CARI!$C$7="",$G422=CARI!$C$7),OR(CARI!$C$8="",$T422=CARI!$C$8)),MAX($Z$3:Z421)+1,""))</f>
        <v/>
      </c>
      <c r="AA422" s="40" t="str">
        <f aca="false">IF($Y422="","",MAX($AA$3:AA421)+1)</f>
        <v/>
      </c>
      <c r="AB422" s="40" t="str">
        <f aca="false">IF($F422="","",$F422&amp;"#"&amp;COUNTIF($F$4:$F422,$F422))</f>
        <v/>
      </c>
      <c r="AC422" s="40" t="str">
        <f aca="false">IF($B422="","",IF(AND(OR(CETAK!$J$10="",$F422=CETAK!$J$10),OR(CETAK!$J$11="",$G422=CETAK!$J$11),OR(CETAK!$J$12="",$P422=CETAK!$J$12),OR(CETAK!$J$13="",$N422=CETAK!$J$13),OR(CETAK!$J$14="",$T422=CETAK!$J$14)),MAX($AC$3:AC421)+1,""))</f>
        <v/>
      </c>
      <c r="AD422" s="40" t="str">
        <f aca="false">IF($B422="","",IF(AND(OR(ABSENSI!$H$10="",$F422=ABSENSI!$H$10),OR(ABSENSI!$H$11="",$G422=ABSENSI!$H$11),OR(ABSENSI!$H$12="",$P422=ABSENSI!$H$12)),MAX($AD$3:AD421)+1,""))</f>
        <v/>
      </c>
      <c r="AE422" s="40" t="str">
        <f aca="false">IF($B422="","",IF(AND(OR(KARTU!$K$6="",$F422=KARTU!$K$6),OR(KARTU!$K$7="",$G422=KARTU!$K$7),OR(KARTU!$K$8="",$P422=KARTU!$K$8)),MAX($AE$3:AE421)+1,""))</f>
        <v/>
      </c>
    </row>
    <row r="423" customFormat="false" ht="15" hidden="false" customHeight="false" outlineLevel="0" collapsed="false">
      <c r="A423" s="35" t="str">
        <f aca="false">IF($B423="","",COUNTA($B$4:$B423))</f>
        <v/>
      </c>
      <c r="B423" s="36"/>
      <c r="C423" s="37"/>
      <c r="D423" s="37"/>
      <c r="E423" s="38"/>
      <c r="F423" s="36"/>
      <c r="G423" s="39"/>
      <c r="H423" s="39"/>
      <c r="I423" s="36"/>
      <c r="J423" s="36"/>
      <c r="K423" s="36"/>
      <c r="L423" s="36"/>
      <c r="M423" s="40" t="str">
        <f aca="false">IF($F423="","",$F423&amp;IF($G423="",""," - RT "&amp;$G423&amp;IF($H423="","","/"&amp;$H423)))</f>
        <v/>
      </c>
      <c r="N423" s="36"/>
      <c r="O423" s="37"/>
      <c r="P423" s="39"/>
      <c r="Q423" s="41"/>
      <c r="R423" s="35" t="str">
        <f aca="true">IF(OR($B423="",$Q423=""),"",DATEDIF($Q423,TODAY(),"Y"))</f>
        <v/>
      </c>
      <c r="S423" s="40" t="str">
        <f aca="false">IF($R423="","",INDEX(usia_label,MATCH($R423,usia_min,1)))</f>
        <v/>
      </c>
      <c r="T423" s="36"/>
      <c r="U423" s="41"/>
      <c r="V423" s="36"/>
      <c r="W423" s="36"/>
      <c r="X423" s="40" t="str">
        <f aca="false">IF($M423="","",$M423&amp;"#"&amp;COUNTIF($M$4:$M423,$M423))</f>
        <v/>
      </c>
      <c r="Y423" s="40" t="str">
        <f aca="false">IF($B423="","",IF($C423="","NIK kosong",IF(LEN($C423)&lt;&gt;16,"NIK bukan 16 digit",IF(COUNTIF($C$4:$C$2003,$C423&amp;"*")&gt;1,"NIK ganda",IF(AND($D423&lt;&gt;"",LEN($D423)&lt;&gt;16),"No. KK bukan 16 digit",IF(AND($F423="",$I423=""),"Alamat kosong",IF($N423="","Jabatan kosong",IF($O423="","No. HP kosong",IF(AND($R423&lt;&gt;"",$R423&lt;17),"Usia di bawah 17","")))))))))</f>
        <v/>
      </c>
      <c r="Z423" s="40" t="str">
        <f aca="false">IF($B423="","",IF(AND(OR(CARI!$C$5="",ISNUMBER(SEARCH(CARI!$C$5,$B423&amp;" "&amp;$C423&amp;" "&amp;$D423&amp;" "&amp;$O423&amp;" "&amp;$I423&amp;" "&amp;$F423&amp;" "&amp;$J423&amp;" "&amp;$K423&amp;" "&amp;$L423&amp;" "&amp;$V423))),OR(CARI!$C$6="",$F423=CARI!$C$6),OR(CARI!$C$7="",$G423=CARI!$C$7),OR(CARI!$C$8="",$T423=CARI!$C$8)),MAX($Z$3:Z422)+1,""))</f>
        <v/>
      </c>
      <c r="AA423" s="40" t="str">
        <f aca="false">IF($Y423="","",MAX($AA$3:AA422)+1)</f>
        <v/>
      </c>
      <c r="AB423" s="40" t="str">
        <f aca="false">IF($F423="","",$F423&amp;"#"&amp;COUNTIF($F$4:$F423,$F423))</f>
        <v/>
      </c>
      <c r="AC423" s="40" t="str">
        <f aca="false">IF($B423="","",IF(AND(OR(CETAK!$J$10="",$F423=CETAK!$J$10),OR(CETAK!$J$11="",$G423=CETAK!$J$11),OR(CETAK!$J$12="",$P423=CETAK!$J$12),OR(CETAK!$J$13="",$N423=CETAK!$J$13),OR(CETAK!$J$14="",$T423=CETAK!$J$14)),MAX($AC$3:AC422)+1,""))</f>
        <v/>
      </c>
      <c r="AD423" s="40" t="str">
        <f aca="false">IF($B423="","",IF(AND(OR(ABSENSI!$H$10="",$F423=ABSENSI!$H$10),OR(ABSENSI!$H$11="",$G423=ABSENSI!$H$11),OR(ABSENSI!$H$12="",$P423=ABSENSI!$H$12)),MAX($AD$3:AD422)+1,""))</f>
        <v/>
      </c>
      <c r="AE423" s="40" t="str">
        <f aca="false">IF($B423="","",IF(AND(OR(KARTU!$K$6="",$F423=KARTU!$K$6),OR(KARTU!$K$7="",$G423=KARTU!$K$7),OR(KARTU!$K$8="",$P423=KARTU!$K$8)),MAX($AE$3:AE422)+1,""))</f>
        <v/>
      </c>
    </row>
    <row r="424" customFormat="false" ht="15" hidden="false" customHeight="false" outlineLevel="0" collapsed="false">
      <c r="A424" s="35" t="str">
        <f aca="false">IF($B424="","",COUNTA($B$4:$B424))</f>
        <v/>
      </c>
      <c r="B424" s="36"/>
      <c r="C424" s="37"/>
      <c r="D424" s="37"/>
      <c r="E424" s="38"/>
      <c r="F424" s="36"/>
      <c r="G424" s="39"/>
      <c r="H424" s="39"/>
      <c r="I424" s="36"/>
      <c r="J424" s="36"/>
      <c r="K424" s="36"/>
      <c r="L424" s="36"/>
      <c r="M424" s="40" t="str">
        <f aca="false">IF($F424="","",$F424&amp;IF($G424="",""," - RT "&amp;$G424&amp;IF($H424="","","/"&amp;$H424)))</f>
        <v/>
      </c>
      <c r="N424" s="36"/>
      <c r="O424" s="37"/>
      <c r="P424" s="39"/>
      <c r="Q424" s="41"/>
      <c r="R424" s="35" t="str">
        <f aca="true">IF(OR($B424="",$Q424=""),"",DATEDIF($Q424,TODAY(),"Y"))</f>
        <v/>
      </c>
      <c r="S424" s="40" t="str">
        <f aca="false">IF($R424="","",INDEX(usia_label,MATCH($R424,usia_min,1)))</f>
        <v/>
      </c>
      <c r="T424" s="36"/>
      <c r="U424" s="41"/>
      <c r="V424" s="36"/>
      <c r="W424" s="36"/>
      <c r="X424" s="40" t="str">
        <f aca="false">IF($M424="","",$M424&amp;"#"&amp;COUNTIF($M$4:$M424,$M424))</f>
        <v/>
      </c>
      <c r="Y424" s="40" t="str">
        <f aca="false">IF($B424="","",IF($C424="","NIK kosong",IF(LEN($C424)&lt;&gt;16,"NIK bukan 16 digit",IF(COUNTIF($C$4:$C$2003,$C424&amp;"*")&gt;1,"NIK ganda",IF(AND($D424&lt;&gt;"",LEN($D424)&lt;&gt;16),"No. KK bukan 16 digit",IF(AND($F424="",$I424=""),"Alamat kosong",IF($N424="","Jabatan kosong",IF($O424="","No. HP kosong",IF(AND($R424&lt;&gt;"",$R424&lt;17),"Usia di bawah 17","")))))))))</f>
        <v/>
      </c>
      <c r="Z424" s="40" t="str">
        <f aca="false">IF($B424="","",IF(AND(OR(CARI!$C$5="",ISNUMBER(SEARCH(CARI!$C$5,$B424&amp;" "&amp;$C424&amp;" "&amp;$D424&amp;" "&amp;$O424&amp;" "&amp;$I424&amp;" "&amp;$F424&amp;" "&amp;$J424&amp;" "&amp;$K424&amp;" "&amp;$L424&amp;" "&amp;$V424))),OR(CARI!$C$6="",$F424=CARI!$C$6),OR(CARI!$C$7="",$G424=CARI!$C$7),OR(CARI!$C$8="",$T424=CARI!$C$8)),MAX($Z$3:Z423)+1,""))</f>
        <v/>
      </c>
      <c r="AA424" s="40" t="str">
        <f aca="false">IF($Y424="","",MAX($AA$3:AA423)+1)</f>
        <v/>
      </c>
      <c r="AB424" s="40" t="str">
        <f aca="false">IF($F424="","",$F424&amp;"#"&amp;COUNTIF($F$4:$F424,$F424))</f>
        <v/>
      </c>
      <c r="AC424" s="40" t="str">
        <f aca="false">IF($B424="","",IF(AND(OR(CETAK!$J$10="",$F424=CETAK!$J$10),OR(CETAK!$J$11="",$G424=CETAK!$J$11),OR(CETAK!$J$12="",$P424=CETAK!$J$12),OR(CETAK!$J$13="",$N424=CETAK!$J$13),OR(CETAK!$J$14="",$T424=CETAK!$J$14)),MAX($AC$3:AC423)+1,""))</f>
        <v/>
      </c>
      <c r="AD424" s="40" t="str">
        <f aca="false">IF($B424="","",IF(AND(OR(ABSENSI!$H$10="",$F424=ABSENSI!$H$10),OR(ABSENSI!$H$11="",$G424=ABSENSI!$H$11),OR(ABSENSI!$H$12="",$P424=ABSENSI!$H$12)),MAX($AD$3:AD423)+1,""))</f>
        <v/>
      </c>
      <c r="AE424" s="40" t="str">
        <f aca="false">IF($B424="","",IF(AND(OR(KARTU!$K$6="",$F424=KARTU!$K$6),OR(KARTU!$K$7="",$G424=KARTU!$K$7),OR(KARTU!$K$8="",$P424=KARTU!$K$8)),MAX($AE$3:AE423)+1,""))</f>
        <v/>
      </c>
    </row>
    <row r="425" customFormat="false" ht="15" hidden="false" customHeight="false" outlineLevel="0" collapsed="false">
      <c r="A425" s="35" t="str">
        <f aca="false">IF($B425="","",COUNTA($B$4:$B425))</f>
        <v/>
      </c>
      <c r="B425" s="36"/>
      <c r="C425" s="37"/>
      <c r="D425" s="37"/>
      <c r="E425" s="38"/>
      <c r="F425" s="36"/>
      <c r="G425" s="39"/>
      <c r="H425" s="39"/>
      <c r="I425" s="36"/>
      <c r="J425" s="36"/>
      <c r="K425" s="36"/>
      <c r="L425" s="36"/>
      <c r="M425" s="40" t="str">
        <f aca="false">IF($F425="","",$F425&amp;IF($G425="",""," - RT "&amp;$G425&amp;IF($H425="","","/"&amp;$H425)))</f>
        <v/>
      </c>
      <c r="N425" s="36"/>
      <c r="O425" s="37"/>
      <c r="P425" s="39"/>
      <c r="Q425" s="41"/>
      <c r="R425" s="35" t="str">
        <f aca="true">IF(OR($B425="",$Q425=""),"",DATEDIF($Q425,TODAY(),"Y"))</f>
        <v/>
      </c>
      <c r="S425" s="40" t="str">
        <f aca="false">IF($R425="","",INDEX(usia_label,MATCH($R425,usia_min,1)))</f>
        <v/>
      </c>
      <c r="T425" s="36"/>
      <c r="U425" s="41"/>
      <c r="V425" s="36"/>
      <c r="W425" s="36"/>
      <c r="X425" s="40" t="str">
        <f aca="false">IF($M425="","",$M425&amp;"#"&amp;COUNTIF($M$4:$M425,$M425))</f>
        <v/>
      </c>
      <c r="Y425" s="40" t="str">
        <f aca="false">IF($B425="","",IF($C425="","NIK kosong",IF(LEN($C425)&lt;&gt;16,"NIK bukan 16 digit",IF(COUNTIF($C$4:$C$2003,$C425&amp;"*")&gt;1,"NIK ganda",IF(AND($D425&lt;&gt;"",LEN($D425)&lt;&gt;16),"No. KK bukan 16 digit",IF(AND($F425="",$I425=""),"Alamat kosong",IF($N425="","Jabatan kosong",IF($O425="","No. HP kosong",IF(AND($R425&lt;&gt;"",$R425&lt;17),"Usia di bawah 17","")))))))))</f>
        <v/>
      </c>
      <c r="Z425" s="40" t="str">
        <f aca="false">IF($B425="","",IF(AND(OR(CARI!$C$5="",ISNUMBER(SEARCH(CARI!$C$5,$B425&amp;" "&amp;$C425&amp;" "&amp;$D425&amp;" "&amp;$O425&amp;" "&amp;$I425&amp;" "&amp;$F425&amp;" "&amp;$J425&amp;" "&amp;$K425&amp;" "&amp;$L425&amp;" "&amp;$V425))),OR(CARI!$C$6="",$F425=CARI!$C$6),OR(CARI!$C$7="",$G425=CARI!$C$7),OR(CARI!$C$8="",$T425=CARI!$C$8)),MAX($Z$3:Z424)+1,""))</f>
        <v/>
      </c>
      <c r="AA425" s="40" t="str">
        <f aca="false">IF($Y425="","",MAX($AA$3:AA424)+1)</f>
        <v/>
      </c>
      <c r="AB425" s="40" t="str">
        <f aca="false">IF($F425="","",$F425&amp;"#"&amp;COUNTIF($F$4:$F425,$F425))</f>
        <v/>
      </c>
      <c r="AC425" s="40" t="str">
        <f aca="false">IF($B425="","",IF(AND(OR(CETAK!$J$10="",$F425=CETAK!$J$10),OR(CETAK!$J$11="",$G425=CETAK!$J$11),OR(CETAK!$J$12="",$P425=CETAK!$J$12),OR(CETAK!$J$13="",$N425=CETAK!$J$13),OR(CETAK!$J$14="",$T425=CETAK!$J$14)),MAX($AC$3:AC424)+1,""))</f>
        <v/>
      </c>
      <c r="AD425" s="40" t="str">
        <f aca="false">IF($B425="","",IF(AND(OR(ABSENSI!$H$10="",$F425=ABSENSI!$H$10),OR(ABSENSI!$H$11="",$G425=ABSENSI!$H$11),OR(ABSENSI!$H$12="",$P425=ABSENSI!$H$12)),MAX($AD$3:AD424)+1,""))</f>
        <v/>
      </c>
      <c r="AE425" s="40" t="str">
        <f aca="false">IF($B425="","",IF(AND(OR(KARTU!$K$6="",$F425=KARTU!$K$6),OR(KARTU!$K$7="",$G425=KARTU!$K$7),OR(KARTU!$K$8="",$P425=KARTU!$K$8)),MAX($AE$3:AE424)+1,""))</f>
        <v/>
      </c>
    </row>
    <row r="426" customFormat="false" ht="15" hidden="false" customHeight="false" outlineLevel="0" collapsed="false">
      <c r="A426" s="35" t="str">
        <f aca="false">IF($B426="","",COUNTA($B$4:$B426))</f>
        <v/>
      </c>
      <c r="B426" s="36"/>
      <c r="C426" s="37"/>
      <c r="D426" s="37"/>
      <c r="E426" s="38"/>
      <c r="F426" s="36"/>
      <c r="G426" s="39"/>
      <c r="H426" s="39"/>
      <c r="I426" s="36"/>
      <c r="J426" s="36"/>
      <c r="K426" s="36"/>
      <c r="L426" s="36"/>
      <c r="M426" s="40" t="str">
        <f aca="false">IF($F426="","",$F426&amp;IF($G426="",""," - RT "&amp;$G426&amp;IF($H426="","","/"&amp;$H426)))</f>
        <v/>
      </c>
      <c r="N426" s="36"/>
      <c r="O426" s="37"/>
      <c r="P426" s="39"/>
      <c r="Q426" s="41"/>
      <c r="R426" s="35" t="str">
        <f aca="true">IF(OR($B426="",$Q426=""),"",DATEDIF($Q426,TODAY(),"Y"))</f>
        <v/>
      </c>
      <c r="S426" s="40" t="str">
        <f aca="false">IF($R426="","",INDEX(usia_label,MATCH($R426,usia_min,1)))</f>
        <v/>
      </c>
      <c r="T426" s="36"/>
      <c r="U426" s="41"/>
      <c r="V426" s="36"/>
      <c r="W426" s="36"/>
      <c r="X426" s="40" t="str">
        <f aca="false">IF($M426="","",$M426&amp;"#"&amp;COUNTIF($M$4:$M426,$M426))</f>
        <v/>
      </c>
      <c r="Y426" s="40" t="str">
        <f aca="false">IF($B426="","",IF($C426="","NIK kosong",IF(LEN($C426)&lt;&gt;16,"NIK bukan 16 digit",IF(COUNTIF($C$4:$C$2003,$C426&amp;"*")&gt;1,"NIK ganda",IF(AND($D426&lt;&gt;"",LEN($D426)&lt;&gt;16),"No. KK bukan 16 digit",IF(AND($F426="",$I426=""),"Alamat kosong",IF($N426="","Jabatan kosong",IF($O426="","No. HP kosong",IF(AND($R426&lt;&gt;"",$R426&lt;17),"Usia di bawah 17","")))))))))</f>
        <v/>
      </c>
      <c r="Z426" s="40" t="str">
        <f aca="false">IF($B426="","",IF(AND(OR(CARI!$C$5="",ISNUMBER(SEARCH(CARI!$C$5,$B426&amp;" "&amp;$C426&amp;" "&amp;$D426&amp;" "&amp;$O426&amp;" "&amp;$I426&amp;" "&amp;$F426&amp;" "&amp;$J426&amp;" "&amp;$K426&amp;" "&amp;$L426&amp;" "&amp;$V426))),OR(CARI!$C$6="",$F426=CARI!$C$6),OR(CARI!$C$7="",$G426=CARI!$C$7),OR(CARI!$C$8="",$T426=CARI!$C$8)),MAX($Z$3:Z425)+1,""))</f>
        <v/>
      </c>
      <c r="AA426" s="40" t="str">
        <f aca="false">IF($Y426="","",MAX($AA$3:AA425)+1)</f>
        <v/>
      </c>
      <c r="AB426" s="40" t="str">
        <f aca="false">IF($F426="","",$F426&amp;"#"&amp;COUNTIF($F$4:$F426,$F426))</f>
        <v/>
      </c>
      <c r="AC426" s="40" t="str">
        <f aca="false">IF($B426="","",IF(AND(OR(CETAK!$J$10="",$F426=CETAK!$J$10),OR(CETAK!$J$11="",$G426=CETAK!$J$11),OR(CETAK!$J$12="",$P426=CETAK!$J$12),OR(CETAK!$J$13="",$N426=CETAK!$J$13),OR(CETAK!$J$14="",$T426=CETAK!$J$14)),MAX($AC$3:AC425)+1,""))</f>
        <v/>
      </c>
      <c r="AD426" s="40" t="str">
        <f aca="false">IF($B426="","",IF(AND(OR(ABSENSI!$H$10="",$F426=ABSENSI!$H$10),OR(ABSENSI!$H$11="",$G426=ABSENSI!$H$11),OR(ABSENSI!$H$12="",$P426=ABSENSI!$H$12)),MAX($AD$3:AD425)+1,""))</f>
        <v/>
      </c>
      <c r="AE426" s="40" t="str">
        <f aca="false">IF($B426="","",IF(AND(OR(KARTU!$K$6="",$F426=KARTU!$K$6),OR(KARTU!$K$7="",$G426=KARTU!$K$7),OR(KARTU!$K$8="",$P426=KARTU!$K$8)),MAX($AE$3:AE425)+1,""))</f>
        <v/>
      </c>
    </row>
    <row r="427" customFormat="false" ht="15" hidden="false" customHeight="false" outlineLevel="0" collapsed="false">
      <c r="A427" s="35" t="str">
        <f aca="false">IF($B427="","",COUNTA($B$4:$B427))</f>
        <v/>
      </c>
      <c r="B427" s="36"/>
      <c r="C427" s="37"/>
      <c r="D427" s="37"/>
      <c r="E427" s="38"/>
      <c r="F427" s="36"/>
      <c r="G427" s="39"/>
      <c r="H427" s="39"/>
      <c r="I427" s="36"/>
      <c r="J427" s="36"/>
      <c r="K427" s="36"/>
      <c r="L427" s="36"/>
      <c r="M427" s="40" t="str">
        <f aca="false">IF($F427="","",$F427&amp;IF($G427="",""," - RT "&amp;$G427&amp;IF($H427="","","/"&amp;$H427)))</f>
        <v/>
      </c>
      <c r="N427" s="36"/>
      <c r="O427" s="37"/>
      <c r="P427" s="39"/>
      <c r="Q427" s="41"/>
      <c r="R427" s="35" t="str">
        <f aca="true">IF(OR($B427="",$Q427=""),"",DATEDIF($Q427,TODAY(),"Y"))</f>
        <v/>
      </c>
      <c r="S427" s="40" t="str">
        <f aca="false">IF($R427="","",INDEX(usia_label,MATCH($R427,usia_min,1)))</f>
        <v/>
      </c>
      <c r="T427" s="36"/>
      <c r="U427" s="41"/>
      <c r="V427" s="36"/>
      <c r="W427" s="36"/>
      <c r="X427" s="40" t="str">
        <f aca="false">IF($M427="","",$M427&amp;"#"&amp;COUNTIF($M$4:$M427,$M427))</f>
        <v/>
      </c>
      <c r="Y427" s="40" t="str">
        <f aca="false">IF($B427="","",IF($C427="","NIK kosong",IF(LEN($C427)&lt;&gt;16,"NIK bukan 16 digit",IF(COUNTIF($C$4:$C$2003,$C427&amp;"*")&gt;1,"NIK ganda",IF(AND($D427&lt;&gt;"",LEN($D427)&lt;&gt;16),"No. KK bukan 16 digit",IF(AND($F427="",$I427=""),"Alamat kosong",IF($N427="","Jabatan kosong",IF($O427="","No. HP kosong",IF(AND($R427&lt;&gt;"",$R427&lt;17),"Usia di bawah 17","")))))))))</f>
        <v/>
      </c>
      <c r="Z427" s="40" t="str">
        <f aca="false">IF($B427="","",IF(AND(OR(CARI!$C$5="",ISNUMBER(SEARCH(CARI!$C$5,$B427&amp;" "&amp;$C427&amp;" "&amp;$D427&amp;" "&amp;$O427&amp;" "&amp;$I427&amp;" "&amp;$F427&amp;" "&amp;$J427&amp;" "&amp;$K427&amp;" "&amp;$L427&amp;" "&amp;$V427))),OR(CARI!$C$6="",$F427=CARI!$C$6),OR(CARI!$C$7="",$G427=CARI!$C$7),OR(CARI!$C$8="",$T427=CARI!$C$8)),MAX($Z$3:Z426)+1,""))</f>
        <v/>
      </c>
      <c r="AA427" s="40" t="str">
        <f aca="false">IF($Y427="","",MAX($AA$3:AA426)+1)</f>
        <v/>
      </c>
      <c r="AB427" s="40" t="str">
        <f aca="false">IF($F427="","",$F427&amp;"#"&amp;COUNTIF($F$4:$F427,$F427))</f>
        <v/>
      </c>
      <c r="AC427" s="40" t="str">
        <f aca="false">IF($B427="","",IF(AND(OR(CETAK!$J$10="",$F427=CETAK!$J$10),OR(CETAK!$J$11="",$G427=CETAK!$J$11),OR(CETAK!$J$12="",$P427=CETAK!$J$12),OR(CETAK!$J$13="",$N427=CETAK!$J$13),OR(CETAK!$J$14="",$T427=CETAK!$J$14)),MAX($AC$3:AC426)+1,""))</f>
        <v/>
      </c>
      <c r="AD427" s="40" t="str">
        <f aca="false">IF($B427="","",IF(AND(OR(ABSENSI!$H$10="",$F427=ABSENSI!$H$10),OR(ABSENSI!$H$11="",$G427=ABSENSI!$H$11),OR(ABSENSI!$H$12="",$P427=ABSENSI!$H$12)),MAX($AD$3:AD426)+1,""))</f>
        <v/>
      </c>
      <c r="AE427" s="40" t="str">
        <f aca="false">IF($B427="","",IF(AND(OR(KARTU!$K$6="",$F427=KARTU!$K$6),OR(KARTU!$K$7="",$G427=KARTU!$K$7),OR(KARTU!$K$8="",$P427=KARTU!$K$8)),MAX($AE$3:AE426)+1,""))</f>
        <v/>
      </c>
    </row>
    <row r="428" customFormat="false" ht="15" hidden="false" customHeight="false" outlineLevel="0" collapsed="false">
      <c r="A428" s="35" t="str">
        <f aca="false">IF($B428="","",COUNTA($B$4:$B428))</f>
        <v/>
      </c>
      <c r="B428" s="36"/>
      <c r="C428" s="37"/>
      <c r="D428" s="37"/>
      <c r="E428" s="38"/>
      <c r="F428" s="36"/>
      <c r="G428" s="39"/>
      <c r="H428" s="39"/>
      <c r="I428" s="36"/>
      <c r="J428" s="36"/>
      <c r="K428" s="36"/>
      <c r="L428" s="36"/>
      <c r="M428" s="40" t="str">
        <f aca="false">IF($F428="","",$F428&amp;IF($G428="",""," - RT "&amp;$G428&amp;IF($H428="","","/"&amp;$H428)))</f>
        <v/>
      </c>
      <c r="N428" s="36"/>
      <c r="O428" s="37"/>
      <c r="P428" s="39"/>
      <c r="Q428" s="41"/>
      <c r="R428" s="35" t="str">
        <f aca="true">IF(OR($B428="",$Q428=""),"",DATEDIF($Q428,TODAY(),"Y"))</f>
        <v/>
      </c>
      <c r="S428" s="40" t="str">
        <f aca="false">IF($R428="","",INDEX(usia_label,MATCH($R428,usia_min,1)))</f>
        <v/>
      </c>
      <c r="T428" s="36"/>
      <c r="U428" s="41"/>
      <c r="V428" s="36"/>
      <c r="W428" s="36"/>
      <c r="X428" s="40" t="str">
        <f aca="false">IF($M428="","",$M428&amp;"#"&amp;COUNTIF($M$4:$M428,$M428))</f>
        <v/>
      </c>
      <c r="Y428" s="40" t="str">
        <f aca="false">IF($B428="","",IF($C428="","NIK kosong",IF(LEN($C428)&lt;&gt;16,"NIK bukan 16 digit",IF(COUNTIF($C$4:$C$2003,$C428&amp;"*")&gt;1,"NIK ganda",IF(AND($D428&lt;&gt;"",LEN($D428)&lt;&gt;16),"No. KK bukan 16 digit",IF(AND($F428="",$I428=""),"Alamat kosong",IF($N428="","Jabatan kosong",IF($O428="","No. HP kosong",IF(AND($R428&lt;&gt;"",$R428&lt;17),"Usia di bawah 17","")))))))))</f>
        <v/>
      </c>
      <c r="Z428" s="40" t="str">
        <f aca="false">IF($B428="","",IF(AND(OR(CARI!$C$5="",ISNUMBER(SEARCH(CARI!$C$5,$B428&amp;" "&amp;$C428&amp;" "&amp;$D428&amp;" "&amp;$O428&amp;" "&amp;$I428&amp;" "&amp;$F428&amp;" "&amp;$J428&amp;" "&amp;$K428&amp;" "&amp;$L428&amp;" "&amp;$V428))),OR(CARI!$C$6="",$F428=CARI!$C$6),OR(CARI!$C$7="",$G428=CARI!$C$7),OR(CARI!$C$8="",$T428=CARI!$C$8)),MAX($Z$3:Z427)+1,""))</f>
        <v/>
      </c>
      <c r="AA428" s="40" t="str">
        <f aca="false">IF($Y428="","",MAX($AA$3:AA427)+1)</f>
        <v/>
      </c>
      <c r="AB428" s="40" t="str">
        <f aca="false">IF($F428="","",$F428&amp;"#"&amp;COUNTIF($F$4:$F428,$F428))</f>
        <v/>
      </c>
      <c r="AC428" s="40" t="str">
        <f aca="false">IF($B428="","",IF(AND(OR(CETAK!$J$10="",$F428=CETAK!$J$10),OR(CETAK!$J$11="",$G428=CETAK!$J$11),OR(CETAK!$J$12="",$P428=CETAK!$J$12),OR(CETAK!$J$13="",$N428=CETAK!$J$13),OR(CETAK!$J$14="",$T428=CETAK!$J$14)),MAX($AC$3:AC427)+1,""))</f>
        <v/>
      </c>
      <c r="AD428" s="40" t="str">
        <f aca="false">IF($B428="","",IF(AND(OR(ABSENSI!$H$10="",$F428=ABSENSI!$H$10),OR(ABSENSI!$H$11="",$G428=ABSENSI!$H$11),OR(ABSENSI!$H$12="",$P428=ABSENSI!$H$12)),MAX($AD$3:AD427)+1,""))</f>
        <v/>
      </c>
      <c r="AE428" s="40" t="str">
        <f aca="false">IF($B428="","",IF(AND(OR(KARTU!$K$6="",$F428=KARTU!$K$6),OR(KARTU!$K$7="",$G428=KARTU!$K$7),OR(KARTU!$K$8="",$P428=KARTU!$K$8)),MAX($AE$3:AE427)+1,""))</f>
        <v/>
      </c>
    </row>
    <row r="429" customFormat="false" ht="15" hidden="false" customHeight="false" outlineLevel="0" collapsed="false">
      <c r="A429" s="35" t="str">
        <f aca="false">IF($B429="","",COUNTA($B$4:$B429))</f>
        <v/>
      </c>
      <c r="B429" s="36"/>
      <c r="C429" s="37"/>
      <c r="D429" s="37"/>
      <c r="E429" s="38"/>
      <c r="F429" s="36"/>
      <c r="G429" s="39"/>
      <c r="H429" s="39"/>
      <c r="I429" s="36"/>
      <c r="J429" s="36"/>
      <c r="K429" s="36"/>
      <c r="L429" s="36"/>
      <c r="M429" s="40" t="str">
        <f aca="false">IF($F429="","",$F429&amp;IF($G429="",""," - RT "&amp;$G429&amp;IF($H429="","","/"&amp;$H429)))</f>
        <v/>
      </c>
      <c r="N429" s="36"/>
      <c r="O429" s="37"/>
      <c r="P429" s="39"/>
      <c r="Q429" s="41"/>
      <c r="R429" s="35" t="str">
        <f aca="true">IF(OR($B429="",$Q429=""),"",DATEDIF($Q429,TODAY(),"Y"))</f>
        <v/>
      </c>
      <c r="S429" s="40" t="str">
        <f aca="false">IF($R429="","",INDEX(usia_label,MATCH($R429,usia_min,1)))</f>
        <v/>
      </c>
      <c r="T429" s="36"/>
      <c r="U429" s="41"/>
      <c r="V429" s="36"/>
      <c r="W429" s="36"/>
      <c r="X429" s="40" t="str">
        <f aca="false">IF($M429="","",$M429&amp;"#"&amp;COUNTIF($M$4:$M429,$M429))</f>
        <v/>
      </c>
      <c r="Y429" s="40" t="str">
        <f aca="false">IF($B429="","",IF($C429="","NIK kosong",IF(LEN($C429)&lt;&gt;16,"NIK bukan 16 digit",IF(COUNTIF($C$4:$C$2003,$C429&amp;"*")&gt;1,"NIK ganda",IF(AND($D429&lt;&gt;"",LEN($D429)&lt;&gt;16),"No. KK bukan 16 digit",IF(AND($F429="",$I429=""),"Alamat kosong",IF($N429="","Jabatan kosong",IF($O429="","No. HP kosong",IF(AND($R429&lt;&gt;"",$R429&lt;17),"Usia di bawah 17","")))))))))</f>
        <v/>
      </c>
      <c r="Z429" s="40" t="str">
        <f aca="false">IF($B429="","",IF(AND(OR(CARI!$C$5="",ISNUMBER(SEARCH(CARI!$C$5,$B429&amp;" "&amp;$C429&amp;" "&amp;$D429&amp;" "&amp;$O429&amp;" "&amp;$I429&amp;" "&amp;$F429&amp;" "&amp;$J429&amp;" "&amp;$K429&amp;" "&amp;$L429&amp;" "&amp;$V429))),OR(CARI!$C$6="",$F429=CARI!$C$6),OR(CARI!$C$7="",$G429=CARI!$C$7),OR(CARI!$C$8="",$T429=CARI!$C$8)),MAX($Z$3:Z428)+1,""))</f>
        <v/>
      </c>
      <c r="AA429" s="40" t="str">
        <f aca="false">IF($Y429="","",MAX($AA$3:AA428)+1)</f>
        <v/>
      </c>
      <c r="AB429" s="40" t="str">
        <f aca="false">IF($F429="","",$F429&amp;"#"&amp;COUNTIF($F$4:$F429,$F429))</f>
        <v/>
      </c>
      <c r="AC429" s="40" t="str">
        <f aca="false">IF($B429="","",IF(AND(OR(CETAK!$J$10="",$F429=CETAK!$J$10),OR(CETAK!$J$11="",$G429=CETAK!$J$11),OR(CETAK!$J$12="",$P429=CETAK!$J$12),OR(CETAK!$J$13="",$N429=CETAK!$J$13),OR(CETAK!$J$14="",$T429=CETAK!$J$14)),MAX($AC$3:AC428)+1,""))</f>
        <v/>
      </c>
      <c r="AD429" s="40" t="str">
        <f aca="false">IF($B429="","",IF(AND(OR(ABSENSI!$H$10="",$F429=ABSENSI!$H$10),OR(ABSENSI!$H$11="",$G429=ABSENSI!$H$11),OR(ABSENSI!$H$12="",$P429=ABSENSI!$H$12)),MAX($AD$3:AD428)+1,""))</f>
        <v/>
      </c>
      <c r="AE429" s="40" t="str">
        <f aca="false">IF($B429="","",IF(AND(OR(KARTU!$K$6="",$F429=KARTU!$K$6),OR(KARTU!$K$7="",$G429=KARTU!$K$7),OR(KARTU!$K$8="",$P429=KARTU!$K$8)),MAX($AE$3:AE428)+1,""))</f>
        <v/>
      </c>
    </row>
    <row r="430" customFormat="false" ht="15" hidden="false" customHeight="false" outlineLevel="0" collapsed="false">
      <c r="A430" s="35" t="str">
        <f aca="false">IF($B430="","",COUNTA($B$4:$B430))</f>
        <v/>
      </c>
      <c r="B430" s="36"/>
      <c r="C430" s="37"/>
      <c r="D430" s="37"/>
      <c r="E430" s="38"/>
      <c r="F430" s="36"/>
      <c r="G430" s="39"/>
      <c r="H430" s="39"/>
      <c r="I430" s="36"/>
      <c r="J430" s="36"/>
      <c r="K430" s="36"/>
      <c r="L430" s="36"/>
      <c r="M430" s="40" t="str">
        <f aca="false">IF($F430="","",$F430&amp;IF($G430="",""," - RT "&amp;$G430&amp;IF($H430="","","/"&amp;$H430)))</f>
        <v/>
      </c>
      <c r="N430" s="36"/>
      <c r="O430" s="37"/>
      <c r="P430" s="39"/>
      <c r="Q430" s="41"/>
      <c r="R430" s="35" t="str">
        <f aca="true">IF(OR($B430="",$Q430=""),"",DATEDIF($Q430,TODAY(),"Y"))</f>
        <v/>
      </c>
      <c r="S430" s="40" t="str">
        <f aca="false">IF($R430="","",INDEX(usia_label,MATCH($R430,usia_min,1)))</f>
        <v/>
      </c>
      <c r="T430" s="36"/>
      <c r="U430" s="41"/>
      <c r="V430" s="36"/>
      <c r="W430" s="36"/>
      <c r="X430" s="40" t="str">
        <f aca="false">IF($M430="","",$M430&amp;"#"&amp;COUNTIF($M$4:$M430,$M430))</f>
        <v/>
      </c>
      <c r="Y430" s="40" t="str">
        <f aca="false">IF($B430="","",IF($C430="","NIK kosong",IF(LEN($C430)&lt;&gt;16,"NIK bukan 16 digit",IF(COUNTIF($C$4:$C$2003,$C430&amp;"*")&gt;1,"NIK ganda",IF(AND($D430&lt;&gt;"",LEN($D430)&lt;&gt;16),"No. KK bukan 16 digit",IF(AND($F430="",$I430=""),"Alamat kosong",IF($N430="","Jabatan kosong",IF($O430="","No. HP kosong",IF(AND($R430&lt;&gt;"",$R430&lt;17),"Usia di bawah 17","")))))))))</f>
        <v/>
      </c>
      <c r="Z430" s="40" t="str">
        <f aca="false">IF($B430="","",IF(AND(OR(CARI!$C$5="",ISNUMBER(SEARCH(CARI!$C$5,$B430&amp;" "&amp;$C430&amp;" "&amp;$D430&amp;" "&amp;$O430&amp;" "&amp;$I430&amp;" "&amp;$F430&amp;" "&amp;$J430&amp;" "&amp;$K430&amp;" "&amp;$L430&amp;" "&amp;$V430))),OR(CARI!$C$6="",$F430=CARI!$C$6),OR(CARI!$C$7="",$G430=CARI!$C$7),OR(CARI!$C$8="",$T430=CARI!$C$8)),MAX($Z$3:Z429)+1,""))</f>
        <v/>
      </c>
      <c r="AA430" s="40" t="str">
        <f aca="false">IF($Y430="","",MAX($AA$3:AA429)+1)</f>
        <v/>
      </c>
      <c r="AB430" s="40" t="str">
        <f aca="false">IF($F430="","",$F430&amp;"#"&amp;COUNTIF($F$4:$F430,$F430))</f>
        <v/>
      </c>
      <c r="AC430" s="40" t="str">
        <f aca="false">IF($B430="","",IF(AND(OR(CETAK!$J$10="",$F430=CETAK!$J$10),OR(CETAK!$J$11="",$G430=CETAK!$J$11),OR(CETAK!$J$12="",$P430=CETAK!$J$12),OR(CETAK!$J$13="",$N430=CETAK!$J$13),OR(CETAK!$J$14="",$T430=CETAK!$J$14)),MAX($AC$3:AC429)+1,""))</f>
        <v/>
      </c>
      <c r="AD430" s="40" t="str">
        <f aca="false">IF($B430="","",IF(AND(OR(ABSENSI!$H$10="",$F430=ABSENSI!$H$10),OR(ABSENSI!$H$11="",$G430=ABSENSI!$H$11),OR(ABSENSI!$H$12="",$P430=ABSENSI!$H$12)),MAX($AD$3:AD429)+1,""))</f>
        <v/>
      </c>
      <c r="AE430" s="40" t="str">
        <f aca="false">IF($B430="","",IF(AND(OR(KARTU!$K$6="",$F430=KARTU!$K$6),OR(KARTU!$K$7="",$G430=KARTU!$K$7),OR(KARTU!$K$8="",$P430=KARTU!$K$8)),MAX($AE$3:AE429)+1,""))</f>
        <v/>
      </c>
    </row>
    <row r="431" customFormat="false" ht="15" hidden="false" customHeight="false" outlineLevel="0" collapsed="false">
      <c r="A431" s="35" t="str">
        <f aca="false">IF($B431="","",COUNTA($B$4:$B431))</f>
        <v/>
      </c>
      <c r="B431" s="36"/>
      <c r="C431" s="37"/>
      <c r="D431" s="37"/>
      <c r="E431" s="38"/>
      <c r="F431" s="36"/>
      <c r="G431" s="39"/>
      <c r="H431" s="39"/>
      <c r="I431" s="36"/>
      <c r="J431" s="36"/>
      <c r="K431" s="36"/>
      <c r="L431" s="36"/>
      <c r="M431" s="40" t="str">
        <f aca="false">IF($F431="","",$F431&amp;IF($G431="",""," - RT "&amp;$G431&amp;IF($H431="","","/"&amp;$H431)))</f>
        <v/>
      </c>
      <c r="N431" s="36"/>
      <c r="O431" s="37"/>
      <c r="P431" s="39"/>
      <c r="Q431" s="41"/>
      <c r="R431" s="35" t="str">
        <f aca="true">IF(OR($B431="",$Q431=""),"",DATEDIF($Q431,TODAY(),"Y"))</f>
        <v/>
      </c>
      <c r="S431" s="40" t="str">
        <f aca="false">IF($R431="","",INDEX(usia_label,MATCH($R431,usia_min,1)))</f>
        <v/>
      </c>
      <c r="T431" s="36"/>
      <c r="U431" s="41"/>
      <c r="V431" s="36"/>
      <c r="W431" s="36"/>
      <c r="X431" s="40" t="str">
        <f aca="false">IF($M431="","",$M431&amp;"#"&amp;COUNTIF($M$4:$M431,$M431))</f>
        <v/>
      </c>
      <c r="Y431" s="40" t="str">
        <f aca="false">IF($B431="","",IF($C431="","NIK kosong",IF(LEN($C431)&lt;&gt;16,"NIK bukan 16 digit",IF(COUNTIF($C$4:$C$2003,$C431&amp;"*")&gt;1,"NIK ganda",IF(AND($D431&lt;&gt;"",LEN($D431)&lt;&gt;16),"No. KK bukan 16 digit",IF(AND($F431="",$I431=""),"Alamat kosong",IF($N431="","Jabatan kosong",IF($O431="","No. HP kosong",IF(AND($R431&lt;&gt;"",$R431&lt;17),"Usia di bawah 17","")))))))))</f>
        <v/>
      </c>
      <c r="Z431" s="40" t="str">
        <f aca="false">IF($B431="","",IF(AND(OR(CARI!$C$5="",ISNUMBER(SEARCH(CARI!$C$5,$B431&amp;" "&amp;$C431&amp;" "&amp;$D431&amp;" "&amp;$O431&amp;" "&amp;$I431&amp;" "&amp;$F431&amp;" "&amp;$J431&amp;" "&amp;$K431&amp;" "&amp;$L431&amp;" "&amp;$V431))),OR(CARI!$C$6="",$F431=CARI!$C$6),OR(CARI!$C$7="",$G431=CARI!$C$7),OR(CARI!$C$8="",$T431=CARI!$C$8)),MAX($Z$3:Z430)+1,""))</f>
        <v/>
      </c>
      <c r="AA431" s="40" t="str">
        <f aca="false">IF($Y431="","",MAX($AA$3:AA430)+1)</f>
        <v/>
      </c>
      <c r="AB431" s="40" t="str">
        <f aca="false">IF($F431="","",$F431&amp;"#"&amp;COUNTIF($F$4:$F431,$F431))</f>
        <v/>
      </c>
      <c r="AC431" s="40" t="str">
        <f aca="false">IF($B431="","",IF(AND(OR(CETAK!$J$10="",$F431=CETAK!$J$10),OR(CETAK!$J$11="",$G431=CETAK!$J$11),OR(CETAK!$J$12="",$P431=CETAK!$J$12),OR(CETAK!$J$13="",$N431=CETAK!$J$13),OR(CETAK!$J$14="",$T431=CETAK!$J$14)),MAX($AC$3:AC430)+1,""))</f>
        <v/>
      </c>
      <c r="AD431" s="40" t="str">
        <f aca="false">IF($B431="","",IF(AND(OR(ABSENSI!$H$10="",$F431=ABSENSI!$H$10),OR(ABSENSI!$H$11="",$G431=ABSENSI!$H$11),OR(ABSENSI!$H$12="",$P431=ABSENSI!$H$12)),MAX($AD$3:AD430)+1,""))</f>
        <v/>
      </c>
      <c r="AE431" s="40" t="str">
        <f aca="false">IF($B431="","",IF(AND(OR(KARTU!$K$6="",$F431=KARTU!$K$6),OR(KARTU!$K$7="",$G431=KARTU!$K$7),OR(KARTU!$K$8="",$P431=KARTU!$K$8)),MAX($AE$3:AE430)+1,""))</f>
        <v/>
      </c>
    </row>
    <row r="432" customFormat="false" ht="15" hidden="false" customHeight="false" outlineLevel="0" collapsed="false">
      <c r="A432" s="35" t="str">
        <f aca="false">IF($B432="","",COUNTA($B$4:$B432))</f>
        <v/>
      </c>
      <c r="B432" s="36"/>
      <c r="C432" s="37"/>
      <c r="D432" s="37"/>
      <c r="E432" s="38"/>
      <c r="F432" s="36"/>
      <c r="G432" s="39"/>
      <c r="H432" s="39"/>
      <c r="I432" s="36"/>
      <c r="J432" s="36"/>
      <c r="K432" s="36"/>
      <c r="L432" s="36"/>
      <c r="M432" s="40" t="str">
        <f aca="false">IF($F432="","",$F432&amp;IF($G432="",""," - RT "&amp;$G432&amp;IF($H432="","","/"&amp;$H432)))</f>
        <v/>
      </c>
      <c r="N432" s="36"/>
      <c r="O432" s="37"/>
      <c r="P432" s="39"/>
      <c r="Q432" s="41"/>
      <c r="R432" s="35" t="str">
        <f aca="true">IF(OR($B432="",$Q432=""),"",DATEDIF($Q432,TODAY(),"Y"))</f>
        <v/>
      </c>
      <c r="S432" s="40" t="str">
        <f aca="false">IF($R432="","",INDEX(usia_label,MATCH($R432,usia_min,1)))</f>
        <v/>
      </c>
      <c r="T432" s="36"/>
      <c r="U432" s="41"/>
      <c r="V432" s="36"/>
      <c r="W432" s="36"/>
      <c r="X432" s="40" t="str">
        <f aca="false">IF($M432="","",$M432&amp;"#"&amp;COUNTIF($M$4:$M432,$M432))</f>
        <v/>
      </c>
      <c r="Y432" s="40" t="str">
        <f aca="false">IF($B432="","",IF($C432="","NIK kosong",IF(LEN($C432)&lt;&gt;16,"NIK bukan 16 digit",IF(COUNTIF($C$4:$C$2003,$C432&amp;"*")&gt;1,"NIK ganda",IF(AND($D432&lt;&gt;"",LEN($D432)&lt;&gt;16),"No. KK bukan 16 digit",IF(AND($F432="",$I432=""),"Alamat kosong",IF($N432="","Jabatan kosong",IF($O432="","No. HP kosong",IF(AND($R432&lt;&gt;"",$R432&lt;17),"Usia di bawah 17","")))))))))</f>
        <v/>
      </c>
      <c r="Z432" s="40" t="str">
        <f aca="false">IF($B432="","",IF(AND(OR(CARI!$C$5="",ISNUMBER(SEARCH(CARI!$C$5,$B432&amp;" "&amp;$C432&amp;" "&amp;$D432&amp;" "&amp;$O432&amp;" "&amp;$I432&amp;" "&amp;$F432&amp;" "&amp;$J432&amp;" "&amp;$K432&amp;" "&amp;$L432&amp;" "&amp;$V432))),OR(CARI!$C$6="",$F432=CARI!$C$6),OR(CARI!$C$7="",$G432=CARI!$C$7),OR(CARI!$C$8="",$T432=CARI!$C$8)),MAX($Z$3:Z431)+1,""))</f>
        <v/>
      </c>
      <c r="AA432" s="40" t="str">
        <f aca="false">IF($Y432="","",MAX($AA$3:AA431)+1)</f>
        <v/>
      </c>
      <c r="AB432" s="40" t="str">
        <f aca="false">IF($F432="","",$F432&amp;"#"&amp;COUNTIF($F$4:$F432,$F432))</f>
        <v/>
      </c>
      <c r="AC432" s="40" t="str">
        <f aca="false">IF($B432="","",IF(AND(OR(CETAK!$J$10="",$F432=CETAK!$J$10),OR(CETAK!$J$11="",$G432=CETAK!$J$11),OR(CETAK!$J$12="",$P432=CETAK!$J$12),OR(CETAK!$J$13="",$N432=CETAK!$J$13),OR(CETAK!$J$14="",$T432=CETAK!$J$14)),MAX($AC$3:AC431)+1,""))</f>
        <v/>
      </c>
      <c r="AD432" s="40" t="str">
        <f aca="false">IF($B432="","",IF(AND(OR(ABSENSI!$H$10="",$F432=ABSENSI!$H$10),OR(ABSENSI!$H$11="",$G432=ABSENSI!$H$11),OR(ABSENSI!$H$12="",$P432=ABSENSI!$H$12)),MAX($AD$3:AD431)+1,""))</f>
        <v/>
      </c>
      <c r="AE432" s="40" t="str">
        <f aca="false">IF($B432="","",IF(AND(OR(KARTU!$K$6="",$F432=KARTU!$K$6),OR(KARTU!$K$7="",$G432=KARTU!$K$7),OR(KARTU!$K$8="",$P432=KARTU!$K$8)),MAX($AE$3:AE431)+1,""))</f>
        <v/>
      </c>
    </row>
    <row r="433" customFormat="false" ht="15" hidden="false" customHeight="false" outlineLevel="0" collapsed="false">
      <c r="A433" s="35" t="str">
        <f aca="false">IF($B433="","",COUNTA($B$4:$B433))</f>
        <v/>
      </c>
      <c r="B433" s="36"/>
      <c r="C433" s="37"/>
      <c r="D433" s="37"/>
      <c r="E433" s="38"/>
      <c r="F433" s="36"/>
      <c r="G433" s="39"/>
      <c r="H433" s="39"/>
      <c r="I433" s="36"/>
      <c r="J433" s="36"/>
      <c r="K433" s="36"/>
      <c r="L433" s="36"/>
      <c r="M433" s="40" t="str">
        <f aca="false">IF($F433="","",$F433&amp;IF($G433="",""," - RT "&amp;$G433&amp;IF($H433="","","/"&amp;$H433)))</f>
        <v/>
      </c>
      <c r="N433" s="36"/>
      <c r="O433" s="37"/>
      <c r="P433" s="39"/>
      <c r="Q433" s="41"/>
      <c r="R433" s="35" t="str">
        <f aca="true">IF(OR($B433="",$Q433=""),"",DATEDIF($Q433,TODAY(),"Y"))</f>
        <v/>
      </c>
      <c r="S433" s="40" t="str">
        <f aca="false">IF($R433="","",INDEX(usia_label,MATCH($R433,usia_min,1)))</f>
        <v/>
      </c>
      <c r="T433" s="36"/>
      <c r="U433" s="41"/>
      <c r="V433" s="36"/>
      <c r="W433" s="36"/>
      <c r="X433" s="40" t="str">
        <f aca="false">IF($M433="","",$M433&amp;"#"&amp;COUNTIF($M$4:$M433,$M433))</f>
        <v/>
      </c>
      <c r="Y433" s="40" t="str">
        <f aca="false">IF($B433="","",IF($C433="","NIK kosong",IF(LEN($C433)&lt;&gt;16,"NIK bukan 16 digit",IF(COUNTIF($C$4:$C$2003,$C433&amp;"*")&gt;1,"NIK ganda",IF(AND($D433&lt;&gt;"",LEN($D433)&lt;&gt;16),"No. KK bukan 16 digit",IF(AND($F433="",$I433=""),"Alamat kosong",IF($N433="","Jabatan kosong",IF($O433="","No. HP kosong",IF(AND($R433&lt;&gt;"",$R433&lt;17),"Usia di bawah 17","")))))))))</f>
        <v/>
      </c>
      <c r="Z433" s="40" t="str">
        <f aca="false">IF($B433="","",IF(AND(OR(CARI!$C$5="",ISNUMBER(SEARCH(CARI!$C$5,$B433&amp;" "&amp;$C433&amp;" "&amp;$D433&amp;" "&amp;$O433&amp;" "&amp;$I433&amp;" "&amp;$F433&amp;" "&amp;$J433&amp;" "&amp;$K433&amp;" "&amp;$L433&amp;" "&amp;$V433))),OR(CARI!$C$6="",$F433=CARI!$C$6),OR(CARI!$C$7="",$G433=CARI!$C$7),OR(CARI!$C$8="",$T433=CARI!$C$8)),MAX($Z$3:Z432)+1,""))</f>
        <v/>
      </c>
      <c r="AA433" s="40" t="str">
        <f aca="false">IF($Y433="","",MAX($AA$3:AA432)+1)</f>
        <v/>
      </c>
      <c r="AB433" s="40" t="str">
        <f aca="false">IF($F433="","",$F433&amp;"#"&amp;COUNTIF($F$4:$F433,$F433))</f>
        <v/>
      </c>
      <c r="AC433" s="40" t="str">
        <f aca="false">IF($B433="","",IF(AND(OR(CETAK!$J$10="",$F433=CETAK!$J$10),OR(CETAK!$J$11="",$G433=CETAK!$J$11),OR(CETAK!$J$12="",$P433=CETAK!$J$12),OR(CETAK!$J$13="",$N433=CETAK!$J$13),OR(CETAK!$J$14="",$T433=CETAK!$J$14)),MAX($AC$3:AC432)+1,""))</f>
        <v/>
      </c>
      <c r="AD433" s="40" t="str">
        <f aca="false">IF($B433="","",IF(AND(OR(ABSENSI!$H$10="",$F433=ABSENSI!$H$10),OR(ABSENSI!$H$11="",$G433=ABSENSI!$H$11),OR(ABSENSI!$H$12="",$P433=ABSENSI!$H$12)),MAX($AD$3:AD432)+1,""))</f>
        <v/>
      </c>
      <c r="AE433" s="40" t="str">
        <f aca="false">IF($B433="","",IF(AND(OR(KARTU!$K$6="",$F433=KARTU!$K$6),OR(KARTU!$K$7="",$G433=KARTU!$K$7),OR(KARTU!$K$8="",$P433=KARTU!$K$8)),MAX($AE$3:AE432)+1,""))</f>
        <v/>
      </c>
    </row>
    <row r="434" customFormat="false" ht="15" hidden="false" customHeight="false" outlineLevel="0" collapsed="false">
      <c r="A434" s="35" t="str">
        <f aca="false">IF($B434="","",COUNTA($B$4:$B434))</f>
        <v/>
      </c>
      <c r="B434" s="36"/>
      <c r="C434" s="37"/>
      <c r="D434" s="37"/>
      <c r="E434" s="38"/>
      <c r="F434" s="36"/>
      <c r="G434" s="39"/>
      <c r="H434" s="39"/>
      <c r="I434" s="36"/>
      <c r="J434" s="36"/>
      <c r="K434" s="36"/>
      <c r="L434" s="36"/>
      <c r="M434" s="40" t="str">
        <f aca="false">IF($F434="","",$F434&amp;IF($G434="",""," - RT "&amp;$G434&amp;IF($H434="","","/"&amp;$H434)))</f>
        <v/>
      </c>
      <c r="N434" s="36"/>
      <c r="O434" s="37"/>
      <c r="P434" s="39"/>
      <c r="Q434" s="41"/>
      <c r="R434" s="35" t="str">
        <f aca="true">IF(OR($B434="",$Q434=""),"",DATEDIF($Q434,TODAY(),"Y"))</f>
        <v/>
      </c>
      <c r="S434" s="40" t="str">
        <f aca="false">IF($R434="","",INDEX(usia_label,MATCH($R434,usia_min,1)))</f>
        <v/>
      </c>
      <c r="T434" s="36"/>
      <c r="U434" s="41"/>
      <c r="V434" s="36"/>
      <c r="W434" s="36"/>
      <c r="X434" s="40" t="str">
        <f aca="false">IF($M434="","",$M434&amp;"#"&amp;COUNTIF($M$4:$M434,$M434))</f>
        <v/>
      </c>
      <c r="Y434" s="40" t="str">
        <f aca="false">IF($B434="","",IF($C434="","NIK kosong",IF(LEN($C434)&lt;&gt;16,"NIK bukan 16 digit",IF(COUNTIF($C$4:$C$2003,$C434&amp;"*")&gt;1,"NIK ganda",IF(AND($D434&lt;&gt;"",LEN($D434)&lt;&gt;16),"No. KK bukan 16 digit",IF(AND($F434="",$I434=""),"Alamat kosong",IF($N434="","Jabatan kosong",IF($O434="","No. HP kosong",IF(AND($R434&lt;&gt;"",$R434&lt;17),"Usia di bawah 17","")))))))))</f>
        <v/>
      </c>
      <c r="Z434" s="40" t="str">
        <f aca="false">IF($B434="","",IF(AND(OR(CARI!$C$5="",ISNUMBER(SEARCH(CARI!$C$5,$B434&amp;" "&amp;$C434&amp;" "&amp;$D434&amp;" "&amp;$O434&amp;" "&amp;$I434&amp;" "&amp;$F434&amp;" "&amp;$J434&amp;" "&amp;$K434&amp;" "&amp;$L434&amp;" "&amp;$V434))),OR(CARI!$C$6="",$F434=CARI!$C$6),OR(CARI!$C$7="",$G434=CARI!$C$7),OR(CARI!$C$8="",$T434=CARI!$C$8)),MAX($Z$3:Z433)+1,""))</f>
        <v/>
      </c>
      <c r="AA434" s="40" t="str">
        <f aca="false">IF($Y434="","",MAX($AA$3:AA433)+1)</f>
        <v/>
      </c>
      <c r="AB434" s="40" t="str">
        <f aca="false">IF($F434="","",$F434&amp;"#"&amp;COUNTIF($F$4:$F434,$F434))</f>
        <v/>
      </c>
      <c r="AC434" s="40" t="str">
        <f aca="false">IF($B434="","",IF(AND(OR(CETAK!$J$10="",$F434=CETAK!$J$10),OR(CETAK!$J$11="",$G434=CETAK!$J$11),OR(CETAK!$J$12="",$P434=CETAK!$J$12),OR(CETAK!$J$13="",$N434=CETAK!$J$13),OR(CETAK!$J$14="",$T434=CETAK!$J$14)),MAX($AC$3:AC433)+1,""))</f>
        <v/>
      </c>
      <c r="AD434" s="40" t="str">
        <f aca="false">IF($B434="","",IF(AND(OR(ABSENSI!$H$10="",$F434=ABSENSI!$H$10),OR(ABSENSI!$H$11="",$G434=ABSENSI!$H$11),OR(ABSENSI!$H$12="",$P434=ABSENSI!$H$12)),MAX($AD$3:AD433)+1,""))</f>
        <v/>
      </c>
      <c r="AE434" s="40" t="str">
        <f aca="false">IF($B434="","",IF(AND(OR(KARTU!$K$6="",$F434=KARTU!$K$6),OR(KARTU!$K$7="",$G434=KARTU!$K$7),OR(KARTU!$K$8="",$P434=KARTU!$K$8)),MAX($AE$3:AE433)+1,""))</f>
        <v/>
      </c>
    </row>
    <row r="435" customFormat="false" ht="15" hidden="false" customHeight="false" outlineLevel="0" collapsed="false">
      <c r="A435" s="35" t="str">
        <f aca="false">IF($B435="","",COUNTA($B$4:$B435))</f>
        <v/>
      </c>
      <c r="B435" s="36"/>
      <c r="C435" s="37"/>
      <c r="D435" s="37"/>
      <c r="E435" s="38"/>
      <c r="F435" s="36"/>
      <c r="G435" s="39"/>
      <c r="H435" s="39"/>
      <c r="I435" s="36"/>
      <c r="J435" s="36"/>
      <c r="K435" s="36"/>
      <c r="L435" s="36"/>
      <c r="M435" s="40" t="str">
        <f aca="false">IF($F435="","",$F435&amp;IF($G435="",""," - RT "&amp;$G435&amp;IF($H435="","","/"&amp;$H435)))</f>
        <v/>
      </c>
      <c r="N435" s="36"/>
      <c r="O435" s="37"/>
      <c r="P435" s="39"/>
      <c r="Q435" s="41"/>
      <c r="R435" s="35" t="str">
        <f aca="true">IF(OR($B435="",$Q435=""),"",DATEDIF($Q435,TODAY(),"Y"))</f>
        <v/>
      </c>
      <c r="S435" s="40" t="str">
        <f aca="false">IF($R435="","",INDEX(usia_label,MATCH($R435,usia_min,1)))</f>
        <v/>
      </c>
      <c r="T435" s="36"/>
      <c r="U435" s="41"/>
      <c r="V435" s="36"/>
      <c r="W435" s="36"/>
      <c r="X435" s="40" t="str">
        <f aca="false">IF($M435="","",$M435&amp;"#"&amp;COUNTIF($M$4:$M435,$M435))</f>
        <v/>
      </c>
      <c r="Y435" s="40" t="str">
        <f aca="false">IF($B435="","",IF($C435="","NIK kosong",IF(LEN($C435)&lt;&gt;16,"NIK bukan 16 digit",IF(COUNTIF($C$4:$C$2003,$C435&amp;"*")&gt;1,"NIK ganda",IF(AND($D435&lt;&gt;"",LEN($D435)&lt;&gt;16),"No. KK bukan 16 digit",IF(AND($F435="",$I435=""),"Alamat kosong",IF($N435="","Jabatan kosong",IF($O435="","No. HP kosong",IF(AND($R435&lt;&gt;"",$R435&lt;17),"Usia di bawah 17","")))))))))</f>
        <v/>
      </c>
      <c r="Z435" s="40" t="str">
        <f aca="false">IF($B435="","",IF(AND(OR(CARI!$C$5="",ISNUMBER(SEARCH(CARI!$C$5,$B435&amp;" "&amp;$C435&amp;" "&amp;$D435&amp;" "&amp;$O435&amp;" "&amp;$I435&amp;" "&amp;$F435&amp;" "&amp;$J435&amp;" "&amp;$K435&amp;" "&amp;$L435&amp;" "&amp;$V435))),OR(CARI!$C$6="",$F435=CARI!$C$6),OR(CARI!$C$7="",$G435=CARI!$C$7),OR(CARI!$C$8="",$T435=CARI!$C$8)),MAX($Z$3:Z434)+1,""))</f>
        <v/>
      </c>
      <c r="AA435" s="40" t="str">
        <f aca="false">IF($Y435="","",MAX($AA$3:AA434)+1)</f>
        <v/>
      </c>
      <c r="AB435" s="40" t="str">
        <f aca="false">IF($F435="","",$F435&amp;"#"&amp;COUNTIF($F$4:$F435,$F435))</f>
        <v/>
      </c>
      <c r="AC435" s="40" t="str">
        <f aca="false">IF($B435="","",IF(AND(OR(CETAK!$J$10="",$F435=CETAK!$J$10),OR(CETAK!$J$11="",$G435=CETAK!$J$11),OR(CETAK!$J$12="",$P435=CETAK!$J$12),OR(CETAK!$J$13="",$N435=CETAK!$J$13),OR(CETAK!$J$14="",$T435=CETAK!$J$14)),MAX($AC$3:AC434)+1,""))</f>
        <v/>
      </c>
      <c r="AD435" s="40" t="str">
        <f aca="false">IF($B435="","",IF(AND(OR(ABSENSI!$H$10="",$F435=ABSENSI!$H$10),OR(ABSENSI!$H$11="",$G435=ABSENSI!$H$11),OR(ABSENSI!$H$12="",$P435=ABSENSI!$H$12)),MAX($AD$3:AD434)+1,""))</f>
        <v/>
      </c>
      <c r="AE435" s="40" t="str">
        <f aca="false">IF($B435="","",IF(AND(OR(KARTU!$K$6="",$F435=KARTU!$K$6),OR(KARTU!$K$7="",$G435=KARTU!$K$7),OR(KARTU!$K$8="",$P435=KARTU!$K$8)),MAX($AE$3:AE434)+1,""))</f>
        <v/>
      </c>
    </row>
    <row r="436" customFormat="false" ht="15" hidden="false" customHeight="false" outlineLevel="0" collapsed="false">
      <c r="A436" s="35" t="str">
        <f aca="false">IF($B436="","",COUNTA($B$4:$B436))</f>
        <v/>
      </c>
      <c r="B436" s="36"/>
      <c r="C436" s="37"/>
      <c r="D436" s="37"/>
      <c r="E436" s="38"/>
      <c r="F436" s="36"/>
      <c r="G436" s="39"/>
      <c r="H436" s="39"/>
      <c r="I436" s="36"/>
      <c r="J436" s="36"/>
      <c r="K436" s="36"/>
      <c r="L436" s="36"/>
      <c r="M436" s="40" t="str">
        <f aca="false">IF($F436="","",$F436&amp;IF($G436="",""," - RT "&amp;$G436&amp;IF($H436="","","/"&amp;$H436)))</f>
        <v/>
      </c>
      <c r="N436" s="36"/>
      <c r="O436" s="37"/>
      <c r="P436" s="39"/>
      <c r="Q436" s="41"/>
      <c r="R436" s="35" t="str">
        <f aca="true">IF(OR($B436="",$Q436=""),"",DATEDIF($Q436,TODAY(),"Y"))</f>
        <v/>
      </c>
      <c r="S436" s="40" t="str">
        <f aca="false">IF($R436="","",INDEX(usia_label,MATCH($R436,usia_min,1)))</f>
        <v/>
      </c>
      <c r="T436" s="36"/>
      <c r="U436" s="41"/>
      <c r="V436" s="36"/>
      <c r="W436" s="36"/>
      <c r="X436" s="40" t="str">
        <f aca="false">IF($M436="","",$M436&amp;"#"&amp;COUNTIF($M$4:$M436,$M436))</f>
        <v/>
      </c>
      <c r="Y436" s="40" t="str">
        <f aca="false">IF($B436="","",IF($C436="","NIK kosong",IF(LEN($C436)&lt;&gt;16,"NIK bukan 16 digit",IF(COUNTIF($C$4:$C$2003,$C436&amp;"*")&gt;1,"NIK ganda",IF(AND($D436&lt;&gt;"",LEN($D436)&lt;&gt;16),"No. KK bukan 16 digit",IF(AND($F436="",$I436=""),"Alamat kosong",IF($N436="","Jabatan kosong",IF($O436="","No. HP kosong",IF(AND($R436&lt;&gt;"",$R436&lt;17),"Usia di bawah 17","")))))))))</f>
        <v/>
      </c>
      <c r="Z436" s="40" t="str">
        <f aca="false">IF($B436="","",IF(AND(OR(CARI!$C$5="",ISNUMBER(SEARCH(CARI!$C$5,$B436&amp;" "&amp;$C436&amp;" "&amp;$D436&amp;" "&amp;$O436&amp;" "&amp;$I436&amp;" "&amp;$F436&amp;" "&amp;$J436&amp;" "&amp;$K436&amp;" "&amp;$L436&amp;" "&amp;$V436))),OR(CARI!$C$6="",$F436=CARI!$C$6),OR(CARI!$C$7="",$G436=CARI!$C$7),OR(CARI!$C$8="",$T436=CARI!$C$8)),MAX($Z$3:Z435)+1,""))</f>
        <v/>
      </c>
      <c r="AA436" s="40" t="str">
        <f aca="false">IF($Y436="","",MAX($AA$3:AA435)+1)</f>
        <v/>
      </c>
      <c r="AB436" s="40" t="str">
        <f aca="false">IF($F436="","",$F436&amp;"#"&amp;COUNTIF($F$4:$F436,$F436))</f>
        <v/>
      </c>
      <c r="AC436" s="40" t="str">
        <f aca="false">IF($B436="","",IF(AND(OR(CETAK!$J$10="",$F436=CETAK!$J$10),OR(CETAK!$J$11="",$G436=CETAK!$J$11),OR(CETAK!$J$12="",$P436=CETAK!$J$12),OR(CETAK!$J$13="",$N436=CETAK!$J$13),OR(CETAK!$J$14="",$T436=CETAK!$J$14)),MAX($AC$3:AC435)+1,""))</f>
        <v/>
      </c>
      <c r="AD436" s="40" t="str">
        <f aca="false">IF($B436="","",IF(AND(OR(ABSENSI!$H$10="",$F436=ABSENSI!$H$10),OR(ABSENSI!$H$11="",$G436=ABSENSI!$H$11),OR(ABSENSI!$H$12="",$P436=ABSENSI!$H$12)),MAX($AD$3:AD435)+1,""))</f>
        <v/>
      </c>
      <c r="AE436" s="40" t="str">
        <f aca="false">IF($B436="","",IF(AND(OR(KARTU!$K$6="",$F436=KARTU!$K$6),OR(KARTU!$K$7="",$G436=KARTU!$K$7),OR(KARTU!$K$8="",$P436=KARTU!$K$8)),MAX($AE$3:AE435)+1,""))</f>
        <v/>
      </c>
    </row>
    <row r="437" customFormat="false" ht="15" hidden="false" customHeight="false" outlineLevel="0" collapsed="false">
      <c r="A437" s="35" t="str">
        <f aca="false">IF($B437="","",COUNTA($B$4:$B437))</f>
        <v/>
      </c>
      <c r="B437" s="36"/>
      <c r="C437" s="37"/>
      <c r="D437" s="37"/>
      <c r="E437" s="38"/>
      <c r="F437" s="36"/>
      <c r="G437" s="39"/>
      <c r="H437" s="39"/>
      <c r="I437" s="36"/>
      <c r="J437" s="36"/>
      <c r="K437" s="36"/>
      <c r="L437" s="36"/>
      <c r="M437" s="40" t="str">
        <f aca="false">IF($F437="","",$F437&amp;IF($G437="",""," - RT "&amp;$G437&amp;IF($H437="","","/"&amp;$H437)))</f>
        <v/>
      </c>
      <c r="N437" s="36"/>
      <c r="O437" s="37"/>
      <c r="P437" s="39"/>
      <c r="Q437" s="41"/>
      <c r="R437" s="35" t="str">
        <f aca="true">IF(OR($B437="",$Q437=""),"",DATEDIF($Q437,TODAY(),"Y"))</f>
        <v/>
      </c>
      <c r="S437" s="40" t="str">
        <f aca="false">IF($R437="","",INDEX(usia_label,MATCH($R437,usia_min,1)))</f>
        <v/>
      </c>
      <c r="T437" s="36"/>
      <c r="U437" s="41"/>
      <c r="V437" s="36"/>
      <c r="W437" s="36"/>
      <c r="X437" s="40" t="str">
        <f aca="false">IF($M437="","",$M437&amp;"#"&amp;COUNTIF($M$4:$M437,$M437))</f>
        <v/>
      </c>
      <c r="Y437" s="40" t="str">
        <f aca="false">IF($B437="","",IF($C437="","NIK kosong",IF(LEN($C437)&lt;&gt;16,"NIK bukan 16 digit",IF(COUNTIF($C$4:$C$2003,$C437&amp;"*")&gt;1,"NIK ganda",IF(AND($D437&lt;&gt;"",LEN($D437)&lt;&gt;16),"No. KK bukan 16 digit",IF(AND($F437="",$I437=""),"Alamat kosong",IF($N437="","Jabatan kosong",IF($O437="","No. HP kosong",IF(AND($R437&lt;&gt;"",$R437&lt;17),"Usia di bawah 17","")))))))))</f>
        <v/>
      </c>
      <c r="Z437" s="40" t="str">
        <f aca="false">IF($B437="","",IF(AND(OR(CARI!$C$5="",ISNUMBER(SEARCH(CARI!$C$5,$B437&amp;" "&amp;$C437&amp;" "&amp;$D437&amp;" "&amp;$O437&amp;" "&amp;$I437&amp;" "&amp;$F437&amp;" "&amp;$J437&amp;" "&amp;$K437&amp;" "&amp;$L437&amp;" "&amp;$V437))),OR(CARI!$C$6="",$F437=CARI!$C$6),OR(CARI!$C$7="",$G437=CARI!$C$7),OR(CARI!$C$8="",$T437=CARI!$C$8)),MAX($Z$3:Z436)+1,""))</f>
        <v/>
      </c>
      <c r="AA437" s="40" t="str">
        <f aca="false">IF($Y437="","",MAX($AA$3:AA436)+1)</f>
        <v/>
      </c>
      <c r="AB437" s="40" t="str">
        <f aca="false">IF($F437="","",$F437&amp;"#"&amp;COUNTIF($F$4:$F437,$F437))</f>
        <v/>
      </c>
      <c r="AC437" s="40" t="str">
        <f aca="false">IF($B437="","",IF(AND(OR(CETAK!$J$10="",$F437=CETAK!$J$10),OR(CETAK!$J$11="",$G437=CETAK!$J$11),OR(CETAK!$J$12="",$P437=CETAK!$J$12),OR(CETAK!$J$13="",$N437=CETAK!$J$13),OR(CETAK!$J$14="",$T437=CETAK!$J$14)),MAX($AC$3:AC436)+1,""))</f>
        <v/>
      </c>
      <c r="AD437" s="40" t="str">
        <f aca="false">IF($B437="","",IF(AND(OR(ABSENSI!$H$10="",$F437=ABSENSI!$H$10),OR(ABSENSI!$H$11="",$G437=ABSENSI!$H$11),OR(ABSENSI!$H$12="",$P437=ABSENSI!$H$12)),MAX($AD$3:AD436)+1,""))</f>
        <v/>
      </c>
      <c r="AE437" s="40" t="str">
        <f aca="false">IF($B437="","",IF(AND(OR(KARTU!$K$6="",$F437=KARTU!$K$6),OR(KARTU!$K$7="",$G437=KARTU!$K$7),OR(KARTU!$K$8="",$P437=KARTU!$K$8)),MAX($AE$3:AE436)+1,""))</f>
        <v/>
      </c>
    </row>
    <row r="438" customFormat="false" ht="15" hidden="false" customHeight="false" outlineLevel="0" collapsed="false">
      <c r="A438" s="35" t="str">
        <f aca="false">IF($B438="","",COUNTA($B$4:$B438))</f>
        <v/>
      </c>
      <c r="B438" s="36"/>
      <c r="C438" s="37"/>
      <c r="D438" s="37"/>
      <c r="E438" s="38"/>
      <c r="F438" s="36"/>
      <c r="G438" s="39"/>
      <c r="H438" s="39"/>
      <c r="I438" s="36"/>
      <c r="J438" s="36"/>
      <c r="K438" s="36"/>
      <c r="L438" s="36"/>
      <c r="M438" s="40" t="str">
        <f aca="false">IF($F438="","",$F438&amp;IF($G438="",""," - RT "&amp;$G438&amp;IF($H438="","","/"&amp;$H438)))</f>
        <v/>
      </c>
      <c r="N438" s="36"/>
      <c r="O438" s="37"/>
      <c r="P438" s="39"/>
      <c r="Q438" s="41"/>
      <c r="R438" s="35" t="str">
        <f aca="true">IF(OR($B438="",$Q438=""),"",DATEDIF($Q438,TODAY(),"Y"))</f>
        <v/>
      </c>
      <c r="S438" s="40" t="str">
        <f aca="false">IF($R438="","",INDEX(usia_label,MATCH($R438,usia_min,1)))</f>
        <v/>
      </c>
      <c r="T438" s="36"/>
      <c r="U438" s="41"/>
      <c r="V438" s="36"/>
      <c r="W438" s="36"/>
      <c r="X438" s="40" t="str">
        <f aca="false">IF($M438="","",$M438&amp;"#"&amp;COUNTIF($M$4:$M438,$M438))</f>
        <v/>
      </c>
      <c r="Y438" s="40" t="str">
        <f aca="false">IF($B438="","",IF($C438="","NIK kosong",IF(LEN($C438)&lt;&gt;16,"NIK bukan 16 digit",IF(COUNTIF($C$4:$C$2003,$C438&amp;"*")&gt;1,"NIK ganda",IF(AND($D438&lt;&gt;"",LEN($D438)&lt;&gt;16),"No. KK bukan 16 digit",IF(AND($F438="",$I438=""),"Alamat kosong",IF($N438="","Jabatan kosong",IF($O438="","No. HP kosong",IF(AND($R438&lt;&gt;"",$R438&lt;17),"Usia di bawah 17","")))))))))</f>
        <v/>
      </c>
      <c r="Z438" s="40" t="str">
        <f aca="false">IF($B438="","",IF(AND(OR(CARI!$C$5="",ISNUMBER(SEARCH(CARI!$C$5,$B438&amp;" "&amp;$C438&amp;" "&amp;$D438&amp;" "&amp;$O438&amp;" "&amp;$I438&amp;" "&amp;$F438&amp;" "&amp;$J438&amp;" "&amp;$K438&amp;" "&amp;$L438&amp;" "&amp;$V438))),OR(CARI!$C$6="",$F438=CARI!$C$6),OR(CARI!$C$7="",$G438=CARI!$C$7),OR(CARI!$C$8="",$T438=CARI!$C$8)),MAX($Z$3:Z437)+1,""))</f>
        <v/>
      </c>
      <c r="AA438" s="40" t="str">
        <f aca="false">IF($Y438="","",MAX($AA$3:AA437)+1)</f>
        <v/>
      </c>
      <c r="AB438" s="40" t="str">
        <f aca="false">IF($F438="","",$F438&amp;"#"&amp;COUNTIF($F$4:$F438,$F438))</f>
        <v/>
      </c>
      <c r="AC438" s="40" t="str">
        <f aca="false">IF($B438="","",IF(AND(OR(CETAK!$J$10="",$F438=CETAK!$J$10),OR(CETAK!$J$11="",$G438=CETAK!$J$11),OR(CETAK!$J$12="",$P438=CETAK!$J$12),OR(CETAK!$J$13="",$N438=CETAK!$J$13),OR(CETAK!$J$14="",$T438=CETAK!$J$14)),MAX($AC$3:AC437)+1,""))</f>
        <v/>
      </c>
      <c r="AD438" s="40" t="str">
        <f aca="false">IF($B438="","",IF(AND(OR(ABSENSI!$H$10="",$F438=ABSENSI!$H$10),OR(ABSENSI!$H$11="",$G438=ABSENSI!$H$11),OR(ABSENSI!$H$12="",$P438=ABSENSI!$H$12)),MAX($AD$3:AD437)+1,""))</f>
        <v/>
      </c>
      <c r="AE438" s="40" t="str">
        <f aca="false">IF($B438="","",IF(AND(OR(KARTU!$K$6="",$F438=KARTU!$K$6),OR(KARTU!$K$7="",$G438=KARTU!$K$7),OR(KARTU!$K$8="",$P438=KARTU!$K$8)),MAX($AE$3:AE437)+1,""))</f>
        <v/>
      </c>
    </row>
    <row r="439" customFormat="false" ht="15" hidden="false" customHeight="false" outlineLevel="0" collapsed="false">
      <c r="A439" s="35" t="str">
        <f aca="false">IF($B439="","",COUNTA($B$4:$B439))</f>
        <v/>
      </c>
      <c r="B439" s="36"/>
      <c r="C439" s="37"/>
      <c r="D439" s="37"/>
      <c r="E439" s="38"/>
      <c r="F439" s="36"/>
      <c r="G439" s="39"/>
      <c r="H439" s="39"/>
      <c r="I439" s="36"/>
      <c r="J439" s="36"/>
      <c r="K439" s="36"/>
      <c r="L439" s="36"/>
      <c r="M439" s="40" t="str">
        <f aca="false">IF($F439="","",$F439&amp;IF($G439="",""," - RT "&amp;$G439&amp;IF($H439="","","/"&amp;$H439)))</f>
        <v/>
      </c>
      <c r="N439" s="36"/>
      <c r="O439" s="37"/>
      <c r="P439" s="39"/>
      <c r="Q439" s="41"/>
      <c r="R439" s="35" t="str">
        <f aca="true">IF(OR($B439="",$Q439=""),"",DATEDIF($Q439,TODAY(),"Y"))</f>
        <v/>
      </c>
      <c r="S439" s="40" t="str">
        <f aca="false">IF($R439="","",INDEX(usia_label,MATCH($R439,usia_min,1)))</f>
        <v/>
      </c>
      <c r="T439" s="36"/>
      <c r="U439" s="41"/>
      <c r="V439" s="36"/>
      <c r="W439" s="36"/>
      <c r="X439" s="40" t="str">
        <f aca="false">IF($M439="","",$M439&amp;"#"&amp;COUNTIF($M$4:$M439,$M439))</f>
        <v/>
      </c>
      <c r="Y439" s="40" t="str">
        <f aca="false">IF($B439="","",IF($C439="","NIK kosong",IF(LEN($C439)&lt;&gt;16,"NIK bukan 16 digit",IF(COUNTIF($C$4:$C$2003,$C439&amp;"*")&gt;1,"NIK ganda",IF(AND($D439&lt;&gt;"",LEN($D439)&lt;&gt;16),"No. KK bukan 16 digit",IF(AND($F439="",$I439=""),"Alamat kosong",IF($N439="","Jabatan kosong",IF($O439="","No. HP kosong",IF(AND($R439&lt;&gt;"",$R439&lt;17),"Usia di bawah 17","")))))))))</f>
        <v/>
      </c>
      <c r="Z439" s="40" t="str">
        <f aca="false">IF($B439="","",IF(AND(OR(CARI!$C$5="",ISNUMBER(SEARCH(CARI!$C$5,$B439&amp;" "&amp;$C439&amp;" "&amp;$D439&amp;" "&amp;$O439&amp;" "&amp;$I439&amp;" "&amp;$F439&amp;" "&amp;$J439&amp;" "&amp;$K439&amp;" "&amp;$L439&amp;" "&amp;$V439))),OR(CARI!$C$6="",$F439=CARI!$C$6),OR(CARI!$C$7="",$G439=CARI!$C$7),OR(CARI!$C$8="",$T439=CARI!$C$8)),MAX($Z$3:Z438)+1,""))</f>
        <v/>
      </c>
      <c r="AA439" s="40" t="str">
        <f aca="false">IF($Y439="","",MAX($AA$3:AA438)+1)</f>
        <v/>
      </c>
      <c r="AB439" s="40" t="str">
        <f aca="false">IF($F439="","",$F439&amp;"#"&amp;COUNTIF($F$4:$F439,$F439))</f>
        <v/>
      </c>
      <c r="AC439" s="40" t="str">
        <f aca="false">IF($B439="","",IF(AND(OR(CETAK!$J$10="",$F439=CETAK!$J$10),OR(CETAK!$J$11="",$G439=CETAK!$J$11),OR(CETAK!$J$12="",$P439=CETAK!$J$12),OR(CETAK!$J$13="",$N439=CETAK!$J$13),OR(CETAK!$J$14="",$T439=CETAK!$J$14)),MAX($AC$3:AC438)+1,""))</f>
        <v/>
      </c>
      <c r="AD439" s="40" t="str">
        <f aca="false">IF($B439="","",IF(AND(OR(ABSENSI!$H$10="",$F439=ABSENSI!$H$10),OR(ABSENSI!$H$11="",$G439=ABSENSI!$H$11),OR(ABSENSI!$H$12="",$P439=ABSENSI!$H$12)),MAX($AD$3:AD438)+1,""))</f>
        <v/>
      </c>
      <c r="AE439" s="40" t="str">
        <f aca="false">IF($B439="","",IF(AND(OR(KARTU!$K$6="",$F439=KARTU!$K$6),OR(KARTU!$K$7="",$G439=KARTU!$K$7),OR(KARTU!$K$8="",$P439=KARTU!$K$8)),MAX($AE$3:AE438)+1,""))</f>
        <v/>
      </c>
    </row>
    <row r="440" customFormat="false" ht="15" hidden="false" customHeight="false" outlineLevel="0" collapsed="false">
      <c r="A440" s="35" t="str">
        <f aca="false">IF($B440="","",COUNTA($B$4:$B440))</f>
        <v/>
      </c>
      <c r="B440" s="36"/>
      <c r="C440" s="37"/>
      <c r="D440" s="37"/>
      <c r="E440" s="38"/>
      <c r="F440" s="36"/>
      <c r="G440" s="39"/>
      <c r="H440" s="39"/>
      <c r="I440" s="36"/>
      <c r="J440" s="36"/>
      <c r="K440" s="36"/>
      <c r="L440" s="36"/>
      <c r="M440" s="40" t="str">
        <f aca="false">IF($F440="","",$F440&amp;IF($G440="",""," - RT "&amp;$G440&amp;IF($H440="","","/"&amp;$H440)))</f>
        <v/>
      </c>
      <c r="N440" s="36"/>
      <c r="O440" s="37"/>
      <c r="P440" s="39"/>
      <c r="Q440" s="41"/>
      <c r="R440" s="35" t="str">
        <f aca="true">IF(OR($B440="",$Q440=""),"",DATEDIF($Q440,TODAY(),"Y"))</f>
        <v/>
      </c>
      <c r="S440" s="40" t="str">
        <f aca="false">IF($R440="","",INDEX(usia_label,MATCH($R440,usia_min,1)))</f>
        <v/>
      </c>
      <c r="T440" s="36"/>
      <c r="U440" s="41"/>
      <c r="V440" s="36"/>
      <c r="W440" s="36"/>
      <c r="X440" s="40" t="str">
        <f aca="false">IF($M440="","",$M440&amp;"#"&amp;COUNTIF($M$4:$M440,$M440))</f>
        <v/>
      </c>
      <c r="Y440" s="40" t="str">
        <f aca="false">IF($B440="","",IF($C440="","NIK kosong",IF(LEN($C440)&lt;&gt;16,"NIK bukan 16 digit",IF(COUNTIF($C$4:$C$2003,$C440&amp;"*")&gt;1,"NIK ganda",IF(AND($D440&lt;&gt;"",LEN($D440)&lt;&gt;16),"No. KK bukan 16 digit",IF(AND($F440="",$I440=""),"Alamat kosong",IF($N440="","Jabatan kosong",IF($O440="","No. HP kosong",IF(AND($R440&lt;&gt;"",$R440&lt;17),"Usia di bawah 17","")))))))))</f>
        <v/>
      </c>
      <c r="Z440" s="40" t="str">
        <f aca="false">IF($B440="","",IF(AND(OR(CARI!$C$5="",ISNUMBER(SEARCH(CARI!$C$5,$B440&amp;" "&amp;$C440&amp;" "&amp;$D440&amp;" "&amp;$O440&amp;" "&amp;$I440&amp;" "&amp;$F440&amp;" "&amp;$J440&amp;" "&amp;$K440&amp;" "&amp;$L440&amp;" "&amp;$V440))),OR(CARI!$C$6="",$F440=CARI!$C$6),OR(CARI!$C$7="",$G440=CARI!$C$7),OR(CARI!$C$8="",$T440=CARI!$C$8)),MAX($Z$3:Z439)+1,""))</f>
        <v/>
      </c>
      <c r="AA440" s="40" t="str">
        <f aca="false">IF($Y440="","",MAX($AA$3:AA439)+1)</f>
        <v/>
      </c>
      <c r="AB440" s="40" t="str">
        <f aca="false">IF($F440="","",$F440&amp;"#"&amp;COUNTIF($F$4:$F440,$F440))</f>
        <v/>
      </c>
      <c r="AC440" s="40" t="str">
        <f aca="false">IF($B440="","",IF(AND(OR(CETAK!$J$10="",$F440=CETAK!$J$10),OR(CETAK!$J$11="",$G440=CETAK!$J$11),OR(CETAK!$J$12="",$P440=CETAK!$J$12),OR(CETAK!$J$13="",$N440=CETAK!$J$13),OR(CETAK!$J$14="",$T440=CETAK!$J$14)),MAX($AC$3:AC439)+1,""))</f>
        <v/>
      </c>
      <c r="AD440" s="40" t="str">
        <f aca="false">IF($B440="","",IF(AND(OR(ABSENSI!$H$10="",$F440=ABSENSI!$H$10),OR(ABSENSI!$H$11="",$G440=ABSENSI!$H$11),OR(ABSENSI!$H$12="",$P440=ABSENSI!$H$12)),MAX($AD$3:AD439)+1,""))</f>
        <v/>
      </c>
      <c r="AE440" s="40" t="str">
        <f aca="false">IF($B440="","",IF(AND(OR(KARTU!$K$6="",$F440=KARTU!$K$6),OR(KARTU!$K$7="",$G440=KARTU!$K$7),OR(KARTU!$K$8="",$P440=KARTU!$K$8)),MAX($AE$3:AE439)+1,""))</f>
        <v/>
      </c>
    </row>
    <row r="441" customFormat="false" ht="15" hidden="false" customHeight="false" outlineLevel="0" collapsed="false">
      <c r="A441" s="35" t="str">
        <f aca="false">IF($B441="","",COUNTA($B$4:$B441))</f>
        <v/>
      </c>
      <c r="B441" s="36"/>
      <c r="C441" s="37"/>
      <c r="D441" s="37"/>
      <c r="E441" s="38"/>
      <c r="F441" s="36"/>
      <c r="G441" s="39"/>
      <c r="H441" s="39"/>
      <c r="I441" s="36"/>
      <c r="J441" s="36"/>
      <c r="K441" s="36"/>
      <c r="L441" s="36"/>
      <c r="M441" s="40" t="str">
        <f aca="false">IF($F441="","",$F441&amp;IF($G441="",""," - RT "&amp;$G441&amp;IF($H441="","","/"&amp;$H441)))</f>
        <v/>
      </c>
      <c r="N441" s="36"/>
      <c r="O441" s="37"/>
      <c r="P441" s="39"/>
      <c r="Q441" s="41"/>
      <c r="R441" s="35" t="str">
        <f aca="true">IF(OR($B441="",$Q441=""),"",DATEDIF($Q441,TODAY(),"Y"))</f>
        <v/>
      </c>
      <c r="S441" s="40" t="str">
        <f aca="false">IF($R441="","",INDEX(usia_label,MATCH($R441,usia_min,1)))</f>
        <v/>
      </c>
      <c r="T441" s="36"/>
      <c r="U441" s="41"/>
      <c r="V441" s="36"/>
      <c r="W441" s="36"/>
      <c r="X441" s="40" t="str">
        <f aca="false">IF($M441="","",$M441&amp;"#"&amp;COUNTIF($M$4:$M441,$M441))</f>
        <v/>
      </c>
      <c r="Y441" s="40" t="str">
        <f aca="false">IF($B441="","",IF($C441="","NIK kosong",IF(LEN($C441)&lt;&gt;16,"NIK bukan 16 digit",IF(COUNTIF($C$4:$C$2003,$C441&amp;"*")&gt;1,"NIK ganda",IF(AND($D441&lt;&gt;"",LEN($D441)&lt;&gt;16),"No. KK bukan 16 digit",IF(AND($F441="",$I441=""),"Alamat kosong",IF($N441="","Jabatan kosong",IF($O441="","No. HP kosong",IF(AND($R441&lt;&gt;"",$R441&lt;17),"Usia di bawah 17","")))))))))</f>
        <v/>
      </c>
      <c r="Z441" s="40" t="str">
        <f aca="false">IF($B441="","",IF(AND(OR(CARI!$C$5="",ISNUMBER(SEARCH(CARI!$C$5,$B441&amp;" "&amp;$C441&amp;" "&amp;$D441&amp;" "&amp;$O441&amp;" "&amp;$I441&amp;" "&amp;$F441&amp;" "&amp;$J441&amp;" "&amp;$K441&amp;" "&amp;$L441&amp;" "&amp;$V441))),OR(CARI!$C$6="",$F441=CARI!$C$6),OR(CARI!$C$7="",$G441=CARI!$C$7),OR(CARI!$C$8="",$T441=CARI!$C$8)),MAX($Z$3:Z440)+1,""))</f>
        <v/>
      </c>
      <c r="AA441" s="40" t="str">
        <f aca="false">IF($Y441="","",MAX($AA$3:AA440)+1)</f>
        <v/>
      </c>
      <c r="AB441" s="40" t="str">
        <f aca="false">IF($F441="","",$F441&amp;"#"&amp;COUNTIF($F$4:$F441,$F441))</f>
        <v/>
      </c>
      <c r="AC441" s="40" t="str">
        <f aca="false">IF($B441="","",IF(AND(OR(CETAK!$J$10="",$F441=CETAK!$J$10),OR(CETAK!$J$11="",$G441=CETAK!$J$11),OR(CETAK!$J$12="",$P441=CETAK!$J$12),OR(CETAK!$J$13="",$N441=CETAK!$J$13),OR(CETAK!$J$14="",$T441=CETAK!$J$14)),MAX($AC$3:AC440)+1,""))</f>
        <v/>
      </c>
      <c r="AD441" s="40" t="str">
        <f aca="false">IF($B441="","",IF(AND(OR(ABSENSI!$H$10="",$F441=ABSENSI!$H$10),OR(ABSENSI!$H$11="",$G441=ABSENSI!$H$11),OR(ABSENSI!$H$12="",$P441=ABSENSI!$H$12)),MAX($AD$3:AD440)+1,""))</f>
        <v/>
      </c>
      <c r="AE441" s="40" t="str">
        <f aca="false">IF($B441="","",IF(AND(OR(KARTU!$K$6="",$F441=KARTU!$K$6),OR(KARTU!$K$7="",$G441=KARTU!$K$7),OR(KARTU!$K$8="",$P441=KARTU!$K$8)),MAX($AE$3:AE440)+1,""))</f>
        <v/>
      </c>
    </row>
    <row r="442" customFormat="false" ht="15" hidden="false" customHeight="false" outlineLevel="0" collapsed="false">
      <c r="A442" s="35" t="str">
        <f aca="false">IF($B442="","",COUNTA($B$4:$B442))</f>
        <v/>
      </c>
      <c r="B442" s="36"/>
      <c r="C442" s="37"/>
      <c r="D442" s="37"/>
      <c r="E442" s="38"/>
      <c r="F442" s="36"/>
      <c r="G442" s="39"/>
      <c r="H442" s="39"/>
      <c r="I442" s="36"/>
      <c r="J442" s="36"/>
      <c r="K442" s="36"/>
      <c r="L442" s="36"/>
      <c r="M442" s="40" t="str">
        <f aca="false">IF($F442="","",$F442&amp;IF($G442="",""," - RT "&amp;$G442&amp;IF($H442="","","/"&amp;$H442)))</f>
        <v/>
      </c>
      <c r="N442" s="36"/>
      <c r="O442" s="37"/>
      <c r="P442" s="39"/>
      <c r="Q442" s="41"/>
      <c r="R442" s="35" t="str">
        <f aca="true">IF(OR($B442="",$Q442=""),"",DATEDIF($Q442,TODAY(),"Y"))</f>
        <v/>
      </c>
      <c r="S442" s="40" t="str">
        <f aca="false">IF($R442="","",INDEX(usia_label,MATCH($R442,usia_min,1)))</f>
        <v/>
      </c>
      <c r="T442" s="36"/>
      <c r="U442" s="41"/>
      <c r="V442" s="36"/>
      <c r="W442" s="36"/>
      <c r="X442" s="40" t="str">
        <f aca="false">IF($M442="","",$M442&amp;"#"&amp;COUNTIF($M$4:$M442,$M442))</f>
        <v/>
      </c>
      <c r="Y442" s="40" t="str">
        <f aca="false">IF($B442="","",IF($C442="","NIK kosong",IF(LEN($C442)&lt;&gt;16,"NIK bukan 16 digit",IF(COUNTIF($C$4:$C$2003,$C442&amp;"*")&gt;1,"NIK ganda",IF(AND($D442&lt;&gt;"",LEN($D442)&lt;&gt;16),"No. KK bukan 16 digit",IF(AND($F442="",$I442=""),"Alamat kosong",IF($N442="","Jabatan kosong",IF($O442="","No. HP kosong",IF(AND($R442&lt;&gt;"",$R442&lt;17),"Usia di bawah 17","")))))))))</f>
        <v/>
      </c>
      <c r="Z442" s="40" t="str">
        <f aca="false">IF($B442="","",IF(AND(OR(CARI!$C$5="",ISNUMBER(SEARCH(CARI!$C$5,$B442&amp;" "&amp;$C442&amp;" "&amp;$D442&amp;" "&amp;$O442&amp;" "&amp;$I442&amp;" "&amp;$F442&amp;" "&amp;$J442&amp;" "&amp;$K442&amp;" "&amp;$L442&amp;" "&amp;$V442))),OR(CARI!$C$6="",$F442=CARI!$C$6),OR(CARI!$C$7="",$G442=CARI!$C$7),OR(CARI!$C$8="",$T442=CARI!$C$8)),MAX($Z$3:Z441)+1,""))</f>
        <v/>
      </c>
      <c r="AA442" s="40" t="str">
        <f aca="false">IF($Y442="","",MAX($AA$3:AA441)+1)</f>
        <v/>
      </c>
      <c r="AB442" s="40" t="str">
        <f aca="false">IF($F442="","",$F442&amp;"#"&amp;COUNTIF($F$4:$F442,$F442))</f>
        <v/>
      </c>
      <c r="AC442" s="40" t="str">
        <f aca="false">IF($B442="","",IF(AND(OR(CETAK!$J$10="",$F442=CETAK!$J$10),OR(CETAK!$J$11="",$G442=CETAK!$J$11),OR(CETAK!$J$12="",$P442=CETAK!$J$12),OR(CETAK!$J$13="",$N442=CETAK!$J$13),OR(CETAK!$J$14="",$T442=CETAK!$J$14)),MAX($AC$3:AC441)+1,""))</f>
        <v/>
      </c>
      <c r="AD442" s="40" t="str">
        <f aca="false">IF($B442="","",IF(AND(OR(ABSENSI!$H$10="",$F442=ABSENSI!$H$10),OR(ABSENSI!$H$11="",$G442=ABSENSI!$H$11),OR(ABSENSI!$H$12="",$P442=ABSENSI!$H$12)),MAX($AD$3:AD441)+1,""))</f>
        <v/>
      </c>
      <c r="AE442" s="40" t="str">
        <f aca="false">IF($B442="","",IF(AND(OR(KARTU!$K$6="",$F442=KARTU!$K$6),OR(KARTU!$K$7="",$G442=KARTU!$K$7),OR(KARTU!$K$8="",$P442=KARTU!$K$8)),MAX($AE$3:AE441)+1,""))</f>
        <v/>
      </c>
    </row>
    <row r="443" customFormat="false" ht="15" hidden="false" customHeight="false" outlineLevel="0" collapsed="false">
      <c r="A443" s="35" t="str">
        <f aca="false">IF($B443="","",COUNTA($B$4:$B443))</f>
        <v/>
      </c>
      <c r="B443" s="36"/>
      <c r="C443" s="37"/>
      <c r="D443" s="37"/>
      <c r="E443" s="38"/>
      <c r="F443" s="36"/>
      <c r="G443" s="39"/>
      <c r="H443" s="39"/>
      <c r="I443" s="36"/>
      <c r="J443" s="36"/>
      <c r="K443" s="36"/>
      <c r="L443" s="36"/>
      <c r="M443" s="40" t="str">
        <f aca="false">IF($F443="","",$F443&amp;IF($G443="",""," - RT "&amp;$G443&amp;IF($H443="","","/"&amp;$H443)))</f>
        <v/>
      </c>
      <c r="N443" s="36"/>
      <c r="O443" s="37"/>
      <c r="P443" s="39"/>
      <c r="Q443" s="41"/>
      <c r="R443" s="35" t="str">
        <f aca="true">IF(OR($B443="",$Q443=""),"",DATEDIF($Q443,TODAY(),"Y"))</f>
        <v/>
      </c>
      <c r="S443" s="40" t="str">
        <f aca="false">IF($R443="","",INDEX(usia_label,MATCH($R443,usia_min,1)))</f>
        <v/>
      </c>
      <c r="T443" s="36"/>
      <c r="U443" s="41"/>
      <c r="V443" s="36"/>
      <c r="W443" s="36"/>
      <c r="X443" s="40" t="str">
        <f aca="false">IF($M443="","",$M443&amp;"#"&amp;COUNTIF($M$4:$M443,$M443))</f>
        <v/>
      </c>
      <c r="Y443" s="40" t="str">
        <f aca="false">IF($B443="","",IF($C443="","NIK kosong",IF(LEN($C443)&lt;&gt;16,"NIK bukan 16 digit",IF(COUNTIF($C$4:$C$2003,$C443&amp;"*")&gt;1,"NIK ganda",IF(AND($D443&lt;&gt;"",LEN($D443)&lt;&gt;16),"No. KK bukan 16 digit",IF(AND($F443="",$I443=""),"Alamat kosong",IF($N443="","Jabatan kosong",IF($O443="","No. HP kosong",IF(AND($R443&lt;&gt;"",$R443&lt;17),"Usia di bawah 17","")))))))))</f>
        <v/>
      </c>
      <c r="Z443" s="40" t="str">
        <f aca="false">IF($B443="","",IF(AND(OR(CARI!$C$5="",ISNUMBER(SEARCH(CARI!$C$5,$B443&amp;" "&amp;$C443&amp;" "&amp;$D443&amp;" "&amp;$O443&amp;" "&amp;$I443&amp;" "&amp;$F443&amp;" "&amp;$J443&amp;" "&amp;$K443&amp;" "&amp;$L443&amp;" "&amp;$V443))),OR(CARI!$C$6="",$F443=CARI!$C$6),OR(CARI!$C$7="",$G443=CARI!$C$7),OR(CARI!$C$8="",$T443=CARI!$C$8)),MAX($Z$3:Z442)+1,""))</f>
        <v/>
      </c>
      <c r="AA443" s="40" t="str">
        <f aca="false">IF($Y443="","",MAX($AA$3:AA442)+1)</f>
        <v/>
      </c>
      <c r="AB443" s="40" t="str">
        <f aca="false">IF($F443="","",$F443&amp;"#"&amp;COUNTIF($F$4:$F443,$F443))</f>
        <v/>
      </c>
      <c r="AC443" s="40" t="str">
        <f aca="false">IF($B443="","",IF(AND(OR(CETAK!$J$10="",$F443=CETAK!$J$10),OR(CETAK!$J$11="",$G443=CETAK!$J$11),OR(CETAK!$J$12="",$P443=CETAK!$J$12),OR(CETAK!$J$13="",$N443=CETAK!$J$13),OR(CETAK!$J$14="",$T443=CETAK!$J$14)),MAX($AC$3:AC442)+1,""))</f>
        <v/>
      </c>
      <c r="AD443" s="40" t="str">
        <f aca="false">IF($B443="","",IF(AND(OR(ABSENSI!$H$10="",$F443=ABSENSI!$H$10),OR(ABSENSI!$H$11="",$G443=ABSENSI!$H$11),OR(ABSENSI!$H$12="",$P443=ABSENSI!$H$12)),MAX($AD$3:AD442)+1,""))</f>
        <v/>
      </c>
      <c r="AE443" s="40" t="str">
        <f aca="false">IF($B443="","",IF(AND(OR(KARTU!$K$6="",$F443=KARTU!$K$6),OR(KARTU!$K$7="",$G443=KARTU!$K$7),OR(KARTU!$K$8="",$P443=KARTU!$K$8)),MAX($AE$3:AE442)+1,""))</f>
        <v/>
      </c>
    </row>
    <row r="444" customFormat="false" ht="15" hidden="false" customHeight="false" outlineLevel="0" collapsed="false">
      <c r="A444" s="35" t="str">
        <f aca="false">IF($B444="","",COUNTA($B$4:$B444))</f>
        <v/>
      </c>
      <c r="B444" s="36"/>
      <c r="C444" s="37"/>
      <c r="D444" s="37"/>
      <c r="E444" s="38"/>
      <c r="F444" s="36"/>
      <c r="G444" s="39"/>
      <c r="H444" s="39"/>
      <c r="I444" s="36"/>
      <c r="J444" s="36"/>
      <c r="K444" s="36"/>
      <c r="L444" s="36"/>
      <c r="M444" s="40" t="str">
        <f aca="false">IF($F444="","",$F444&amp;IF($G444="",""," - RT "&amp;$G444&amp;IF($H444="","","/"&amp;$H444)))</f>
        <v/>
      </c>
      <c r="N444" s="36"/>
      <c r="O444" s="37"/>
      <c r="P444" s="39"/>
      <c r="Q444" s="41"/>
      <c r="R444" s="35" t="str">
        <f aca="true">IF(OR($B444="",$Q444=""),"",DATEDIF($Q444,TODAY(),"Y"))</f>
        <v/>
      </c>
      <c r="S444" s="40" t="str">
        <f aca="false">IF($R444="","",INDEX(usia_label,MATCH($R444,usia_min,1)))</f>
        <v/>
      </c>
      <c r="T444" s="36"/>
      <c r="U444" s="41"/>
      <c r="V444" s="36"/>
      <c r="W444" s="36"/>
      <c r="X444" s="40" t="str">
        <f aca="false">IF($M444="","",$M444&amp;"#"&amp;COUNTIF($M$4:$M444,$M444))</f>
        <v/>
      </c>
      <c r="Y444" s="40" t="str">
        <f aca="false">IF($B444="","",IF($C444="","NIK kosong",IF(LEN($C444)&lt;&gt;16,"NIK bukan 16 digit",IF(COUNTIF($C$4:$C$2003,$C444&amp;"*")&gt;1,"NIK ganda",IF(AND($D444&lt;&gt;"",LEN($D444)&lt;&gt;16),"No. KK bukan 16 digit",IF(AND($F444="",$I444=""),"Alamat kosong",IF($N444="","Jabatan kosong",IF($O444="","No. HP kosong",IF(AND($R444&lt;&gt;"",$R444&lt;17),"Usia di bawah 17","")))))))))</f>
        <v/>
      </c>
      <c r="Z444" s="40" t="str">
        <f aca="false">IF($B444="","",IF(AND(OR(CARI!$C$5="",ISNUMBER(SEARCH(CARI!$C$5,$B444&amp;" "&amp;$C444&amp;" "&amp;$D444&amp;" "&amp;$O444&amp;" "&amp;$I444&amp;" "&amp;$F444&amp;" "&amp;$J444&amp;" "&amp;$K444&amp;" "&amp;$L444&amp;" "&amp;$V444))),OR(CARI!$C$6="",$F444=CARI!$C$6),OR(CARI!$C$7="",$G444=CARI!$C$7),OR(CARI!$C$8="",$T444=CARI!$C$8)),MAX($Z$3:Z443)+1,""))</f>
        <v/>
      </c>
      <c r="AA444" s="40" t="str">
        <f aca="false">IF($Y444="","",MAX($AA$3:AA443)+1)</f>
        <v/>
      </c>
      <c r="AB444" s="40" t="str">
        <f aca="false">IF($F444="","",$F444&amp;"#"&amp;COUNTIF($F$4:$F444,$F444))</f>
        <v/>
      </c>
      <c r="AC444" s="40" t="str">
        <f aca="false">IF($B444="","",IF(AND(OR(CETAK!$J$10="",$F444=CETAK!$J$10),OR(CETAK!$J$11="",$G444=CETAK!$J$11),OR(CETAK!$J$12="",$P444=CETAK!$J$12),OR(CETAK!$J$13="",$N444=CETAK!$J$13),OR(CETAK!$J$14="",$T444=CETAK!$J$14)),MAX($AC$3:AC443)+1,""))</f>
        <v/>
      </c>
      <c r="AD444" s="40" t="str">
        <f aca="false">IF($B444="","",IF(AND(OR(ABSENSI!$H$10="",$F444=ABSENSI!$H$10),OR(ABSENSI!$H$11="",$G444=ABSENSI!$H$11),OR(ABSENSI!$H$12="",$P444=ABSENSI!$H$12)),MAX($AD$3:AD443)+1,""))</f>
        <v/>
      </c>
      <c r="AE444" s="40" t="str">
        <f aca="false">IF($B444="","",IF(AND(OR(KARTU!$K$6="",$F444=KARTU!$K$6),OR(KARTU!$K$7="",$G444=KARTU!$K$7),OR(KARTU!$K$8="",$P444=KARTU!$K$8)),MAX($AE$3:AE443)+1,""))</f>
        <v/>
      </c>
    </row>
    <row r="445" customFormat="false" ht="15" hidden="false" customHeight="false" outlineLevel="0" collapsed="false">
      <c r="A445" s="35" t="str">
        <f aca="false">IF($B445="","",COUNTA($B$4:$B445))</f>
        <v/>
      </c>
      <c r="B445" s="36"/>
      <c r="C445" s="37"/>
      <c r="D445" s="37"/>
      <c r="E445" s="38"/>
      <c r="F445" s="36"/>
      <c r="G445" s="39"/>
      <c r="H445" s="39"/>
      <c r="I445" s="36"/>
      <c r="J445" s="36"/>
      <c r="K445" s="36"/>
      <c r="L445" s="36"/>
      <c r="M445" s="40" t="str">
        <f aca="false">IF($F445="","",$F445&amp;IF($G445="",""," - RT "&amp;$G445&amp;IF($H445="","","/"&amp;$H445)))</f>
        <v/>
      </c>
      <c r="N445" s="36"/>
      <c r="O445" s="37"/>
      <c r="P445" s="39"/>
      <c r="Q445" s="41"/>
      <c r="R445" s="35" t="str">
        <f aca="true">IF(OR($B445="",$Q445=""),"",DATEDIF($Q445,TODAY(),"Y"))</f>
        <v/>
      </c>
      <c r="S445" s="40" t="str">
        <f aca="false">IF($R445="","",INDEX(usia_label,MATCH($R445,usia_min,1)))</f>
        <v/>
      </c>
      <c r="T445" s="36"/>
      <c r="U445" s="41"/>
      <c r="V445" s="36"/>
      <c r="W445" s="36"/>
      <c r="X445" s="40" t="str">
        <f aca="false">IF($M445="","",$M445&amp;"#"&amp;COUNTIF($M$4:$M445,$M445))</f>
        <v/>
      </c>
      <c r="Y445" s="40" t="str">
        <f aca="false">IF($B445="","",IF($C445="","NIK kosong",IF(LEN($C445)&lt;&gt;16,"NIK bukan 16 digit",IF(COUNTIF($C$4:$C$2003,$C445&amp;"*")&gt;1,"NIK ganda",IF(AND($D445&lt;&gt;"",LEN($D445)&lt;&gt;16),"No. KK bukan 16 digit",IF(AND($F445="",$I445=""),"Alamat kosong",IF($N445="","Jabatan kosong",IF($O445="","No. HP kosong",IF(AND($R445&lt;&gt;"",$R445&lt;17),"Usia di bawah 17","")))))))))</f>
        <v/>
      </c>
      <c r="Z445" s="40" t="str">
        <f aca="false">IF($B445="","",IF(AND(OR(CARI!$C$5="",ISNUMBER(SEARCH(CARI!$C$5,$B445&amp;" "&amp;$C445&amp;" "&amp;$D445&amp;" "&amp;$O445&amp;" "&amp;$I445&amp;" "&amp;$F445&amp;" "&amp;$J445&amp;" "&amp;$K445&amp;" "&amp;$L445&amp;" "&amp;$V445))),OR(CARI!$C$6="",$F445=CARI!$C$6),OR(CARI!$C$7="",$G445=CARI!$C$7),OR(CARI!$C$8="",$T445=CARI!$C$8)),MAX($Z$3:Z444)+1,""))</f>
        <v/>
      </c>
      <c r="AA445" s="40" t="str">
        <f aca="false">IF($Y445="","",MAX($AA$3:AA444)+1)</f>
        <v/>
      </c>
      <c r="AB445" s="40" t="str">
        <f aca="false">IF($F445="","",$F445&amp;"#"&amp;COUNTIF($F$4:$F445,$F445))</f>
        <v/>
      </c>
      <c r="AC445" s="40" t="str">
        <f aca="false">IF($B445="","",IF(AND(OR(CETAK!$J$10="",$F445=CETAK!$J$10),OR(CETAK!$J$11="",$G445=CETAK!$J$11),OR(CETAK!$J$12="",$P445=CETAK!$J$12),OR(CETAK!$J$13="",$N445=CETAK!$J$13),OR(CETAK!$J$14="",$T445=CETAK!$J$14)),MAX($AC$3:AC444)+1,""))</f>
        <v/>
      </c>
      <c r="AD445" s="40" t="str">
        <f aca="false">IF($B445="","",IF(AND(OR(ABSENSI!$H$10="",$F445=ABSENSI!$H$10),OR(ABSENSI!$H$11="",$G445=ABSENSI!$H$11),OR(ABSENSI!$H$12="",$P445=ABSENSI!$H$12)),MAX($AD$3:AD444)+1,""))</f>
        <v/>
      </c>
      <c r="AE445" s="40" t="str">
        <f aca="false">IF($B445="","",IF(AND(OR(KARTU!$K$6="",$F445=KARTU!$K$6),OR(KARTU!$K$7="",$G445=KARTU!$K$7),OR(KARTU!$K$8="",$P445=KARTU!$K$8)),MAX($AE$3:AE444)+1,""))</f>
        <v/>
      </c>
    </row>
    <row r="446" customFormat="false" ht="15" hidden="false" customHeight="false" outlineLevel="0" collapsed="false">
      <c r="A446" s="35" t="str">
        <f aca="false">IF($B446="","",COUNTA($B$4:$B446))</f>
        <v/>
      </c>
      <c r="B446" s="36"/>
      <c r="C446" s="37"/>
      <c r="D446" s="37"/>
      <c r="E446" s="38"/>
      <c r="F446" s="36"/>
      <c r="G446" s="39"/>
      <c r="H446" s="39"/>
      <c r="I446" s="36"/>
      <c r="J446" s="36"/>
      <c r="K446" s="36"/>
      <c r="L446" s="36"/>
      <c r="M446" s="40" t="str">
        <f aca="false">IF($F446="","",$F446&amp;IF($G446="",""," - RT "&amp;$G446&amp;IF($H446="","","/"&amp;$H446)))</f>
        <v/>
      </c>
      <c r="N446" s="36"/>
      <c r="O446" s="37"/>
      <c r="P446" s="39"/>
      <c r="Q446" s="41"/>
      <c r="R446" s="35" t="str">
        <f aca="true">IF(OR($B446="",$Q446=""),"",DATEDIF($Q446,TODAY(),"Y"))</f>
        <v/>
      </c>
      <c r="S446" s="40" t="str">
        <f aca="false">IF($R446="","",INDEX(usia_label,MATCH($R446,usia_min,1)))</f>
        <v/>
      </c>
      <c r="T446" s="36"/>
      <c r="U446" s="41"/>
      <c r="V446" s="36"/>
      <c r="W446" s="36"/>
      <c r="X446" s="40" t="str">
        <f aca="false">IF($M446="","",$M446&amp;"#"&amp;COUNTIF($M$4:$M446,$M446))</f>
        <v/>
      </c>
      <c r="Y446" s="40" t="str">
        <f aca="false">IF($B446="","",IF($C446="","NIK kosong",IF(LEN($C446)&lt;&gt;16,"NIK bukan 16 digit",IF(COUNTIF($C$4:$C$2003,$C446&amp;"*")&gt;1,"NIK ganda",IF(AND($D446&lt;&gt;"",LEN($D446)&lt;&gt;16),"No. KK bukan 16 digit",IF(AND($F446="",$I446=""),"Alamat kosong",IF($N446="","Jabatan kosong",IF($O446="","No. HP kosong",IF(AND($R446&lt;&gt;"",$R446&lt;17),"Usia di bawah 17","")))))))))</f>
        <v/>
      </c>
      <c r="Z446" s="40" t="str">
        <f aca="false">IF($B446="","",IF(AND(OR(CARI!$C$5="",ISNUMBER(SEARCH(CARI!$C$5,$B446&amp;" "&amp;$C446&amp;" "&amp;$D446&amp;" "&amp;$O446&amp;" "&amp;$I446&amp;" "&amp;$F446&amp;" "&amp;$J446&amp;" "&amp;$K446&amp;" "&amp;$L446&amp;" "&amp;$V446))),OR(CARI!$C$6="",$F446=CARI!$C$6),OR(CARI!$C$7="",$G446=CARI!$C$7),OR(CARI!$C$8="",$T446=CARI!$C$8)),MAX($Z$3:Z445)+1,""))</f>
        <v/>
      </c>
      <c r="AA446" s="40" t="str">
        <f aca="false">IF($Y446="","",MAX($AA$3:AA445)+1)</f>
        <v/>
      </c>
      <c r="AB446" s="40" t="str">
        <f aca="false">IF($F446="","",$F446&amp;"#"&amp;COUNTIF($F$4:$F446,$F446))</f>
        <v/>
      </c>
      <c r="AC446" s="40" t="str">
        <f aca="false">IF($B446="","",IF(AND(OR(CETAK!$J$10="",$F446=CETAK!$J$10),OR(CETAK!$J$11="",$G446=CETAK!$J$11),OR(CETAK!$J$12="",$P446=CETAK!$J$12),OR(CETAK!$J$13="",$N446=CETAK!$J$13),OR(CETAK!$J$14="",$T446=CETAK!$J$14)),MAX($AC$3:AC445)+1,""))</f>
        <v/>
      </c>
      <c r="AD446" s="40" t="str">
        <f aca="false">IF($B446="","",IF(AND(OR(ABSENSI!$H$10="",$F446=ABSENSI!$H$10),OR(ABSENSI!$H$11="",$G446=ABSENSI!$H$11),OR(ABSENSI!$H$12="",$P446=ABSENSI!$H$12)),MAX($AD$3:AD445)+1,""))</f>
        <v/>
      </c>
      <c r="AE446" s="40" t="str">
        <f aca="false">IF($B446="","",IF(AND(OR(KARTU!$K$6="",$F446=KARTU!$K$6),OR(KARTU!$K$7="",$G446=KARTU!$K$7),OR(KARTU!$K$8="",$P446=KARTU!$K$8)),MAX($AE$3:AE445)+1,""))</f>
        <v/>
      </c>
    </row>
    <row r="447" customFormat="false" ht="15" hidden="false" customHeight="false" outlineLevel="0" collapsed="false">
      <c r="A447" s="35" t="str">
        <f aca="false">IF($B447="","",COUNTA($B$4:$B447))</f>
        <v/>
      </c>
      <c r="B447" s="36"/>
      <c r="C447" s="37"/>
      <c r="D447" s="37"/>
      <c r="E447" s="38"/>
      <c r="F447" s="36"/>
      <c r="G447" s="39"/>
      <c r="H447" s="39"/>
      <c r="I447" s="36"/>
      <c r="J447" s="36"/>
      <c r="K447" s="36"/>
      <c r="L447" s="36"/>
      <c r="M447" s="40" t="str">
        <f aca="false">IF($F447="","",$F447&amp;IF($G447="",""," - RT "&amp;$G447&amp;IF($H447="","","/"&amp;$H447)))</f>
        <v/>
      </c>
      <c r="N447" s="36"/>
      <c r="O447" s="37"/>
      <c r="P447" s="39"/>
      <c r="Q447" s="41"/>
      <c r="R447" s="35" t="str">
        <f aca="true">IF(OR($B447="",$Q447=""),"",DATEDIF($Q447,TODAY(),"Y"))</f>
        <v/>
      </c>
      <c r="S447" s="40" t="str">
        <f aca="false">IF($R447="","",INDEX(usia_label,MATCH($R447,usia_min,1)))</f>
        <v/>
      </c>
      <c r="T447" s="36"/>
      <c r="U447" s="41"/>
      <c r="V447" s="36"/>
      <c r="W447" s="36"/>
      <c r="X447" s="40" t="str">
        <f aca="false">IF($M447="","",$M447&amp;"#"&amp;COUNTIF($M$4:$M447,$M447))</f>
        <v/>
      </c>
      <c r="Y447" s="40" t="str">
        <f aca="false">IF($B447="","",IF($C447="","NIK kosong",IF(LEN($C447)&lt;&gt;16,"NIK bukan 16 digit",IF(COUNTIF($C$4:$C$2003,$C447&amp;"*")&gt;1,"NIK ganda",IF(AND($D447&lt;&gt;"",LEN($D447)&lt;&gt;16),"No. KK bukan 16 digit",IF(AND($F447="",$I447=""),"Alamat kosong",IF($N447="","Jabatan kosong",IF($O447="","No. HP kosong",IF(AND($R447&lt;&gt;"",$R447&lt;17),"Usia di bawah 17","")))))))))</f>
        <v/>
      </c>
      <c r="Z447" s="40" t="str">
        <f aca="false">IF($B447="","",IF(AND(OR(CARI!$C$5="",ISNUMBER(SEARCH(CARI!$C$5,$B447&amp;" "&amp;$C447&amp;" "&amp;$D447&amp;" "&amp;$O447&amp;" "&amp;$I447&amp;" "&amp;$F447&amp;" "&amp;$J447&amp;" "&amp;$K447&amp;" "&amp;$L447&amp;" "&amp;$V447))),OR(CARI!$C$6="",$F447=CARI!$C$6),OR(CARI!$C$7="",$G447=CARI!$C$7),OR(CARI!$C$8="",$T447=CARI!$C$8)),MAX($Z$3:Z446)+1,""))</f>
        <v/>
      </c>
      <c r="AA447" s="40" t="str">
        <f aca="false">IF($Y447="","",MAX($AA$3:AA446)+1)</f>
        <v/>
      </c>
      <c r="AB447" s="40" t="str">
        <f aca="false">IF($F447="","",$F447&amp;"#"&amp;COUNTIF($F$4:$F447,$F447))</f>
        <v/>
      </c>
      <c r="AC447" s="40" t="str">
        <f aca="false">IF($B447="","",IF(AND(OR(CETAK!$J$10="",$F447=CETAK!$J$10),OR(CETAK!$J$11="",$G447=CETAK!$J$11),OR(CETAK!$J$12="",$P447=CETAK!$J$12),OR(CETAK!$J$13="",$N447=CETAK!$J$13),OR(CETAK!$J$14="",$T447=CETAK!$J$14)),MAX($AC$3:AC446)+1,""))</f>
        <v/>
      </c>
      <c r="AD447" s="40" t="str">
        <f aca="false">IF($B447="","",IF(AND(OR(ABSENSI!$H$10="",$F447=ABSENSI!$H$10),OR(ABSENSI!$H$11="",$G447=ABSENSI!$H$11),OR(ABSENSI!$H$12="",$P447=ABSENSI!$H$12)),MAX($AD$3:AD446)+1,""))</f>
        <v/>
      </c>
      <c r="AE447" s="40" t="str">
        <f aca="false">IF($B447="","",IF(AND(OR(KARTU!$K$6="",$F447=KARTU!$K$6),OR(KARTU!$K$7="",$G447=KARTU!$K$7),OR(KARTU!$K$8="",$P447=KARTU!$K$8)),MAX($AE$3:AE446)+1,""))</f>
        <v/>
      </c>
    </row>
    <row r="448" customFormat="false" ht="15" hidden="false" customHeight="false" outlineLevel="0" collapsed="false">
      <c r="A448" s="35" t="str">
        <f aca="false">IF($B448="","",COUNTA($B$4:$B448))</f>
        <v/>
      </c>
      <c r="B448" s="36"/>
      <c r="C448" s="37"/>
      <c r="D448" s="37"/>
      <c r="E448" s="38"/>
      <c r="F448" s="36"/>
      <c r="G448" s="39"/>
      <c r="H448" s="39"/>
      <c r="I448" s="36"/>
      <c r="J448" s="36"/>
      <c r="K448" s="36"/>
      <c r="L448" s="36"/>
      <c r="M448" s="40" t="str">
        <f aca="false">IF($F448="","",$F448&amp;IF($G448="",""," - RT "&amp;$G448&amp;IF($H448="","","/"&amp;$H448)))</f>
        <v/>
      </c>
      <c r="N448" s="36"/>
      <c r="O448" s="37"/>
      <c r="P448" s="39"/>
      <c r="Q448" s="41"/>
      <c r="R448" s="35" t="str">
        <f aca="true">IF(OR($B448="",$Q448=""),"",DATEDIF($Q448,TODAY(),"Y"))</f>
        <v/>
      </c>
      <c r="S448" s="40" t="str">
        <f aca="false">IF($R448="","",INDEX(usia_label,MATCH($R448,usia_min,1)))</f>
        <v/>
      </c>
      <c r="T448" s="36"/>
      <c r="U448" s="41"/>
      <c r="V448" s="36"/>
      <c r="W448" s="36"/>
      <c r="X448" s="40" t="str">
        <f aca="false">IF($M448="","",$M448&amp;"#"&amp;COUNTIF($M$4:$M448,$M448))</f>
        <v/>
      </c>
      <c r="Y448" s="40" t="str">
        <f aca="false">IF($B448="","",IF($C448="","NIK kosong",IF(LEN($C448)&lt;&gt;16,"NIK bukan 16 digit",IF(COUNTIF($C$4:$C$2003,$C448&amp;"*")&gt;1,"NIK ganda",IF(AND($D448&lt;&gt;"",LEN($D448)&lt;&gt;16),"No. KK bukan 16 digit",IF(AND($F448="",$I448=""),"Alamat kosong",IF($N448="","Jabatan kosong",IF($O448="","No. HP kosong",IF(AND($R448&lt;&gt;"",$R448&lt;17),"Usia di bawah 17","")))))))))</f>
        <v/>
      </c>
      <c r="Z448" s="40" t="str">
        <f aca="false">IF($B448="","",IF(AND(OR(CARI!$C$5="",ISNUMBER(SEARCH(CARI!$C$5,$B448&amp;" "&amp;$C448&amp;" "&amp;$D448&amp;" "&amp;$O448&amp;" "&amp;$I448&amp;" "&amp;$F448&amp;" "&amp;$J448&amp;" "&amp;$K448&amp;" "&amp;$L448&amp;" "&amp;$V448))),OR(CARI!$C$6="",$F448=CARI!$C$6),OR(CARI!$C$7="",$G448=CARI!$C$7),OR(CARI!$C$8="",$T448=CARI!$C$8)),MAX($Z$3:Z447)+1,""))</f>
        <v/>
      </c>
      <c r="AA448" s="40" t="str">
        <f aca="false">IF($Y448="","",MAX($AA$3:AA447)+1)</f>
        <v/>
      </c>
      <c r="AB448" s="40" t="str">
        <f aca="false">IF($F448="","",$F448&amp;"#"&amp;COUNTIF($F$4:$F448,$F448))</f>
        <v/>
      </c>
      <c r="AC448" s="40" t="str">
        <f aca="false">IF($B448="","",IF(AND(OR(CETAK!$J$10="",$F448=CETAK!$J$10),OR(CETAK!$J$11="",$G448=CETAK!$J$11),OR(CETAK!$J$12="",$P448=CETAK!$J$12),OR(CETAK!$J$13="",$N448=CETAK!$J$13),OR(CETAK!$J$14="",$T448=CETAK!$J$14)),MAX($AC$3:AC447)+1,""))</f>
        <v/>
      </c>
      <c r="AD448" s="40" t="str">
        <f aca="false">IF($B448="","",IF(AND(OR(ABSENSI!$H$10="",$F448=ABSENSI!$H$10),OR(ABSENSI!$H$11="",$G448=ABSENSI!$H$11),OR(ABSENSI!$H$12="",$P448=ABSENSI!$H$12)),MAX($AD$3:AD447)+1,""))</f>
        <v/>
      </c>
      <c r="AE448" s="40" t="str">
        <f aca="false">IF($B448="","",IF(AND(OR(KARTU!$K$6="",$F448=KARTU!$K$6),OR(KARTU!$K$7="",$G448=KARTU!$K$7),OR(KARTU!$K$8="",$P448=KARTU!$K$8)),MAX($AE$3:AE447)+1,""))</f>
        <v/>
      </c>
    </row>
    <row r="449" customFormat="false" ht="15" hidden="false" customHeight="false" outlineLevel="0" collapsed="false">
      <c r="A449" s="35" t="str">
        <f aca="false">IF($B449="","",COUNTA($B$4:$B449))</f>
        <v/>
      </c>
      <c r="B449" s="36"/>
      <c r="C449" s="37"/>
      <c r="D449" s="37"/>
      <c r="E449" s="38"/>
      <c r="F449" s="36"/>
      <c r="G449" s="39"/>
      <c r="H449" s="39"/>
      <c r="I449" s="36"/>
      <c r="J449" s="36"/>
      <c r="K449" s="36"/>
      <c r="L449" s="36"/>
      <c r="M449" s="40" t="str">
        <f aca="false">IF($F449="","",$F449&amp;IF($G449="",""," - RT "&amp;$G449&amp;IF($H449="","","/"&amp;$H449)))</f>
        <v/>
      </c>
      <c r="N449" s="36"/>
      <c r="O449" s="37"/>
      <c r="P449" s="39"/>
      <c r="Q449" s="41"/>
      <c r="R449" s="35" t="str">
        <f aca="true">IF(OR($B449="",$Q449=""),"",DATEDIF($Q449,TODAY(),"Y"))</f>
        <v/>
      </c>
      <c r="S449" s="40" t="str">
        <f aca="false">IF($R449="","",INDEX(usia_label,MATCH($R449,usia_min,1)))</f>
        <v/>
      </c>
      <c r="T449" s="36"/>
      <c r="U449" s="41"/>
      <c r="V449" s="36"/>
      <c r="W449" s="36"/>
      <c r="X449" s="40" t="str">
        <f aca="false">IF($M449="","",$M449&amp;"#"&amp;COUNTIF($M$4:$M449,$M449))</f>
        <v/>
      </c>
      <c r="Y449" s="40" t="str">
        <f aca="false">IF($B449="","",IF($C449="","NIK kosong",IF(LEN($C449)&lt;&gt;16,"NIK bukan 16 digit",IF(COUNTIF($C$4:$C$2003,$C449&amp;"*")&gt;1,"NIK ganda",IF(AND($D449&lt;&gt;"",LEN($D449)&lt;&gt;16),"No. KK bukan 16 digit",IF(AND($F449="",$I449=""),"Alamat kosong",IF($N449="","Jabatan kosong",IF($O449="","No. HP kosong",IF(AND($R449&lt;&gt;"",$R449&lt;17),"Usia di bawah 17","")))))))))</f>
        <v/>
      </c>
      <c r="Z449" s="40" t="str">
        <f aca="false">IF($B449="","",IF(AND(OR(CARI!$C$5="",ISNUMBER(SEARCH(CARI!$C$5,$B449&amp;" "&amp;$C449&amp;" "&amp;$D449&amp;" "&amp;$O449&amp;" "&amp;$I449&amp;" "&amp;$F449&amp;" "&amp;$J449&amp;" "&amp;$K449&amp;" "&amp;$L449&amp;" "&amp;$V449))),OR(CARI!$C$6="",$F449=CARI!$C$6),OR(CARI!$C$7="",$G449=CARI!$C$7),OR(CARI!$C$8="",$T449=CARI!$C$8)),MAX($Z$3:Z448)+1,""))</f>
        <v/>
      </c>
      <c r="AA449" s="40" t="str">
        <f aca="false">IF($Y449="","",MAX($AA$3:AA448)+1)</f>
        <v/>
      </c>
      <c r="AB449" s="40" t="str">
        <f aca="false">IF($F449="","",$F449&amp;"#"&amp;COUNTIF($F$4:$F449,$F449))</f>
        <v/>
      </c>
      <c r="AC449" s="40" t="str">
        <f aca="false">IF($B449="","",IF(AND(OR(CETAK!$J$10="",$F449=CETAK!$J$10),OR(CETAK!$J$11="",$G449=CETAK!$J$11),OR(CETAK!$J$12="",$P449=CETAK!$J$12),OR(CETAK!$J$13="",$N449=CETAK!$J$13),OR(CETAK!$J$14="",$T449=CETAK!$J$14)),MAX($AC$3:AC448)+1,""))</f>
        <v/>
      </c>
      <c r="AD449" s="40" t="str">
        <f aca="false">IF($B449="","",IF(AND(OR(ABSENSI!$H$10="",$F449=ABSENSI!$H$10),OR(ABSENSI!$H$11="",$G449=ABSENSI!$H$11),OR(ABSENSI!$H$12="",$P449=ABSENSI!$H$12)),MAX($AD$3:AD448)+1,""))</f>
        <v/>
      </c>
      <c r="AE449" s="40" t="str">
        <f aca="false">IF($B449="","",IF(AND(OR(KARTU!$K$6="",$F449=KARTU!$K$6),OR(KARTU!$K$7="",$G449=KARTU!$K$7),OR(KARTU!$K$8="",$P449=KARTU!$K$8)),MAX($AE$3:AE448)+1,""))</f>
        <v/>
      </c>
    </row>
    <row r="450" customFormat="false" ht="15" hidden="false" customHeight="false" outlineLevel="0" collapsed="false">
      <c r="A450" s="35" t="str">
        <f aca="false">IF($B450="","",COUNTA($B$4:$B450))</f>
        <v/>
      </c>
      <c r="B450" s="36"/>
      <c r="C450" s="37"/>
      <c r="D450" s="37"/>
      <c r="E450" s="38"/>
      <c r="F450" s="36"/>
      <c r="G450" s="39"/>
      <c r="H450" s="39"/>
      <c r="I450" s="36"/>
      <c r="J450" s="36"/>
      <c r="K450" s="36"/>
      <c r="L450" s="36"/>
      <c r="M450" s="40" t="str">
        <f aca="false">IF($F450="","",$F450&amp;IF($G450="",""," - RT "&amp;$G450&amp;IF($H450="","","/"&amp;$H450)))</f>
        <v/>
      </c>
      <c r="N450" s="36"/>
      <c r="O450" s="37"/>
      <c r="P450" s="39"/>
      <c r="Q450" s="41"/>
      <c r="R450" s="35" t="str">
        <f aca="true">IF(OR($B450="",$Q450=""),"",DATEDIF($Q450,TODAY(),"Y"))</f>
        <v/>
      </c>
      <c r="S450" s="40" t="str">
        <f aca="false">IF($R450="","",INDEX(usia_label,MATCH($R450,usia_min,1)))</f>
        <v/>
      </c>
      <c r="T450" s="36"/>
      <c r="U450" s="41"/>
      <c r="V450" s="36"/>
      <c r="W450" s="36"/>
      <c r="X450" s="40" t="str">
        <f aca="false">IF($M450="","",$M450&amp;"#"&amp;COUNTIF($M$4:$M450,$M450))</f>
        <v/>
      </c>
      <c r="Y450" s="40" t="str">
        <f aca="false">IF($B450="","",IF($C450="","NIK kosong",IF(LEN($C450)&lt;&gt;16,"NIK bukan 16 digit",IF(COUNTIF($C$4:$C$2003,$C450&amp;"*")&gt;1,"NIK ganda",IF(AND($D450&lt;&gt;"",LEN($D450)&lt;&gt;16),"No. KK bukan 16 digit",IF(AND($F450="",$I450=""),"Alamat kosong",IF($N450="","Jabatan kosong",IF($O450="","No. HP kosong",IF(AND($R450&lt;&gt;"",$R450&lt;17),"Usia di bawah 17","")))))))))</f>
        <v/>
      </c>
      <c r="Z450" s="40" t="str">
        <f aca="false">IF($B450="","",IF(AND(OR(CARI!$C$5="",ISNUMBER(SEARCH(CARI!$C$5,$B450&amp;" "&amp;$C450&amp;" "&amp;$D450&amp;" "&amp;$O450&amp;" "&amp;$I450&amp;" "&amp;$F450&amp;" "&amp;$J450&amp;" "&amp;$K450&amp;" "&amp;$L450&amp;" "&amp;$V450))),OR(CARI!$C$6="",$F450=CARI!$C$6),OR(CARI!$C$7="",$G450=CARI!$C$7),OR(CARI!$C$8="",$T450=CARI!$C$8)),MAX($Z$3:Z449)+1,""))</f>
        <v/>
      </c>
      <c r="AA450" s="40" t="str">
        <f aca="false">IF($Y450="","",MAX($AA$3:AA449)+1)</f>
        <v/>
      </c>
      <c r="AB450" s="40" t="str">
        <f aca="false">IF($F450="","",$F450&amp;"#"&amp;COUNTIF($F$4:$F450,$F450))</f>
        <v/>
      </c>
      <c r="AC450" s="40" t="str">
        <f aca="false">IF($B450="","",IF(AND(OR(CETAK!$J$10="",$F450=CETAK!$J$10),OR(CETAK!$J$11="",$G450=CETAK!$J$11),OR(CETAK!$J$12="",$P450=CETAK!$J$12),OR(CETAK!$J$13="",$N450=CETAK!$J$13),OR(CETAK!$J$14="",$T450=CETAK!$J$14)),MAX($AC$3:AC449)+1,""))</f>
        <v/>
      </c>
      <c r="AD450" s="40" t="str">
        <f aca="false">IF($B450="","",IF(AND(OR(ABSENSI!$H$10="",$F450=ABSENSI!$H$10),OR(ABSENSI!$H$11="",$G450=ABSENSI!$H$11),OR(ABSENSI!$H$12="",$P450=ABSENSI!$H$12)),MAX($AD$3:AD449)+1,""))</f>
        <v/>
      </c>
      <c r="AE450" s="40" t="str">
        <f aca="false">IF($B450="","",IF(AND(OR(KARTU!$K$6="",$F450=KARTU!$K$6),OR(KARTU!$K$7="",$G450=KARTU!$K$7),OR(KARTU!$K$8="",$P450=KARTU!$K$8)),MAX($AE$3:AE449)+1,""))</f>
        <v/>
      </c>
    </row>
    <row r="451" customFormat="false" ht="15" hidden="false" customHeight="false" outlineLevel="0" collapsed="false">
      <c r="A451" s="35" t="str">
        <f aca="false">IF($B451="","",COUNTA($B$4:$B451))</f>
        <v/>
      </c>
      <c r="B451" s="36"/>
      <c r="C451" s="37"/>
      <c r="D451" s="37"/>
      <c r="E451" s="38"/>
      <c r="F451" s="36"/>
      <c r="G451" s="39"/>
      <c r="H451" s="39"/>
      <c r="I451" s="36"/>
      <c r="J451" s="36"/>
      <c r="K451" s="36"/>
      <c r="L451" s="36"/>
      <c r="M451" s="40" t="str">
        <f aca="false">IF($F451="","",$F451&amp;IF($G451="",""," - RT "&amp;$G451&amp;IF($H451="","","/"&amp;$H451)))</f>
        <v/>
      </c>
      <c r="N451" s="36"/>
      <c r="O451" s="37"/>
      <c r="P451" s="39"/>
      <c r="Q451" s="41"/>
      <c r="R451" s="35" t="str">
        <f aca="true">IF(OR($B451="",$Q451=""),"",DATEDIF($Q451,TODAY(),"Y"))</f>
        <v/>
      </c>
      <c r="S451" s="40" t="str">
        <f aca="false">IF($R451="","",INDEX(usia_label,MATCH($R451,usia_min,1)))</f>
        <v/>
      </c>
      <c r="T451" s="36"/>
      <c r="U451" s="41"/>
      <c r="V451" s="36"/>
      <c r="W451" s="36"/>
      <c r="X451" s="40" t="str">
        <f aca="false">IF($M451="","",$M451&amp;"#"&amp;COUNTIF($M$4:$M451,$M451))</f>
        <v/>
      </c>
      <c r="Y451" s="40" t="str">
        <f aca="false">IF($B451="","",IF($C451="","NIK kosong",IF(LEN($C451)&lt;&gt;16,"NIK bukan 16 digit",IF(COUNTIF($C$4:$C$2003,$C451&amp;"*")&gt;1,"NIK ganda",IF(AND($D451&lt;&gt;"",LEN($D451)&lt;&gt;16),"No. KK bukan 16 digit",IF(AND($F451="",$I451=""),"Alamat kosong",IF($N451="","Jabatan kosong",IF($O451="","No. HP kosong",IF(AND($R451&lt;&gt;"",$R451&lt;17),"Usia di bawah 17","")))))))))</f>
        <v/>
      </c>
      <c r="Z451" s="40" t="str">
        <f aca="false">IF($B451="","",IF(AND(OR(CARI!$C$5="",ISNUMBER(SEARCH(CARI!$C$5,$B451&amp;" "&amp;$C451&amp;" "&amp;$D451&amp;" "&amp;$O451&amp;" "&amp;$I451&amp;" "&amp;$F451&amp;" "&amp;$J451&amp;" "&amp;$K451&amp;" "&amp;$L451&amp;" "&amp;$V451))),OR(CARI!$C$6="",$F451=CARI!$C$6),OR(CARI!$C$7="",$G451=CARI!$C$7),OR(CARI!$C$8="",$T451=CARI!$C$8)),MAX($Z$3:Z450)+1,""))</f>
        <v/>
      </c>
      <c r="AA451" s="40" t="str">
        <f aca="false">IF($Y451="","",MAX($AA$3:AA450)+1)</f>
        <v/>
      </c>
      <c r="AB451" s="40" t="str">
        <f aca="false">IF($F451="","",$F451&amp;"#"&amp;COUNTIF($F$4:$F451,$F451))</f>
        <v/>
      </c>
      <c r="AC451" s="40" t="str">
        <f aca="false">IF($B451="","",IF(AND(OR(CETAK!$J$10="",$F451=CETAK!$J$10),OR(CETAK!$J$11="",$G451=CETAK!$J$11),OR(CETAK!$J$12="",$P451=CETAK!$J$12),OR(CETAK!$J$13="",$N451=CETAK!$J$13),OR(CETAK!$J$14="",$T451=CETAK!$J$14)),MAX($AC$3:AC450)+1,""))</f>
        <v/>
      </c>
      <c r="AD451" s="40" t="str">
        <f aca="false">IF($B451="","",IF(AND(OR(ABSENSI!$H$10="",$F451=ABSENSI!$H$10),OR(ABSENSI!$H$11="",$G451=ABSENSI!$H$11),OR(ABSENSI!$H$12="",$P451=ABSENSI!$H$12)),MAX($AD$3:AD450)+1,""))</f>
        <v/>
      </c>
      <c r="AE451" s="40" t="str">
        <f aca="false">IF($B451="","",IF(AND(OR(KARTU!$K$6="",$F451=KARTU!$K$6),OR(KARTU!$K$7="",$G451=KARTU!$K$7),OR(KARTU!$K$8="",$P451=KARTU!$K$8)),MAX($AE$3:AE450)+1,""))</f>
        <v/>
      </c>
    </row>
    <row r="452" customFormat="false" ht="15" hidden="false" customHeight="false" outlineLevel="0" collapsed="false">
      <c r="A452" s="35" t="str">
        <f aca="false">IF($B452="","",COUNTA($B$4:$B452))</f>
        <v/>
      </c>
      <c r="B452" s="36"/>
      <c r="C452" s="37"/>
      <c r="D452" s="37"/>
      <c r="E452" s="38"/>
      <c r="F452" s="36"/>
      <c r="G452" s="39"/>
      <c r="H452" s="39"/>
      <c r="I452" s="36"/>
      <c r="J452" s="36"/>
      <c r="K452" s="36"/>
      <c r="L452" s="36"/>
      <c r="M452" s="40" t="str">
        <f aca="false">IF($F452="","",$F452&amp;IF($G452="",""," - RT "&amp;$G452&amp;IF($H452="","","/"&amp;$H452)))</f>
        <v/>
      </c>
      <c r="N452" s="36"/>
      <c r="O452" s="37"/>
      <c r="P452" s="39"/>
      <c r="Q452" s="41"/>
      <c r="R452" s="35" t="str">
        <f aca="true">IF(OR($B452="",$Q452=""),"",DATEDIF($Q452,TODAY(),"Y"))</f>
        <v/>
      </c>
      <c r="S452" s="40" t="str">
        <f aca="false">IF($R452="","",INDEX(usia_label,MATCH($R452,usia_min,1)))</f>
        <v/>
      </c>
      <c r="T452" s="36"/>
      <c r="U452" s="41"/>
      <c r="V452" s="36"/>
      <c r="W452" s="36"/>
      <c r="X452" s="40" t="str">
        <f aca="false">IF($M452="","",$M452&amp;"#"&amp;COUNTIF($M$4:$M452,$M452))</f>
        <v/>
      </c>
      <c r="Y452" s="40" t="str">
        <f aca="false">IF($B452="","",IF($C452="","NIK kosong",IF(LEN($C452)&lt;&gt;16,"NIK bukan 16 digit",IF(COUNTIF($C$4:$C$2003,$C452&amp;"*")&gt;1,"NIK ganda",IF(AND($D452&lt;&gt;"",LEN($D452)&lt;&gt;16),"No. KK bukan 16 digit",IF(AND($F452="",$I452=""),"Alamat kosong",IF($N452="","Jabatan kosong",IF($O452="","No. HP kosong",IF(AND($R452&lt;&gt;"",$R452&lt;17),"Usia di bawah 17","")))))))))</f>
        <v/>
      </c>
      <c r="Z452" s="40" t="str">
        <f aca="false">IF($B452="","",IF(AND(OR(CARI!$C$5="",ISNUMBER(SEARCH(CARI!$C$5,$B452&amp;" "&amp;$C452&amp;" "&amp;$D452&amp;" "&amp;$O452&amp;" "&amp;$I452&amp;" "&amp;$F452&amp;" "&amp;$J452&amp;" "&amp;$K452&amp;" "&amp;$L452&amp;" "&amp;$V452))),OR(CARI!$C$6="",$F452=CARI!$C$6),OR(CARI!$C$7="",$G452=CARI!$C$7),OR(CARI!$C$8="",$T452=CARI!$C$8)),MAX($Z$3:Z451)+1,""))</f>
        <v/>
      </c>
      <c r="AA452" s="40" t="str">
        <f aca="false">IF($Y452="","",MAX($AA$3:AA451)+1)</f>
        <v/>
      </c>
      <c r="AB452" s="40" t="str">
        <f aca="false">IF($F452="","",$F452&amp;"#"&amp;COUNTIF($F$4:$F452,$F452))</f>
        <v/>
      </c>
      <c r="AC452" s="40" t="str">
        <f aca="false">IF($B452="","",IF(AND(OR(CETAK!$J$10="",$F452=CETAK!$J$10),OR(CETAK!$J$11="",$G452=CETAK!$J$11),OR(CETAK!$J$12="",$P452=CETAK!$J$12),OR(CETAK!$J$13="",$N452=CETAK!$J$13),OR(CETAK!$J$14="",$T452=CETAK!$J$14)),MAX($AC$3:AC451)+1,""))</f>
        <v/>
      </c>
      <c r="AD452" s="40" t="str">
        <f aca="false">IF($B452="","",IF(AND(OR(ABSENSI!$H$10="",$F452=ABSENSI!$H$10),OR(ABSENSI!$H$11="",$G452=ABSENSI!$H$11),OR(ABSENSI!$H$12="",$P452=ABSENSI!$H$12)),MAX($AD$3:AD451)+1,""))</f>
        <v/>
      </c>
      <c r="AE452" s="40" t="str">
        <f aca="false">IF($B452="","",IF(AND(OR(KARTU!$K$6="",$F452=KARTU!$K$6),OR(KARTU!$K$7="",$G452=KARTU!$K$7),OR(KARTU!$K$8="",$P452=KARTU!$K$8)),MAX($AE$3:AE451)+1,""))</f>
        <v/>
      </c>
    </row>
    <row r="453" customFormat="false" ht="15" hidden="false" customHeight="false" outlineLevel="0" collapsed="false">
      <c r="A453" s="35" t="str">
        <f aca="false">IF($B453="","",COUNTA($B$4:$B453))</f>
        <v/>
      </c>
      <c r="B453" s="36"/>
      <c r="C453" s="37"/>
      <c r="D453" s="37"/>
      <c r="E453" s="38"/>
      <c r="F453" s="36"/>
      <c r="G453" s="39"/>
      <c r="H453" s="39"/>
      <c r="I453" s="36"/>
      <c r="J453" s="36"/>
      <c r="K453" s="36"/>
      <c r="L453" s="36"/>
      <c r="M453" s="40" t="str">
        <f aca="false">IF($F453="","",$F453&amp;IF($G453="",""," - RT "&amp;$G453&amp;IF($H453="","","/"&amp;$H453)))</f>
        <v/>
      </c>
      <c r="N453" s="36"/>
      <c r="O453" s="37"/>
      <c r="P453" s="39"/>
      <c r="Q453" s="41"/>
      <c r="R453" s="35" t="str">
        <f aca="true">IF(OR($B453="",$Q453=""),"",DATEDIF($Q453,TODAY(),"Y"))</f>
        <v/>
      </c>
      <c r="S453" s="40" t="str">
        <f aca="false">IF($R453="","",INDEX(usia_label,MATCH($R453,usia_min,1)))</f>
        <v/>
      </c>
      <c r="T453" s="36"/>
      <c r="U453" s="41"/>
      <c r="V453" s="36"/>
      <c r="W453" s="36"/>
      <c r="X453" s="40" t="str">
        <f aca="false">IF($M453="","",$M453&amp;"#"&amp;COUNTIF($M$4:$M453,$M453))</f>
        <v/>
      </c>
      <c r="Y453" s="40" t="str">
        <f aca="false">IF($B453="","",IF($C453="","NIK kosong",IF(LEN($C453)&lt;&gt;16,"NIK bukan 16 digit",IF(COUNTIF($C$4:$C$2003,$C453&amp;"*")&gt;1,"NIK ganda",IF(AND($D453&lt;&gt;"",LEN($D453)&lt;&gt;16),"No. KK bukan 16 digit",IF(AND($F453="",$I453=""),"Alamat kosong",IF($N453="","Jabatan kosong",IF($O453="","No. HP kosong",IF(AND($R453&lt;&gt;"",$R453&lt;17),"Usia di bawah 17","")))))))))</f>
        <v/>
      </c>
      <c r="Z453" s="40" t="str">
        <f aca="false">IF($B453="","",IF(AND(OR(CARI!$C$5="",ISNUMBER(SEARCH(CARI!$C$5,$B453&amp;" "&amp;$C453&amp;" "&amp;$D453&amp;" "&amp;$O453&amp;" "&amp;$I453&amp;" "&amp;$F453&amp;" "&amp;$J453&amp;" "&amp;$K453&amp;" "&amp;$L453&amp;" "&amp;$V453))),OR(CARI!$C$6="",$F453=CARI!$C$6),OR(CARI!$C$7="",$G453=CARI!$C$7),OR(CARI!$C$8="",$T453=CARI!$C$8)),MAX($Z$3:Z452)+1,""))</f>
        <v/>
      </c>
      <c r="AA453" s="40" t="str">
        <f aca="false">IF($Y453="","",MAX($AA$3:AA452)+1)</f>
        <v/>
      </c>
      <c r="AB453" s="40" t="str">
        <f aca="false">IF($F453="","",$F453&amp;"#"&amp;COUNTIF($F$4:$F453,$F453))</f>
        <v/>
      </c>
      <c r="AC453" s="40" t="str">
        <f aca="false">IF($B453="","",IF(AND(OR(CETAK!$J$10="",$F453=CETAK!$J$10),OR(CETAK!$J$11="",$G453=CETAK!$J$11),OR(CETAK!$J$12="",$P453=CETAK!$J$12),OR(CETAK!$J$13="",$N453=CETAK!$J$13),OR(CETAK!$J$14="",$T453=CETAK!$J$14)),MAX($AC$3:AC452)+1,""))</f>
        <v/>
      </c>
      <c r="AD453" s="40" t="str">
        <f aca="false">IF($B453="","",IF(AND(OR(ABSENSI!$H$10="",$F453=ABSENSI!$H$10),OR(ABSENSI!$H$11="",$G453=ABSENSI!$H$11),OR(ABSENSI!$H$12="",$P453=ABSENSI!$H$12)),MAX($AD$3:AD452)+1,""))</f>
        <v/>
      </c>
      <c r="AE453" s="40" t="str">
        <f aca="false">IF($B453="","",IF(AND(OR(KARTU!$K$6="",$F453=KARTU!$K$6),OR(KARTU!$K$7="",$G453=KARTU!$K$7),OR(KARTU!$K$8="",$P453=KARTU!$K$8)),MAX($AE$3:AE452)+1,""))</f>
        <v/>
      </c>
    </row>
    <row r="454" customFormat="false" ht="15" hidden="false" customHeight="false" outlineLevel="0" collapsed="false">
      <c r="A454" s="35" t="str">
        <f aca="false">IF($B454="","",COUNTA($B$4:$B454))</f>
        <v/>
      </c>
      <c r="B454" s="36"/>
      <c r="C454" s="37"/>
      <c r="D454" s="37"/>
      <c r="E454" s="38"/>
      <c r="F454" s="36"/>
      <c r="G454" s="39"/>
      <c r="H454" s="39"/>
      <c r="I454" s="36"/>
      <c r="J454" s="36"/>
      <c r="K454" s="36"/>
      <c r="L454" s="36"/>
      <c r="M454" s="40" t="str">
        <f aca="false">IF($F454="","",$F454&amp;IF($G454="",""," - RT "&amp;$G454&amp;IF($H454="","","/"&amp;$H454)))</f>
        <v/>
      </c>
      <c r="N454" s="36"/>
      <c r="O454" s="37"/>
      <c r="P454" s="39"/>
      <c r="Q454" s="41"/>
      <c r="R454" s="35" t="str">
        <f aca="true">IF(OR($B454="",$Q454=""),"",DATEDIF($Q454,TODAY(),"Y"))</f>
        <v/>
      </c>
      <c r="S454" s="40" t="str">
        <f aca="false">IF($R454="","",INDEX(usia_label,MATCH($R454,usia_min,1)))</f>
        <v/>
      </c>
      <c r="T454" s="36"/>
      <c r="U454" s="41"/>
      <c r="V454" s="36"/>
      <c r="W454" s="36"/>
      <c r="X454" s="40" t="str">
        <f aca="false">IF($M454="","",$M454&amp;"#"&amp;COUNTIF($M$4:$M454,$M454))</f>
        <v/>
      </c>
      <c r="Y454" s="40" t="str">
        <f aca="false">IF($B454="","",IF($C454="","NIK kosong",IF(LEN($C454)&lt;&gt;16,"NIK bukan 16 digit",IF(COUNTIF($C$4:$C$2003,$C454&amp;"*")&gt;1,"NIK ganda",IF(AND($D454&lt;&gt;"",LEN($D454)&lt;&gt;16),"No. KK bukan 16 digit",IF(AND($F454="",$I454=""),"Alamat kosong",IF($N454="","Jabatan kosong",IF($O454="","No. HP kosong",IF(AND($R454&lt;&gt;"",$R454&lt;17),"Usia di bawah 17","")))))))))</f>
        <v/>
      </c>
      <c r="Z454" s="40" t="str">
        <f aca="false">IF($B454="","",IF(AND(OR(CARI!$C$5="",ISNUMBER(SEARCH(CARI!$C$5,$B454&amp;" "&amp;$C454&amp;" "&amp;$D454&amp;" "&amp;$O454&amp;" "&amp;$I454&amp;" "&amp;$F454&amp;" "&amp;$J454&amp;" "&amp;$K454&amp;" "&amp;$L454&amp;" "&amp;$V454))),OR(CARI!$C$6="",$F454=CARI!$C$6),OR(CARI!$C$7="",$G454=CARI!$C$7),OR(CARI!$C$8="",$T454=CARI!$C$8)),MAX($Z$3:Z453)+1,""))</f>
        <v/>
      </c>
      <c r="AA454" s="40" t="str">
        <f aca="false">IF($Y454="","",MAX($AA$3:AA453)+1)</f>
        <v/>
      </c>
      <c r="AB454" s="40" t="str">
        <f aca="false">IF($F454="","",$F454&amp;"#"&amp;COUNTIF($F$4:$F454,$F454))</f>
        <v/>
      </c>
      <c r="AC454" s="40" t="str">
        <f aca="false">IF($B454="","",IF(AND(OR(CETAK!$J$10="",$F454=CETAK!$J$10),OR(CETAK!$J$11="",$G454=CETAK!$J$11),OR(CETAK!$J$12="",$P454=CETAK!$J$12),OR(CETAK!$J$13="",$N454=CETAK!$J$13),OR(CETAK!$J$14="",$T454=CETAK!$J$14)),MAX($AC$3:AC453)+1,""))</f>
        <v/>
      </c>
      <c r="AD454" s="40" t="str">
        <f aca="false">IF($B454="","",IF(AND(OR(ABSENSI!$H$10="",$F454=ABSENSI!$H$10),OR(ABSENSI!$H$11="",$G454=ABSENSI!$H$11),OR(ABSENSI!$H$12="",$P454=ABSENSI!$H$12)),MAX($AD$3:AD453)+1,""))</f>
        <v/>
      </c>
      <c r="AE454" s="40" t="str">
        <f aca="false">IF($B454="","",IF(AND(OR(KARTU!$K$6="",$F454=KARTU!$K$6),OR(KARTU!$K$7="",$G454=KARTU!$K$7),OR(KARTU!$K$8="",$P454=KARTU!$K$8)),MAX($AE$3:AE453)+1,""))</f>
        <v/>
      </c>
    </row>
    <row r="455" customFormat="false" ht="15" hidden="false" customHeight="false" outlineLevel="0" collapsed="false">
      <c r="A455" s="35" t="str">
        <f aca="false">IF($B455="","",COUNTA($B$4:$B455))</f>
        <v/>
      </c>
      <c r="B455" s="36"/>
      <c r="C455" s="37"/>
      <c r="D455" s="37"/>
      <c r="E455" s="38"/>
      <c r="F455" s="36"/>
      <c r="G455" s="39"/>
      <c r="H455" s="39"/>
      <c r="I455" s="36"/>
      <c r="J455" s="36"/>
      <c r="K455" s="36"/>
      <c r="L455" s="36"/>
      <c r="M455" s="40" t="str">
        <f aca="false">IF($F455="","",$F455&amp;IF($G455="",""," - RT "&amp;$G455&amp;IF($H455="","","/"&amp;$H455)))</f>
        <v/>
      </c>
      <c r="N455" s="36"/>
      <c r="O455" s="37"/>
      <c r="P455" s="39"/>
      <c r="Q455" s="41"/>
      <c r="R455" s="35" t="str">
        <f aca="true">IF(OR($B455="",$Q455=""),"",DATEDIF($Q455,TODAY(),"Y"))</f>
        <v/>
      </c>
      <c r="S455" s="40" t="str">
        <f aca="false">IF($R455="","",INDEX(usia_label,MATCH($R455,usia_min,1)))</f>
        <v/>
      </c>
      <c r="T455" s="36"/>
      <c r="U455" s="41"/>
      <c r="V455" s="36"/>
      <c r="W455" s="36"/>
      <c r="X455" s="40" t="str">
        <f aca="false">IF($M455="","",$M455&amp;"#"&amp;COUNTIF($M$4:$M455,$M455))</f>
        <v/>
      </c>
      <c r="Y455" s="40" t="str">
        <f aca="false">IF($B455="","",IF($C455="","NIK kosong",IF(LEN($C455)&lt;&gt;16,"NIK bukan 16 digit",IF(COUNTIF($C$4:$C$2003,$C455&amp;"*")&gt;1,"NIK ganda",IF(AND($D455&lt;&gt;"",LEN($D455)&lt;&gt;16),"No. KK bukan 16 digit",IF(AND($F455="",$I455=""),"Alamat kosong",IF($N455="","Jabatan kosong",IF($O455="","No. HP kosong",IF(AND($R455&lt;&gt;"",$R455&lt;17),"Usia di bawah 17","")))))))))</f>
        <v/>
      </c>
      <c r="Z455" s="40" t="str">
        <f aca="false">IF($B455="","",IF(AND(OR(CARI!$C$5="",ISNUMBER(SEARCH(CARI!$C$5,$B455&amp;" "&amp;$C455&amp;" "&amp;$D455&amp;" "&amp;$O455&amp;" "&amp;$I455&amp;" "&amp;$F455&amp;" "&amp;$J455&amp;" "&amp;$K455&amp;" "&amp;$L455&amp;" "&amp;$V455))),OR(CARI!$C$6="",$F455=CARI!$C$6),OR(CARI!$C$7="",$G455=CARI!$C$7),OR(CARI!$C$8="",$T455=CARI!$C$8)),MAX($Z$3:Z454)+1,""))</f>
        <v/>
      </c>
      <c r="AA455" s="40" t="str">
        <f aca="false">IF($Y455="","",MAX($AA$3:AA454)+1)</f>
        <v/>
      </c>
      <c r="AB455" s="40" t="str">
        <f aca="false">IF($F455="","",$F455&amp;"#"&amp;COUNTIF($F$4:$F455,$F455))</f>
        <v/>
      </c>
      <c r="AC455" s="40" t="str">
        <f aca="false">IF($B455="","",IF(AND(OR(CETAK!$J$10="",$F455=CETAK!$J$10),OR(CETAK!$J$11="",$G455=CETAK!$J$11),OR(CETAK!$J$12="",$P455=CETAK!$J$12),OR(CETAK!$J$13="",$N455=CETAK!$J$13),OR(CETAK!$J$14="",$T455=CETAK!$J$14)),MAX($AC$3:AC454)+1,""))</f>
        <v/>
      </c>
      <c r="AD455" s="40" t="str">
        <f aca="false">IF($B455="","",IF(AND(OR(ABSENSI!$H$10="",$F455=ABSENSI!$H$10),OR(ABSENSI!$H$11="",$G455=ABSENSI!$H$11),OR(ABSENSI!$H$12="",$P455=ABSENSI!$H$12)),MAX($AD$3:AD454)+1,""))</f>
        <v/>
      </c>
      <c r="AE455" s="40" t="str">
        <f aca="false">IF($B455="","",IF(AND(OR(KARTU!$K$6="",$F455=KARTU!$K$6),OR(KARTU!$K$7="",$G455=KARTU!$K$7),OR(KARTU!$K$8="",$P455=KARTU!$K$8)),MAX($AE$3:AE454)+1,""))</f>
        <v/>
      </c>
    </row>
    <row r="456" customFormat="false" ht="15" hidden="false" customHeight="false" outlineLevel="0" collapsed="false">
      <c r="A456" s="35" t="str">
        <f aca="false">IF($B456="","",COUNTA($B$4:$B456))</f>
        <v/>
      </c>
      <c r="B456" s="36"/>
      <c r="C456" s="37"/>
      <c r="D456" s="37"/>
      <c r="E456" s="38"/>
      <c r="F456" s="36"/>
      <c r="G456" s="39"/>
      <c r="H456" s="39"/>
      <c r="I456" s="36"/>
      <c r="J456" s="36"/>
      <c r="K456" s="36"/>
      <c r="L456" s="36"/>
      <c r="M456" s="40" t="str">
        <f aca="false">IF($F456="","",$F456&amp;IF($G456="",""," - RT "&amp;$G456&amp;IF($H456="","","/"&amp;$H456)))</f>
        <v/>
      </c>
      <c r="N456" s="36"/>
      <c r="O456" s="37"/>
      <c r="P456" s="39"/>
      <c r="Q456" s="41"/>
      <c r="R456" s="35" t="str">
        <f aca="true">IF(OR($B456="",$Q456=""),"",DATEDIF($Q456,TODAY(),"Y"))</f>
        <v/>
      </c>
      <c r="S456" s="40" t="str">
        <f aca="false">IF($R456="","",INDEX(usia_label,MATCH($R456,usia_min,1)))</f>
        <v/>
      </c>
      <c r="T456" s="36"/>
      <c r="U456" s="41"/>
      <c r="V456" s="36"/>
      <c r="W456" s="36"/>
      <c r="X456" s="40" t="str">
        <f aca="false">IF($M456="","",$M456&amp;"#"&amp;COUNTIF($M$4:$M456,$M456))</f>
        <v/>
      </c>
      <c r="Y456" s="40" t="str">
        <f aca="false">IF($B456="","",IF($C456="","NIK kosong",IF(LEN($C456)&lt;&gt;16,"NIK bukan 16 digit",IF(COUNTIF($C$4:$C$2003,$C456&amp;"*")&gt;1,"NIK ganda",IF(AND($D456&lt;&gt;"",LEN($D456)&lt;&gt;16),"No. KK bukan 16 digit",IF(AND($F456="",$I456=""),"Alamat kosong",IF($N456="","Jabatan kosong",IF($O456="","No. HP kosong",IF(AND($R456&lt;&gt;"",$R456&lt;17),"Usia di bawah 17","")))))))))</f>
        <v/>
      </c>
      <c r="Z456" s="40" t="str">
        <f aca="false">IF($B456="","",IF(AND(OR(CARI!$C$5="",ISNUMBER(SEARCH(CARI!$C$5,$B456&amp;" "&amp;$C456&amp;" "&amp;$D456&amp;" "&amp;$O456&amp;" "&amp;$I456&amp;" "&amp;$F456&amp;" "&amp;$J456&amp;" "&amp;$K456&amp;" "&amp;$L456&amp;" "&amp;$V456))),OR(CARI!$C$6="",$F456=CARI!$C$6),OR(CARI!$C$7="",$G456=CARI!$C$7),OR(CARI!$C$8="",$T456=CARI!$C$8)),MAX($Z$3:Z455)+1,""))</f>
        <v/>
      </c>
      <c r="AA456" s="40" t="str">
        <f aca="false">IF($Y456="","",MAX($AA$3:AA455)+1)</f>
        <v/>
      </c>
      <c r="AB456" s="40" t="str">
        <f aca="false">IF($F456="","",$F456&amp;"#"&amp;COUNTIF($F$4:$F456,$F456))</f>
        <v/>
      </c>
      <c r="AC456" s="40" t="str">
        <f aca="false">IF($B456="","",IF(AND(OR(CETAK!$J$10="",$F456=CETAK!$J$10),OR(CETAK!$J$11="",$G456=CETAK!$J$11),OR(CETAK!$J$12="",$P456=CETAK!$J$12),OR(CETAK!$J$13="",$N456=CETAK!$J$13),OR(CETAK!$J$14="",$T456=CETAK!$J$14)),MAX($AC$3:AC455)+1,""))</f>
        <v/>
      </c>
      <c r="AD456" s="40" t="str">
        <f aca="false">IF($B456="","",IF(AND(OR(ABSENSI!$H$10="",$F456=ABSENSI!$H$10),OR(ABSENSI!$H$11="",$G456=ABSENSI!$H$11),OR(ABSENSI!$H$12="",$P456=ABSENSI!$H$12)),MAX($AD$3:AD455)+1,""))</f>
        <v/>
      </c>
      <c r="AE456" s="40" t="str">
        <f aca="false">IF($B456="","",IF(AND(OR(KARTU!$K$6="",$F456=KARTU!$K$6),OR(KARTU!$K$7="",$G456=KARTU!$K$7),OR(KARTU!$K$8="",$P456=KARTU!$K$8)),MAX($AE$3:AE455)+1,""))</f>
        <v/>
      </c>
    </row>
    <row r="457" customFormat="false" ht="15" hidden="false" customHeight="false" outlineLevel="0" collapsed="false">
      <c r="A457" s="35" t="str">
        <f aca="false">IF($B457="","",COUNTA($B$4:$B457))</f>
        <v/>
      </c>
      <c r="B457" s="36"/>
      <c r="C457" s="37"/>
      <c r="D457" s="37"/>
      <c r="E457" s="38"/>
      <c r="F457" s="36"/>
      <c r="G457" s="39"/>
      <c r="H457" s="39"/>
      <c r="I457" s="36"/>
      <c r="J457" s="36"/>
      <c r="K457" s="36"/>
      <c r="L457" s="36"/>
      <c r="M457" s="40" t="str">
        <f aca="false">IF($F457="","",$F457&amp;IF($G457="",""," - RT "&amp;$G457&amp;IF($H457="","","/"&amp;$H457)))</f>
        <v/>
      </c>
      <c r="N457" s="36"/>
      <c r="O457" s="37"/>
      <c r="P457" s="39"/>
      <c r="Q457" s="41"/>
      <c r="R457" s="35" t="str">
        <f aca="true">IF(OR($B457="",$Q457=""),"",DATEDIF($Q457,TODAY(),"Y"))</f>
        <v/>
      </c>
      <c r="S457" s="40" t="str">
        <f aca="false">IF($R457="","",INDEX(usia_label,MATCH($R457,usia_min,1)))</f>
        <v/>
      </c>
      <c r="T457" s="36"/>
      <c r="U457" s="41"/>
      <c r="V457" s="36"/>
      <c r="W457" s="36"/>
      <c r="X457" s="40" t="str">
        <f aca="false">IF($M457="","",$M457&amp;"#"&amp;COUNTIF($M$4:$M457,$M457))</f>
        <v/>
      </c>
      <c r="Y457" s="40" t="str">
        <f aca="false">IF($B457="","",IF($C457="","NIK kosong",IF(LEN($C457)&lt;&gt;16,"NIK bukan 16 digit",IF(COUNTIF($C$4:$C$2003,$C457&amp;"*")&gt;1,"NIK ganda",IF(AND($D457&lt;&gt;"",LEN($D457)&lt;&gt;16),"No. KK bukan 16 digit",IF(AND($F457="",$I457=""),"Alamat kosong",IF($N457="","Jabatan kosong",IF($O457="","No. HP kosong",IF(AND($R457&lt;&gt;"",$R457&lt;17),"Usia di bawah 17","")))))))))</f>
        <v/>
      </c>
      <c r="Z457" s="40" t="str">
        <f aca="false">IF($B457="","",IF(AND(OR(CARI!$C$5="",ISNUMBER(SEARCH(CARI!$C$5,$B457&amp;" "&amp;$C457&amp;" "&amp;$D457&amp;" "&amp;$O457&amp;" "&amp;$I457&amp;" "&amp;$F457&amp;" "&amp;$J457&amp;" "&amp;$K457&amp;" "&amp;$L457&amp;" "&amp;$V457))),OR(CARI!$C$6="",$F457=CARI!$C$6),OR(CARI!$C$7="",$G457=CARI!$C$7),OR(CARI!$C$8="",$T457=CARI!$C$8)),MAX($Z$3:Z456)+1,""))</f>
        <v/>
      </c>
      <c r="AA457" s="40" t="str">
        <f aca="false">IF($Y457="","",MAX($AA$3:AA456)+1)</f>
        <v/>
      </c>
      <c r="AB457" s="40" t="str">
        <f aca="false">IF($F457="","",$F457&amp;"#"&amp;COUNTIF($F$4:$F457,$F457))</f>
        <v/>
      </c>
      <c r="AC457" s="40" t="str">
        <f aca="false">IF($B457="","",IF(AND(OR(CETAK!$J$10="",$F457=CETAK!$J$10),OR(CETAK!$J$11="",$G457=CETAK!$J$11),OR(CETAK!$J$12="",$P457=CETAK!$J$12),OR(CETAK!$J$13="",$N457=CETAK!$J$13),OR(CETAK!$J$14="",$T457=CETAK!$J$14)),MAX($AC$3:AC456)+1,""))</f>
        <v/>
      </c>
      <c r="AD457" s="40" t="str">
        <f aca="false">IF($B457="","",IF(AND(OR(ABSENSI!$H$10="",$F457=ABSENSI!$H$10),OR(ABSENSI!$H$11="",$G457=ABSENSI!$H$11),OR(ABSENSI!$H$12="",$P457=ABSENSI!$H$12)),MAX($AD$3:AD456)+1,""))</f>
        <v/>
      </c>
      <c r="AE457" s="40" t="str">
        <f aca="false">IF($B457="","",IF(AND(OR(KARTU!$K$6="",$F457=KARTU!$K$6),OR(KARTU!$K$7="",$G457=KARTU!$K$7),OR(KARTU!$K$8="",$P457=KARTU!$K$8)),MAX($AE$3:AE456)+1,""))</f>
        <v/>
      </c>
    </row>
    <row r="458" customFormat="false" ht="15" hidden="false" customHeight="false" outlineLevel="0" collapsed="false">
      <c r="A458" s="35" t="str">
        <f aca="false">IF($B458="","",COUNTA($B$4:$B458))</f>
        <v/>
      </c>
      <c r="B458" s="36"/>
      <c r="C458" s="37"/>
      <c r="D458" s="37"/>
      <c r="E458" s="38"/>
      <c r="F458" s="36"/>
      <c r="G458" s="39"/>
      <c r="H458" s="39"/>
      <c r="I458" s="36"/>
      <c r="J458" s="36"/>
      <c r="K458" s="36"/>
      <c r="L458" s="36"/>
      <c r="M458" s="40" t="str">
        <f aca="false">IF($F458="","",$F458&amp;IF($G458="",""," - RT "&amp;$G458&amp;IF($H458="","","/"&amp;$H458)))</f>
        <v/>
      </c>
      <c r="N458" s="36"/>
      <c r="O458" s="37"/>
      <c r="P458" s="39"/>
      <c r="Q458" s="41"/>
      <c r="R458" s="35" t="str">
        <f aca="true">IF(OR($B458="",$Q458=""),"",DATEDIF($Q458,TODAY(),"Y"))</f>
        <v/>
      </c>
      <c r="S458" s="40" t="str">
        <f aca="false">IF($R458="","",INDEX(usia_label,MATCH($R458,usia_min,1)))</f>
        <v/>
      </c>
      <c r="T458" s="36"/>
      <c r="U458" s="41"/>
      <c r="V458" s="36"/>
      <c r="W458" s="36"/>
      <c r="X458" s="40" t="str">
        <f aca="false">IF($M458="","",$M458&amp;"#"&amp;COUNTIF($M$4:$M458,$M458))</f>
        <v/>
      </c>
      <c r="Y458" s="40" t="str">
        <f aca="false">IF($B458="","",IF($C458="","NIK kosong",IF(LEN($C458)&lt;&gt;16,"NIK bukan 16 digit",IF(COUNTIF($C$4:$C$2003,$C458&amp;"*")&gt;1,"NIK ganda",IF(AND($D458&lt;&gt;"",LEN($D458)&lt;&gt;16),"No. KK bukan 16 digit",IF(AND($F458="",$I458=""),"Alamat kosong",IF($N458="","Jabatan kosong",IF($O458="","No. HP kosong",IF(AND($R458&lt;&gt;"",$R458&lt;17),"Usia di bawah 17","")))))))))</f>
        <v/>
      </c>
      <c r="Z458" s="40" t="str">
        <f aca="false">IF($B458="","",IF(AND(OR(CARI!$C$5="",ISNUMBER(SEARCH(CARI!$C$5,$B458&amp;" "&amp;$C458&amp;" "&amp;$D458&amp;" "&amp;$O458&amp;" "&amp;$I458&amp;" "&amp;$F458&amp;" "&amp;$J458&amp;" "&amp;$K458&amp;" "&amp;$L458&amp;" "&amp;$V458))),OR(CARI!$C$6="",$F458=CARI!$C$6),OR(CARI!$C$7="",$G458=CARI!$C$7),OR(CARI!$C$8="",$T458=CARI!$C$8)),MAX($Z$3:Z457)+1,""))</f>
        <v/>
      </c>
      <c r="AA458" s="40" t="str">
        <f aca="false">IF($Y458="","",MAX($AA$3:AA457)+1)</f>
        <v/>
      </c>
      <c r="AB458" s="40" t="str">
        <f aca="false">IF($F458="","",$F458&amp;"#"&amp;COUNTIF($F$4:$F458,$F458))</f>
        <v/>
      </c>
      <c r="AC458" s="40" t="str">
        <f aca="false">IF($B458="","",IF(AND(OR(CETAK!$J$10="",$F458=CETAK!$J$10),OR(CETAK!$J$11="",$G458=CETAK!$J$11),OR(CETAK!$J$12="",$P458=CETAK!$J$12),OR(CETAK!$J$13="",$N458=CETAK!$J$13),OR(CETAK!$J$14="",$T458=CETAK!$J$14)),MAX($AC$3:AC457)+1,""))</f>
        <v/>
      </c>
      <c r="AD458" s="40" t="str">
        <f aca="false">IF($B458="","",IF(AND(OR(ABSENSI!$H$10="",$F458=ABSENSI!$H$10),OR(ABSENSI!$H$11="",$G458=ABSENSI!$H$11),OR(ABSENSI!$H$12="",$P458=ABSENSI!$H$12)),MAX($AD$3:AD457)+1,""))</f>
        <v/>
      </c>
      <c r="AE458" s="40" t="str">
        <f aca="false">IF($B458="","",IF(AND(OR(KARTU!$K$6="",$F458=KARTU!$K$6),OR(KARTU!$K$7="",$G458=KARTU!$K$7),OR(KARTU!$K$8="",$P458=KARTU!$K$8)),MAX($AE$3:AE457)+1,""))</f>
        <v/>
      </c>
    </row>
    <row r="459" customFormat="false" ht="15" hidden="false" customHeight="false" outlineLevel="0" collapsed="false">
      <c r="A459" s="35" t="str">
        <f aca="false">IF($B459="","",COUNTA($B$4:$B459))</f>
        <v/>
      </c>
      <c r="B459" s="36"/>
      <c r="C459" s="37"/>
      <c r="D459" s="37"/>
      <c r="E459" s="38"/>
      <c r="F459" s="36"/>
      <c r="G459" s="39"/>
      <c r="H459" s="39"/>
      <c r="I459" s="36"/>
      <c r="J459" s="36"/>
      <c r="K459" s="36"/>
      <c r="L459" s="36"/>
      <c r="M459" s="40" t="str">
        <f aca="false">IF($F459="","",$F459&amp;IF($G459="",""," - RT "&amp;$G459&amp;IF($H459="","","/"&amp;$H459)))</f>
        <v/>
      </c>
      <c r="N459" s="36"/>
      <c r="O459" s="37"/>
      <c r="P459" s="39"/>
      <c r="Q459" s="41"/>
      <c r="R459" s="35" t="str">
        <f aca="true">IF(OR($B459="",$Q459=""),"",DATEDIF($Q459,TODAY(),"Y"))</f>
        <v/>
      </c>
      <c r="S459" s="40" t="str">
        <f aca="false">IF($R459="","",INDEX(usia_label,MATCH($R459,usia_min,1)))</f>
        <v/>
      </c>
      <c r="T459" s="36"/>
      <c r="U459" s="41"/>
      <c r="V459" s="36"/>
      <c r="W459" s="36"/>
      <c r="X459" s="40" t="str">
        <f aca="false">IF($M459="","",$M459&amp;"#"&amp;COUNTIF($M$4:$M459,$M459))</f>
        <v/>
      </c>
      <c r="Y459" s="40" t="str">
        <f aca="false">IF($B459="","",IF($C459="","NIK kosong",IF(LEN($C459)&lt;&gt;16,"NIK bukan 16 digit",IF(COUNTIF($C$4:$C$2003,$C459&amp;"*")&gt;1,"NIK ganda",IF(AND($D459&lt;&gt;"",LEN($D459)&lt;&gt;16),"No. KK bukan 16 digit",IF(AND($F459="",$I459=""),"Alamat kosong",IF($N459="","Jabatan kosong",IF($O459="","No. HP kosong",IF(AND($R459&lt;&gt;"",$R459&lt;17),"Usia di bawah 17","")))))))))</f>
        <v/>
      </c>
      <c r="Z459" s="40" t="str">
        <f aca="false">IF($B459="","",IF(AND(OR(CARI!$C$5="",ISNUMBER(SEARCH(CARI!$C$5,$B459&amp;" "&amp;$C459&amp;" "&amp;$D459&amp;" "&amp;$O459&amp;" "&amp;$I459&amp;" "&amp;$F459&amp;" "&amp;$J459&amp;" "&amp;$K459&amp;" "&amp;$L459&amp;" "&amp;$V459))),OR(CARI!$C$6="",$F459=CARI!$C$6),OR(CARI!$C$7="",$G459=CARI!$C$7),OR(CARI!$C$8="",$T459=CARI!$C$8)),MAX($Z$3:Z458)+1,""))</f>
        <v/>
      </c>
      <c r="AA459" s="40" t="str">
        <f aca="false">IF($Y459="","",MAX($AA$3:AA458)+1)</f>
        <v/>
      </c>
      <c r="AB459" s="40" t="str">
        <f aca="false">IF($F459="","",$F459&amp;"#"&amp;COUNTIF($F$4:$F459,$F459))</f>
        <v/>
      </c>
      <c r="AC459" s="40" t="str">
        <f aca="false">IF($B459="","",IF(AND(OR(CETAK!$J$10="",$F459=CETAK!$J$10),OR(CETAK!$J$11="",$G459=CETAK!$J$11),OR(CETAK!$J$12="",$P459=CETAK!$J$12),OR(CETAK!$J$13="",$N459=CETAK!$J$13),OR(CETAK!$J$14="",$T459=CETAK!$J$14)),MAX($AC$3:AC458)+1,""))</f>
        <v/>
      </c>
      <c r="AD459" s="40" t="str">
        <f aca="false">IF($B459="","",IF(AND(OR(ABSENSI!$H$10="",$F459=ABSENSI!$H$10),OR(ABSENSI!$H$11="",$G459=ABSENSI!$H$11),OR(ABSENSI!$H$12="",$P459=ABSENSI!$H$12)),MAX($AD$3:AD458)+1,""))</f>
        <v/>
      </c>
      <c r="AE459" s="40" t="str">
        <f aca="false">IF($B459="","",IF(AND(OR(KARTU!$K$6="",$F459=KARTU!$K$6),OR(KARTU!$K$7="",$G459=KARTU!$K$7),OR(KARTU!$K$8="",$P459=KARTU!$K$8)),MAX($AE$3:AE458)+1,""))</f>
        <v/>
      </c>
    </row>
    <row r="460" customFormat="false" ht="15" hidden="false" customHeight="false" outlineLevel="0" collapsed="false">
      <c r="A460" s="35" t="str">
        <f aca="false">IF($B460="","",COUNTA($B$4:$B460))</f>
        <v/>
      </c>
      <c r="B460" s="36"/>
      <c r="C460" s="37"/>
      <c r="D460" s="37"/>
      <c r="E460" s="38"/>
      <c r="F460" s="36"/>
      <c r="G460" s="39"/>
      <c r="H460" s="39"/>
      <c r="I460" s="36"/>
      <c r="J460" s="36"/>
      <c r="K460" s="36"/>
      <c r="L460" s="36"/>
      <c r="M460" s="40" t="str">
        <f aca="false">IF($F460="","",$F460&amp;IF($G460="",""," - RT "&amp;$G460&amp;IF($H460="","","/"&amp;$H460)))</f>
        <v/>
      </c>
      <c r="N460" s="36"/>
      <c r="O460" s="37"/>
      <c r="P460" s="39"/>
      <c r="Q460" s="41"/>
      <c r="R460" s="35" t="str">
        <f aca="true">IF(OR($B460="",$Q460=""),"",DATEDIF($Q460,TODAY(),"Y"))</f>
        <v/>
      </c>
      <c r="S460" s="40" t="str">
        <f aca="false">IF($R460="","",INDEX(usia_label,MATCH($R460,usia_min,1)))</f>
        <v/>
      </c>
      <c r="T460" s="36"/>
      <c r="U460" s="41"/>
      <c r="V460" s="36"/>
      <c r="W460" s="36"/>
      <c r="X460" s="40" t="str">
        <f aca="false">IF($M460="","",$M460&amp;"#"&amp;COUNTIF($M$4:$M460,$M460))</f>
        <v/>
      </c>
      <c r="Y460" s="40" t="str">
        <f aca="false">IF($B460="","",IF($C460="","NIK kosong",IF(LEN($C460)&lt;&gt;16,"NIK bukan 16 digit",IF(COUNTIF($C$4:$C$2003,$C460&amp;"*")&gt;1,"NIK ganda",IF(AND($D460&lt;&gt;"",LEN($D460)&lt;&gt;16),"No. KK bukan 16 digit",IF(AND($F460="",$I460=""),"Alamat kosong",IF($N460="","Jabatan kosong",IF($O460="","No. HP kosong",IF(AND($R460&lt;&gt;"",$R460&lt;17),"Usia di bawah 17","")))))))))</f>
        <v/>
      </c>
      <c r="Z460" s="40" t="str">
        <f aca="false">IF($B460="","",IF(AND(OR(CARI!$C$5="",ISNUMBER(SEARCH(CARI!$C$5,$B460&amp;" "&amp;$C460&amp;" "&amp;$D460&amp;" "&amp;$O460&amp;" "&amp;$I460&amp;" "&amp;$F460&amp;" "&amp;$J460&amp;" "&amp;$K460&amp;" "&amp;$L460&amp;" "&amp;$V460))),OR(CARI!$C$6="",$F460=CARI!$C$6),OR(CARI!$C$7="",$G460=CARI!$C$7),OR(CARI!$C$8="",$T460=CARI!$C$8)),MAX($Z$3:Z459)+1,""))</f>
        <v/>
      </c>
      <c r="AA460" s="40" t="str">
        <f aca="false">IF($Y460="","",MAX($AA$3:AA459)+1)</f>
        <v/>
      </c>
      <c r="AB460" s="40" t="str">
        <f aca="false">IF($F460="","",$F460&amp;"#"&amp;COUNTIF($F$4:$F460,$F460))</f>
        <v/>
      </c>
      <c r="AC460" s="40" t="str">
        <f aca="false">IF($B460="","",IF(AND(OR(CETAK!$J$10="",$F460=CETAK!$J$10),OR(CETAK!$J$11="",$G460=CETAK!$J$11),OR(CETAK!$J$12="",$P460=CETAK!$J$12),OR(CETAK!$J$13="",$N460=CETAK!$J$13),OR(CETAK!$J$14="",$T460=CETAK!$J$14)),MAX($AC$3:AC459)+1,""))</f>
        <v/>
      </c>
      <c r="AD460" s="40" t="str">
        <f aca="false">IF($B460="","",IF(AND(OR(ABSENSI!$H$10="",$F460=ABSENSI!$H$10),OR(ABSENSI!$H$11="",$G460=ABSENSI!$H$11),OR(ABSENSI!$H$12="",$P460=ABSENSI!$H$12)),MAX($AD$3:AD459)+1,""))</f>
        <v/>
      </c>
      <c r="AE460" s="40" t="str">
        <f aca="false">IF($B460="","",IF(AND(OR(KARTU!$K$6="",$F460=KARTU!$K$6),OR(KARTU!$K$7="",$G460=KARTU!$K$7),OR(KARTU!$K$8="",$P460=KARTU!$K$8)),MAX($AE$3:AE459)+1,""))</f>
        <v/>
      </c>
    </row>
    <row r="461" customFormat="false" ht="15" hidden="false" customHeight="false" outlineLevel="0" collapsed="false">
      <c r="A461" s="35" t="str">
        <f aca="false">IF($B461="","",COUNTA($B$4:$B461))</f>
        <v/>
      </c>
      <c r="B461" s="36"/>
      <c r="C461" s="37"/>
      <c r="D461" s="37"/>
      <c r="E461" s="38"/>
      <c r="F461" s="36"/>
      <c r="G461" s="39"/>
      <c r="H461" s="39"/>
      <c r="I461" s="36"/>
      <c r="J461" s="36"/>
      <c r="K461" s="36"/>
      <c r="L461" s="36"/>
      <c r="M461" s="40" t="str">
        <f aca="false">IF($F461="","",$F461&amp;IF($G461="",""," - RT "&amp;$G461&amp;IF($H461="","","/"&amp;$H461)))</f>
        <v/>
      </c>
      <c r="N461" s="36"/>
      <c r="O461" s="37"/>
      <c r="P461" s="39"/>
      <c r="Q461" s="41"/>
      <c r="R461" s="35" t="str">
        <f aca="true">IF(OR($B461="",$Q461=""),"",DATEDIF($Q461,TODAY(),"Y"))</f>
        <v/>
      </c>
      <c r="S461" s="40" t="str">
        <f aca="false">IF($R461="","",INDEX(usia_label,MATCH($R461,usia_min,1)))</f>
        <v/>
      </c>
      <c r="T461" s="36"/>
      <c r="U461" s="41"/>
      <c r="V461" s="36"/>
      <c r="W461" s="36"/>
      <c r="X461" s="40" t="str">
        <f aca="false">IF($M461="","",$M461&amp;"#"&amp;COUNTIF($M$4:$M461,$M461))</f>
        <v/>
      </c>
      <c r="Y461" s="40" t="str">
        <f aca="false">IF($B461="","",IF($C461="","NIK kosong",IF(LEN($C461)&lt;&gt;16,"NIK bukan 16 digit",IF(COUNTIF($C$4:$C$2003,$C461&amp;"*")&gt;1,"NIK ganda",IF(AND($D461&lt;&gt;"",LEN($D461)&lt;&gt;16),"No. KK bukan 16 digit",IF(AND($F461="",$I461=""),"Alamat kosong",IF($N461="","Jabatan kosong",IF($O461="","No. HP kosong",IF(AND($R461&lt;&gt;"",$R461&lt;17),"Usia di bawah 17","")))))))))</f>
        <v/>
      </c>
      <c r="Z461" s="40" t="str">
        <f aca="false">IF($B461="","",IF(AND(OR(CARI!$C$5="",ISNUMBER(SEARCH(CARI!$C$5,$B461&amp;" "&amp;$C461&amp;" "&amp;$D461&amp;" "&amp;$O461&amp;" "&amp;$I461&amp;" "&amp;$F461&amp;" "&amp;$J461&amp;" "&amp;$K461&amp;" "&amp;$L461&amp;" "&amp;$V461))),OR(CARI!$C$6="",$F461=CARI!$C$6),OR(CARI!$C$7="",$G461=CARI!$C$7),OR(CARI!$C$8="",$T461=CARI!$C$8)),MAX($Z$3:Z460)+1,""))</f>
        <v/>
      </c>
      <c r="AA461" s="40" t="str">
        <f aca="false">IF($Y461="","",MAX($AA$3:AA460)+1)</f>
        <v/>
      </c>
      <c r="AB461" s="40" t="str">
        <f aca="false">IF($F461="","",$F461&amp;"#"&amp;COUNTIF($F$4:$F461,$F461))</f>
        <v/>
      </c>
      <c r="AC461" s="40" t="str">
        <f aca="false">IF($B461="","",IF(AND(OR(CETAK!$J$10="",$F461=CETAK!$J$10),OR(CETAK!$J$11="",$G461=CETAK!$J$11),OR(CETAK!$J$12="",$P461=CETAK!$J$12),OR(CETAK!$J$13="",$N461=CETAK!$J$13),OR(CETAK!$J$14="",$T461=CETAK!$J$14)),MAX($AC$3:AC460)+1,""))</f>
        <v/>
      </c>
      <c r="AD461" s="40" t="str">
        <f aca="false">IF($B461="","",IF(AND(OR(ABSENSI!$H$10="",$F461=ABSENSI!$H$10),OR(ABSENSI!$H$11="",$G461=ABSENSI!$H$11),OR(ABSENSI!$H$12="",$P461=ABSENSI!$H$12)),MAX($AD$3:AD460)+1,""))</f>
        <v/>
      </c>
      <c r="AE461" s="40" t="str">
        <f aca="false">IF($B461="","",IF(AND(OR(KARTU!$K$6="",$F461=KARTU!$K$6),OR(KARTU!$K$7="",$G461=KARTU!$K$7),OR(KARTU!$K$8="",$P461=KARTU!$K$8)),MAX($AE$3:AE460)+1,""))</f>
        <v/>
      </c>
    </row>
    <row r="462" customFormat="false" ht="15" hidden="false" customHeight="false" outlineLevel="0" collapsed="false">
      <c r="A462" s="35" t="str">
        <f aca="false">IF($B462="","",COUNTA($B$4:$B462))</f>
        <v/>
      </c>
      <c r="B462" s="36"/>
      <c r="C462" s="37"/>
      <c r="D462" s="37"/>
      <c r="E462" s="38"/>
      <c r="F462" s="36"/>
      <c r="G462" s="39"/>
      <c r="H462" s="39"/>
      <c r="I462" s="36"/>
      <c r="J462" s="36"/>
      <c r="K462" s="36"/>
      <c r="L462" s="36"/>
      <c r="M462" s="40" t="str">
        <f aca="false">IF($F462="","",$F462&amp;IF($G462="",""," - RT "&amp;$G462&amp;IF($H462="","","/"&amp;$H462)))</f>
        <v/>
      </c>
      <c r="N462" s="36"/>
      <c r="O462" s="37"/>
      <c r="P462" s="39"/>
      <c r="Q462" s="41"/>
      <c r="R462" s="35" t="str">
        <f aca="true">IF(OR($B462="",$Q462=""),"",DATEDIF($Q462,TODAY(),"Y"))</f>
        <v/>
      </c>
      <c r="S462" s="40" t="str">
        <f aca="false">IF($R462="","",INDEX(usia_label,MATCH($R462,usia_min,1)))</f>
        <v/>
      </c>
      <c r="T462" s="36"/>
      <c r="U462" s="41"/>
      <c r="V462" s="36"/>
      <c r="W462" s="36"/>
      <c r="X462" s="40" t="str">
        <f aca="false">IF($M462="","",$M462&amp;"#"&amp;COUNTIF($M$4:$M462,$M462))</f>
        <v/>
      </c>
      <c r="Y462" s="40" t="str">
        <f aca="false">IF($B462="","",IF($C462="","NIK kosong",IF(LEN($C462)&lt;&gt;16,"NIK bukan 16 digit",IF(COUNTIF($C$4:$C$2003,$C462&amp;"*")&gt;1,"NIK ganda",IF(AND($D462&lt;&gt;"",LEN($D462)&lt;&gt;16),"No. KK bukan 16 digit",IF(AND($F462="",$I462=""),"Alamat kosong",IF($N462="","Jabatan kosong",IF($O462="","No. HP kosong",IF(AND($R462&lt;&gt;"",$R462&lt;17),"Usia di bawah 17","")))))))))</f>
        <v/>
      </c>
      <c r="Z462" s="40" t="str">
        <f aca="false">IF($B462="","",IF(AND(OR(CARI!$C$5="",ISNUMBER(SEARCH(CARI!$C$5,$B462&amp;" "&amp;$C462&amp;" "&amp;$D462&amp;" "&amp;$O462&amp;" "&amp;$I462&amp;" "&amp;$F462&amp;" "&amp;$J462&amp;" "&amp;$K462&amp;" "&amp;$L462&amp;" "&amp;$V462))),OR(CARI!$C$6="",$F462=CARI!$C$6),OR(CARI!$C$7="",$G462=CARI!$C$7),OR(CARI!$C$8="",$T462=CARI!$C$8)),MAX($Z$3:Z461)+1,""))</f>
        <v/>
      </c>
      <c r="AA462" s="40" t="str">
        <f aca="false">IF($Y462="","",MAX($AA$3:AA461)+1)</f>
        <v/>
      </c>
      <c r="AB462" s="40" t="str">
        <f aca="false">IF($F462="","",$F462&amp;"#"&amp;COUNTIF($F$4:$F462,$F462))</f>
        <v/>
      </c>
      <c r="AC462" s="40" t="str">
        <f aca="false">IF($B462="","",IF(AND(OR(CETAK!$J$10="",$F462=CETAK!$J$10),OR(CETAK!$J$11="",$G462=CETAK!$J$11),OR(CETAK!$J$12="",$P462=CETAK!$J$12),OR(CETAK!$J$13="",$N462=CETAK!$J$13),OR(CETAK!$J$14="",$T462=CETAK!$J$14)),MAX($AC$3:AC461)+1,""))</f>
        <v/>
      </c>
      <c r="AD462" s="40" t="str">
        <f aca="false">IF($B462="","",IF(AND(OR(ABSENSI!$H$10="",$F462=ABSENSI!$H$10),OR(ABSENSI!$H$11="",$G462=ABSENSI!$H$11),OR(ABSENSI!$H$12="",$P462=ABSENSI!$H$12)),MAX($AD$3:AD461)+1,""))</f>
        <v/>
      </c>
      <c r="AE462" s="40" t="str">
        <f aca="false">IF($B462="","",IF(AND(OR(KARTU!$K$6="",$F462=KARTU!$K$6),OR(KARTU!$K$7="",$G462=KARTU!$K$7),OR(KARTU!$K$8="",$P462=KARTU!$K$8)),MAX($AE$3:AE461)+1,""))</f>
        <v/>
      </c>
    </row>
    <row r="463" customFormat="false" ht="15" hidden="false" customHeight="false" outlineLevel="0" collapsed="false">
      <c r="A463" s="35" t="str">
        <f aca="false">IF($B463="","",COUNTA($B$4:$B463))</f>
        <v/>
      </c>
      <c r="B463" s="36"/>
      <c r="C463" s="37"/>
      <c r="D463" s="37"/>
      <c r="E463" s="38"/>
      <c r="F463" s="36"/>
      <c r="G463" s="39"/>
      <c r="H463" s="39"/>
      <c r="I463" s="36"/>
      <c r="J463" s="36"/>
      <c r="K463" s="36"/>
      <c r="L463" s="36"/>
      <c r="M463" s="40" t="str">
        <f aca="false">IF($F463="","",$F463&amp;IF($G463="",""," - RT "&amp;$G463&amp;IF($H463="","","/"&amp;$H463)))</f>
        <v/>
      </c>
      <c r="N463" s="36"/>
      <c r="O463" s="37"/>
      <c r="P463" s="39"/>
      <c r="Q463" s="41"/>
      <c r="R463" s="35" t="str">
        <f aca="true">IF(OR($B463="",$Q463=""),"",DATEDIF($Q463,TODAY(),"Y"))</f>
        <v/>
      </c>
      <c r="S463" s="40" t="str">
        <f aca="false">IF($R463="","",INDEX(usia_label,MATCH($R463,usia_min,1)))</f>
        <v/>
      </c>
      <c r="T463" s="36"/>
      <c r="U463" s="41"/>
      <c r="V463" s="36"/>
      <c r="W463" s="36"/>
      <c r="X463" s="40" t="str">
        <f aca="false">IF($M463="","",$M463&amp;"#"&amp;COUNTIF($M$4:$M463,$M463))</f>
        <v/>
      </c>
      <c r="Y463" s="40" t="str">
        <f aca="false">IF($B463="","",IF($C463="","NIK kosong",IF(LEN($C463)&lt;&gt;16,"NIK bukan 16 digit",IF(COUNTIF($C$4:$C$2003,$C463&amp;"*")&gt;1,"NIK ganda",IF(AND($D463&lt;&gt;"",LEN($D463)&lt;&gt;16),"No. KK bukan 16 digit",IF(AND($F463="",$I463=""),"Alamat kosong",IF($N463="","Jabatan kosong",IF($O463="","No. HP kosong",IF(AND($R463&lt;&gt;"",$R463&lt;17),"Usia di bawah 17","")))))))))</f>
        <v/>
      </c>
      <c r="Z463" s="40" t="str">
        <f aca="false">IF($B463="","",IF(AND(OR(CARI!$C$5="",ISNUMBER(SEARCH(CARI!$C$5,$B463&amp;" "&amp;$C463&amp;" "&amp;$D463&amp;" "&amp;$O463&amp;" "&amp;$I463&amp;" "&amp;$F463&amp;" "&amp;$J463&amp;" "&amp;$K463&amp;" "&amp;$L463&amp;" "&amp;$V463))),OR(CARI!$C$6="",$F463=CARI!$C$6),OR(CARI!$C$7="",$G463=CARI!$C$7),OR(CARI!$C$8="",$T463=CARI!$C$8)),MAX($Z$3:Z462)+1,""))</f>
        <v/>
      </c>
      <c r="AA463" s="40" t="str">
        <f aca="false">IF($Y463="","",MAX($AA$3:AA462)+1)</f>
        <v/>
      </c>
      <c r="AB463" s="40" t="str">
        <f aca="false">IF($F463="","",$F463&amp;"#"&amp;COUNTIF($F$4:$F463,$F463))</f>
        <v/>
      </c>
      <c r="AC463" s="40" t="str">
        <f aca="false">IF($B463="","",IF(AND(OR(CETAK!$J$10="",$F463=CETAK!$J$10),OR(CETAK!$J$11="",$G463=CETAK!$J$11),OR(CETAK!$J$12="",$P463=CETAK!$J$12),OR(CETAK!$J$13="",$N463=CETAK!$J$13),OR(CETAK!$J$14="",$T463=CETAK!$J$14)),MAX($AC$3:AC462)+1,""))</f>
        <v/>
      </c>
      <c r="AD463" s="40" t="str">
        <f aca="false">IF($B463="","",IF(AND(OR(ABSENSI!$H$10="",$F463=ABSENSI!$H$10),OR(ABSENSI!$H$11="",$G463=ABSENSI!$H$11),OR(ABSENSI!$H$12="",$P463=ABSENSI!$H$12)),MAX($AD$3:AD462)+1,""))</f>
        <v/>
      </c>
      <c r="AE463" s="40" t="str">
        <f aca="false">IF($B463="","",IF(AND(OR(KARTU!$K$6="",$F463=KARTU!$K$6),OR(KARTU!$K$7="",$G463=KARTU!$K$7),OR(KARTU!$K$8="",$P463=KARTU!$K$8)),MAX($AE$3:AE462)+1,""))</f>
        <v/>
      </c>
    </row>
    <row r="464" customFormat="false" ht="15" hidden="false" customHeight="false" outlineLevel="0" collapsed="false">
      <c r="A464" s="35" t="str">
        <f aca="false">IF($B464="","",COUNTA($B$4:$B464))</f>
        <v/>
      </c>
      <c r="B464" s="36"/>
      <c r="C464" s="37"/>
      <c r="D464" s="37"/>
      <c r="E464" s="38"/>
      <c r="F464" s="36"/>
      <c r="G464" s="39"/>
      <c r="H464" s="39"/>
      <c r="I464" s="36"/>
      <c r="J464" s="36"/>
      <c r="K464" s="36"/>
      <c r="L464" s="36"/>
      <c r="M464" s="40" t="str">
        <f aca="false">IF($F464="","",$F464&amp;IF($G464="",""," - RT "&amp;$G464&amp;IF($H464="","","/"&amp;$H464)))</f>
        <v/>
      </c>
      <c r="N464" s="36"/>
      <c r="O464" s="37"/>
      <c r="P464" s="39"/>
      <c r="Q464" s="41"/>
      <c r="R464" s="35" t="str">
        <f aca="true">IF(OR($B464="",$Q464=""),"",DATEDIF($Q464,TODAY(),"Y"))</f>
        <v/>
      </c>
      <c r="S464" s="40" t="str">
        <f aca="false">IF($R464="","",INDEX(usia_label,MATCH($R464,usia_min,1)))</f>
        <v/>
      </c>
      <c r="T464" s="36"/>
      <c r="U464" s="41"/>
      <c r="V464" s="36"/>
      <c r="W464" s="36"/>
      <c r="X464" s="40" t="str">
        <f aca="false">IF($M464="","",$M464&amp;"#"&amp;COUNTIF($M$4:$M464,$M464))</f>
        <v/>
      </c>
      <c r="Y464" s="40" t="str">
        <f aca="false">IF($B464="","",IF($C464="","NIK kosong",IF(LEN($C464)&lt;&gt;16,"NIK bukan 16 digit",IF(COUNTIF($C$4:$C$2003,$C464&amp;"*")&gt;1,"NIK ganda",IF(AND($D464&lt;&gt;"",LEN($D464)&lt;&gt;16),"No. KK bukan 16 digit",IF(AND($F464="",$I464=""),"Alamat kosong",IF($N464="","Jabatan kosong",IF($O464="","No. HP kosong",IF(AND($R464&lt;&gt;"",$R464&lt;17),"Usia di bawah 17","")))))))))</f>
        <v/>
      </c>
      <c r="Z464" s="40" t="str">
        <f aca="false">IF($B464="","",IF(AND(OR(CARI!$C$5="",ISNUMBER(SEARCH(CARI!$C$5,$B464&amp;" "&amp;$C464&amp;" "&amp;$D464&amp;" "&amp;$O464&amp;" "&amp;$I464&amp;" "&amp;$F464&amp;" "&amp;$J464&amp;" "&amp;$K464&amp;" "&amp;$L464&amp;" "&amp;$V464))),OR(CARI!$C$6="",$F464=CARI!$C$6),OR(CARI!$C$7="",$G464=CARI!$C$7),OR(CARI!$C$8="",$T464=CARI!$C$8)),MAX($Z$3:Z463)+1,""))</f>
        <v/>
      </c>
      <c r="AA464" s="40" t="str">
        <f aca="false">IF($Y464="","",MAX($AA$3:AA463)+1)</f>
        <v/>
      </c>
      <c r="AB464" s="40" t="str">
        <f aca="false">IF($F464="","",$F464&amp;"#"&amp;COUNTIF($F$4:$F464,$F464))</f>
        <v/>
      </c>
      <c r="AC464" s="40" t="str">
        <f aca="false">IF($B464="","",IF(AND(OR(CETAK!$J$10="",$F464=CETAK!$J$10),OR(CETAK!$J$11="",$G464=CETAK!$J$11),OR(CETAK!$J$12="",$P464=CETAK!$J$12),OR(CETAK!$J$13="",$N464=CETAK!$J$13),OR(CETAK!$J$14="",$T464=CETAK!$J$14)),MAX($AC$3:AC463)+1,""))</f>
        <v/>
      </c>
      <c r="AD464" s="40" t="str">
        <f aca="false">IF($B464="","",IF(AND(OR(ABSENSI!$H$10="",$F464=ABSENSI!$H$10),OR(ABSENSI!$H$11="",$G464=ABSENSI!$H$11),OR(ABSENSI!$H$12="",$P464=ABSENSI!$H$12)),MAX($AD$3:AD463)+1,""))</f>
        <v/>
      </c>
      <c r="AE464" s="40" t="str">
        <f aca="false">IF($B464="","",IF(AND(OR(KARTU!$K$6="",$F464=KARTU!$K$6),OR(KARTU!$K$7="",$G464=KARTU!$K$7),OR(KARTU!$K$8="",$P464=KARTU!$K$8)),MAX($AE$3:AE463)+1,""))</f>
        <v/>
      </c>
    </row>
    <row r="465" customFormat="false" ht="15" hidden="false" customHeight="false" outlineLevel="0" collapsed="false">
      <c r="A465" s="35" t="str">
        <f aca="false">IF($B465="","",COUNTA($B$4:$B465))</f>
        <v/>
      </c>
      <c r="B465" s="36"/>
      <c r="C465" s="37"/>
      <c r="D465" s="37"/>
      <c r="E465" s="38"/>
      <c r="F465" s="36"/>
      <c r="G465" s="39"/>
      <c r="H465" s="39"/>
      <c r="I465" s="36"/>
      <c r="J465" s="36"/>
      <c r="K465" s="36"/>
      <c r="L465" s="36"/>
      <c r="M465" s="40" t="str">
        <f aca="false">IF($F465="","",$F465&amp;IF($G465="",""," - RT "&amp;$G465&amp;IF($H465="","","/"&amp;$H465)))</f>
        <v/>
      </c>
      <c r="N465" s="36"/>
      <c r="O465" s="37"/>
      <c r="P465" s="39"/>
      <c r="Q465" s="41"/>
      <c r="R465" s="35" t="str">
        <f aca="true">IF(OR($B465="",$Q465=""),"",DATEDIF($Q465,TODAY(),"Y"))</f>
        <v/>
      </c>
      <c r="S465" s="40" t="str">
        <f aca="false">IF($R465="","",INDEX(usia_label,MATCH($R465,usia_min,1)))</f>
        <v/>
      </c>
      <c r="T465" s="36"/>
      <c r="U465" s="41"/>
      <c r="V465" s="36"/>
      <c r="W465" s="36"/>
      <c r="X465" s="40" t="str">
        <f aca="false">IF($M465="","",$M465&amp;"#"&amp;COUNTIF($M$4:$M465,$M465))</f>
        <v/>
      </c>
      <c r="Y465" s="40" t="str">
        <f aca="false">IF($B465="","",IF($C465="","NIK kosong",IF(LEN($C465)&lt;&gt;16,"NIK bukan 16 digit",IF(COUNTIF($C$4:$C$2003,$C465&amp;"*")&gt;1,"NIK ganda",IF(AND($D465&lt;&gt;"",LEN($D465)&lt;&gt;16),"No. KK bukan 16 digit",IF(AND($F465="",$I465=""),"Alamat kosong",IF($N465="","Jabatan kosong",IF($O465="","No. HP kosong",IF(AND($R465&lt;&gt;"",$R465&lt;17),"Usia di bawah 17","")))))))))</f>
        <v/>
      </c>
      <c r="Z465" s="40" t="str">
        <f aca="false">IF($B465="","",IF(AND(OR(CARI!$C$5="",ISNUMBER(SEARCH(CARI!$C$5,$B465&amp;" "&amp;$C465&amp;" "&amp;$D465&amp;" "&amp;$O465&amp;" "&amp;$I465&amp;" "&amp;$F465&amp;" "&amp;$J465&amp;" "&amp;$K465&amp;" "&amp;$L465&amp;" "&amp;$V465))),OR(CARI!$C$6="",$F465=CARI!$C$6),OR(CARI!$C$7="",$G465=CARI!$C$7),OR(CARI!$C$8="",$T465=CARI!$C$8)),MAX($Z$3:Z464)+1,""))</f>
        <v/>
      </c>
      <c r="AA465" s="40" t="str">
        <f aca="false">IF($Y465="","",MAX($AA$3:AA464)+1)</f>
        <v/>
      </c>
      <c r="AB465" s="40" t="str">
        <f aca="false">IF($F465="","",$F465&amp;"#"&amp;COUNTIF($F$4:$F465,$F465))</f>
        <v/>
      </c>
      <c r="AC465" s="40" t="str">
        <f aca="false">IF($B465="","",IF(AND(OR(CETAK!$J$10="",$F465=CETAK!$J$10),OR(CETAK!$J$11="",$G465=CETAK!$J$11),OR(CETAK!$J$12="",$P465=CETAK!$J$12),OR(CETAK!$J$13="",$N465=CETAK!$J$13),OR(CETAK!$J$14="",$T465=CETAK!$J$14)),MAX($AC$3:AC464)+1,""))</f>
        <v/>
      </c>
      <c r="AD465" s="40" t="str">
        <f aca="false">IF($B465="","",IF(AND(OR(ABSENSI!$H$10="",$F465=ABSENSI!$H$10),OR(ABSENSI!$H$11="",$G465=ABSENSI!$H$11),OR(ABSENSI!$H$12="",$P465=ABSENSI!$H$12)),MAX($AD$3:AD464)+1,""))</f>
        <v/>
      </c>
      <c r="AE465" s="40" t="str">
        <f aca="false">IF($B465="","",IF(AND(OR(KARTU!$K$6="",$F465=KARTU!$K$6),OR(KARTU!$K$7="",$G465=KARTU!$K$7),OR(KARTU!$K$8="",$P465=KARTU!$K$8)),MAX($AE$3:AE464)+1,""))</f>
        <v/>
      </c>
    </row>
    <row r="466" customFormat="false" ht="15" hidden="false" customHeight="false" outlineLevel="0" collapsed="false">
      <c r="A466" s="35" t="str">
        <f aca="false">IF($B466="","",COUNTA($B$4:$B466))</f>
        <v/>
      </c>
      <c r="B466" s="36"/>
      <c r="C466" s="37"/>
      <c r="D466" s="37"/>
      <c r="E466" s="38"/>
      <c r="F466" s="36"/>
      <c r="G466" s="39"/>
      <c r="H466" s="39"/>
      <c r="I466" s="36"/>
      <c r="J466" s="36"/>
      <c r="K466" s="36"/>
      <c r="L466" s="36"/>
      <c r="M466" s="40" t="str">
        <f aca="false">IF($F466="","",$F466&amp;IF($G466="",""," - RT "&amp;$G466&amp;IF($H466="","","/"&amp;$H466)))</f>
        <v/>
      </c>
      <c r="N466" s="36"/>
      <c r="O466" s="37"/>
      <c r="P466" s="39"/>
      <c r="Q466" s="41"/>
      <c r="R466" s="35" t="str">
        <f aca="true">IF(OR($B466="",$Q466=""),"",DATEDIF($Q466,TODAY(),"Y"))</f>
        <v/>
      </c>
      <c r="S466" s="40" t="str">
        <f aca="false">IF($R466="","",INDEX(usia_label,MATCH($R466,usia_min,1)))</f>
        <v/>
      </c>
      <c r="T466" s="36"/>
      <c r="U466" s="41"/>
      <c r="V466" s="36"/>
      <c r="W466" s="36"/>
      <c r="X466" s="40" t="str">
        <f aca="false">IF($M466="","",$M466&amp;"#"&amp;COUNTIF($M$4:$M466,$M466))</f>
        <v/>
      </c>
      <c r="Y466" s="40" t="str">
        <f aca="false">IF($B466="","",IF($C466="","NIK kosong",IF(LEN($C466)&lt;&gt;16,"NIK bukan 16 digit",IF(COUNTIF($C$4:$C$2003,$C466&amp;"*")&gt;1,"NIK ganda",IF(AND($D466&lt;&gt;"",LEN($D466)&lt;&gt;16),"No. KK bukan 16 digit",IF(AND($F466="",$I466=""),"Alamat kosong",IF($N466="","Jabatan kosong",IF($O466="","No. HP kosong",IF(AND($R466&lt;&gt;"",$R466&lt;17),"Usia di bawah 17","")))))))))</f>
        <v/>
      </c>
      <c r="Z466" s="40" t="str">
        <f aca="false">IF($B466="","",IF(AND(OR(CARI!$C$5="",ISNUMBER(SEARCH(CARI!$C$5,$B466&amp;" "&amp;$C466&amp;" "&amp;$D466&amp;" "&amp;$O466&amp;" "&amp;$I466&amp;" "&amp;$F466&amp;" "&amp;$J466&amp;" "&amp;$K466&amp;" "&amp;$L466&amp;" "&amp;$V466))),OR(CARI!$C$6="",$F466=CARI!$C$6),OR(CARI!$C$7="",$G466=CARI!$C$7),OR(CARI!$C$8="",$T466=CARI!$C$8)),MAX($Z$3:Z465)+1,""))</f>
        <v/>
      </c>
      <c r="AA466" s="40" t="str">
        <f aca="false">IF($Y466="","",MAX($AA$3:AA465)+1)</f>
        <v/>
      </c>
      <c r="AB466" s="40" t="str">
        <f aca="false">IF($F466="","",$F466&amp;"#"&amp;COUNTIF($F$4:$F466,$F466))</f>
        <v/>
      </c>
      <c r="AC466" s="40" t="str">
        <f aca="false">IF($B466="","",IF(AND(OR(CETAK!$J$10="",$F466=CETAK!$J$10),OR(CETAK!$J$11="",$G466=CETAK!$J$11),OR(CETAK!$J$12="",$P466=CETAK!$J$12),OR(CETAK!$J$13="",$N466=CETAK!$J$13),OR(CETAK!$J$14="",$T466=CETAK!$J$14)),MAX($AC$3:AC465)+1,""))</f>
        <v/>
      </c>
      <c r="AD466" s="40" t="str">
        <f aca="false">IF($B466="","",IF(AND(OR(ABSENSI!$H$10="",$F466=ABSENSI!$H$10),OR(ABSENSI!$H$11="",$G466=ABSENSI!$H$11),OR(ABSENSI!$H$12="",$P466=ABSENSI!$H$12)),MAX($AD$3:AD465)+1,""))</f>
        <v/>
      </c>
      <c r="AE466" s="40" t="str">
        <f aca="false">IF($B466="","",IF(AND(OR(KARTU!$K$6="",$F466=KARTU!$K$6),OR(KARTU!$K$7="",$G466=KARTU!$K$7),OR(KARTU!$K$8="",$P466=KARTU!$K$8)),MAX($AE$3:AE465)+1,""))</f>
        <v/>
      </c>
    </row>
    <row r="467" customFormat="false" ht="15" hidden="false" customHeight="false" outlineLevel="0" collapsed="false">
      <c r="A467" s="35" t="str">
        <f aca="false">IF($B467="","",COUNTA($B$4:$B467))</f>
        <v/>
      </c>
      <c r="B467" s="36"/>
      <c r="C467" s="37"/>
      <c r="D467" s="37"/>
      <c r="E467" s="38"/>
      <c r="F467" s="36"/>
      <c r="G467" s="39"/>
      <c r="H467" s="39"/>
      <c r="I467" s="36"/>
      <c r="J467" s="36"/>
      <c r="K467" s="36"/>
      <c r="L467" s="36"/>
      <c r="M467" s="40" t="str">
        <f aca="false">IF($F467="","",$F467&amp;IF($G467="",""," - RT "&amp;$G467&amp;IF($H467="","","/"&amp;$H467)))</f>
        <v/>
      </c>
      <c r="N467" s="36"/>
      <c r="O467" s="37"/>
      <c r="P467" s="39"/>
      <c r="Q467" s="41"/>
      <c r="R467" s="35" t="str">
        <f aca="true">IF(OR($B467="",$Q467=""),"",DATEDIF($Q467,TODAY(),"Y"))</f>
        <v/>
      </c>
      <c r="S467" s="40" t="str">
        <f aca="false">IF($R467="","",INDEX(usia_label,MATCH($R467,usia_min,1)))</f>
        <v/>
      </c>
      <c r="T467" s="36"/>
      <c r="U467" s="41"/>
      <c r="V467" s="36"/>
      <c r="W467" s="36"/>
      <c r="X467" s="40" t="str">
        <f aca="false">IF($M467="","",$M467&amp;"#"&amp;COUNTIF($M$4:$M467,$M467))</f>
        <v/>
      </c>
      <c r="Y467" s="40" t="str">
        <f aca="false">IF($B467="","",IF($C467="","NIK kosong",IF(LEN($C467)&lt;&gt;16,"NIK bukan 16 digit",IF(COUNTIF($C$4:$C$2003,$C467&amp;"*")&gt;1,"NIK ganda",IF(AND($D467&lt;&gt;"",LEN($D467)&lt;&gt;16),"No. KK bukan 16 digit",IF(AND($F467="",$I467=""),"Alamat kosong",IF($N467="","Jabatan kosong",IF($O467="","No. HP kosong",IF(AND($R467&lt;&gt;"",$R467&lt;17),"Usia di bawah 17","")))))))))</f>
        <v/>
      </c>
      <c r="Z467" s="40" t="str">
        <f aca="false">IF($B467="","",IF(AND(OR(CARI!$C$5="",ISNUMBER(SEARCH(CARI!$C$5,$B467&amp;" "&amp;$C467&amp;" "&amp;$D467&amp;" "&amp;$O467&amp;" "&amp;$I467&amp;" "&amp;$F467&amp;" "&amp;$J467&amp;" "&amp;$K467&amp;" "&amp;$L467&amp;" "&amp;$V467))),OR(CARI!$C$6="",$F467=CARI!$C$6),OR(CARI!$C$7="",$G467=CARI!$C$7),OR(CARI!$C$8="",$T467=CARI!$C$8)),MAX($Z$3:Z466)+1,""))</f>
        <v/>
      </c>
      <c r="AA467" s="40" t="str">
        <f aca="false">IF($Y467="","",MAX($AA$3:AA466)+1)</f>
        <v/>
      </c>
      <c r="AB467" s="40" t="str">
        <f aca="false">IF($F467="","",$F467&amp;"#"&amp;COUNTIF($F$4:$F467,$F467))</f>
        <v/>
      </c>
      <c r="AC467" s="40" t="str">
        <f aca="false">IF($B467="","",IF(AND(OR(CETAK!$J$10="",$F467=CETAK!$J$10),OR(CETAK!$J$11="",$G467=CETAK!$J$11),OR(CETAK!$J$12="",$P467=CETAK!$J$12),OR(CETAK!$J$13="",$N467=CETAK!$J$13),OR(CETAK!$J$14="",$T467=CETAK!$J$14)),MAX($AC$3:AC466)+1,""))</f>
        <v/>
      </c>
      <c r="AD467" s="40" t="str">
        <f aca="false">IF($B467="","",IF(AND(OR(ABSENSI!$H$10="",$F467=ABSENSI!$H$10),OR(ABSENSI!$H$11="",$G467=ABSENSI!$H$11),OR(ABSENSI!$H$12="",$P467=ABSENSI!$H$12)),MAX($AD$3:AD466)+1,""))</f>
        <v/>
      </c>
      <c r="AE467" s="40" t="str">
        <f aca="false">IF($B467="","",IF(AND(OR(KARTU!$K$6="",$F467=KARTU!$K$6),OR(KARTU!$K$7="",$G467=KARTU!$K$7),OR(KARTU!$K$8="",$P467=KARTU!$K$8)),MAX($AE$3:AE466)+1,""))</f>
        <v/>
      </c>
    </row>
    <row r="468" customFormat="false" ht="15" hidden="false" customHeight="false" outlineLevel="0" collapsed="false">
      <c r="A468" s="35" t="str">
        <f aca="false">IF($B468="","",COUNTA($B$4:$B468))</f>
        <v/>
      </c>
      <c r="B468" s="36"/>
      <c r="C468" s="37"/>
      <c r="D468" s="37"/>
      <c r="E468" s="38"/>
      <c r="F468" s="36"/>
      <c r="G468" s="39"/>
      <c r="H468" s="39"/>
      <c r="I468" s="36"/>
      <c r="J468" s="36"/>
      <c r="K468" s="36"/>
      <c r="L468" s="36"/>
      <c r="M468" s="40" t="str">
        <f aca="false">IF($F468="","",$F468&amp;IF($G468="",""," - RT "&amp;$G468&amp;IF($H468="","","/"&amp;$H468)))</f>
        <v/>
      </c>
      <c r="N468" s="36"/>
      <c r="O468" s="37"/>
      <c r="P468" s="39"/>
      <c r="Q468" s="41"/>
      <c r="R468" s="35" t="str">
        <f aca="true">IF(OR($B468="",$Q468=""),"",DATEDIF($Q468,TODAY(),"Y"))</f>
        <v/>
      </c>
      <c r="S468" s="40" t="str">
        <f aca="false">IF($R468="","",INDEX(usia_label,MATCH($R468,usia_min,1)))</f>
        <v/>
      </c>
      <c r="T468" s="36"/>
      <c r="U468" s="41"/>
      <c r="V468" s="36"/>
      <c r="W468" s="36"/>
      <c r="X468" s="40" t="str">
        <f aca="false">IF($M468="","",$M468&amp;"#"&amp;COUNTIF($M$4:$M468,$M468))</f>
        <v/>
      </c>
      <c r="Y468" s="40" t="str">
        <f aca="false">IF($B468="","",IF($C468="","NIK kosong",IF(LEN($C468)&lt;&gt;16,"NIK bukan 16 digit",IF(COUNTIF($C$4:$C$2003,$C468&amp;"*")&gt;1,"NIK ganda",IF(AND($D468&lt;&gt;"",LEN($D468)&lt;&gt;16),"No. KK bukan 16 digit",IF(AND($F468="",$I468=""),"Alamat kosong",IF($N468="","Jabatan kosong",IF($O468="","No. HP kosong",IF(AND($R468&lt;&gt;"",$R468&lt;17),"Usia di bawah 17","")))))))))</f>
        <v/>
      </c>
      <c r="Z468" s="40" t="str">
        <f aca="false">IF($B468="","",IF(AND(OR(CARI!$C$5="",ISNUMBER(SEARCH(CARI!$C$5,$B468&amp;" "&amp;$C468&amp;" "&amp;$D468&amp;" "&amp;$O468&amp;" "&amp;$I468&amp;" "&amp;$F468&amp;" "&amp;$J468&amp;" "&amp;$K468&amp;" "&amp;$L468&amp;" "&amp;$V468))),OR(CARI!$C$6="",$F468=CARI!$C$6),OR(CARI!$C$7="",$G468=CARI!$C$7),OR(CARI!$C$8="",$T468=CARI!$C$8)),MAX($Z$3:Z467)+1,""))</f>
        <v/>
      </c>
      <c r="AA468" s="40" t="str">
        <f aca="false">IF($Y468="","",MAX($AA$3:AA467)+1)</f>
        <v/>
      </c>
      <c r="AB468" s="40" t="str">
        <f aca="false">IF($F468="","",$F468&amp;"#"&amp;COUNTIF($F$4:$F468,$F468))</f>
        <v/>
      </c>
      <c r="AC468" s="40" t="str">
        <f aca="false">IF($B468="","",IF(AND(OR(CETAK!$J$10="",$F468=CETAK!$J$10),OR(CETAK!$J$11="",$G468=CETAK!$J$11),OR(CETAK!$J$12="",$P468=CETAK!$J$12),OR(CETAK!$J$13="",$N468=CETAK!$J$13),OR(CETAK!$J$14="",$T468=CETAK!$J$14)),MAX($AC$3:AC467)+1,""))</f>
        <v/>
      </c>
      <c r="AD468" s="40" t="str">
        <f aca="false">IF($B468="","",IF(AND(OR(ABSENSI!$H$10="",$F468=ABSENSI!$H$10),OR(ABSENSI!$H$11="",$G468=ABSENSI!$H$11),OR(ABSENSI!$H$12="",$P468=ABSENSI!$H$12)),MAX($AD$3:AD467)+1,""))</f>
        <v/>
      </c>
      <c r="AE468" s="40" t="str">
        <f aca="false">IF($B468="","",IF(AND(OR(KARTU!$K$6="",$F468=KARTU!$K$6),OR(KARTU!$K$7="",$G468=KARTU!$K$7),OR(KARTU!$K$8="",$P468=KARTU!$K$8)),MAX($AE$3:AE467)+1,""))</f>
        <v/>
      </c>
    </row>
    <row r="469" customFormat="false" ht="15" hidden="false" customHeight="false" outlineLevel="0" collapsed="false">
      <c r="A469" s="35" t="str">
        <f aca="false">IF($B469="","",COUNTA($B$4:$B469))</f>
        <v/>
      </c>
      <c r="B469" s="36"/>
      <c r="C469" s="37"/>
      <c r="D469" s="37"/>
      <c r="E469" s="38"/>
      <c r="F469" s="36"/>
      <c r="G469" s="39"/>
      <c r="H469" s="39"/>
      <c r="I469" s="36"/>
      <c r="J469" s="36"/>
      <c r="K469" s="36"/>
      <c r="L469" s="36"/>
      <c r="M469" s="40" t="str">
        <f aca="false">IF($F469="","",$F469&amp;IF($G469="",""," - RT "&amp;$G469&amp;IF($H469="","","/"&amp;$H469)))</f>
        <v/>
      </c>
      <c r="N469" s="36"/>
      <c r="O469" s="37"/>
      <c r="P469" s="39"/>
      <c r="Q469" s="41"/>
      <c r="R469" s="35" t="str">
        <f aca="true">IF(OR($B469="",$Q469=""),"",DATEDIF($Q469,TODAY(),"Y"))</f>
        <v/>
      </c>
      <c r="S469" s="40" t="str">
        <f aca="false">IF($R469="","",INDEX(usia_label,MATCH($R469,usia_min,1)))</f>
        <v/>
      </c>
      <c r="T469" s="36"/>
      <c r="U469" s="41"/>
      <c r="V469" s="36"/>
      <c r="W469" s="36"/>
      <c r="X469" s="40" t="str">
        <f aca="false">IF($M469="","",$M469&amp;"#"&amp;COUNTIF($M$4:$M469,$M469))</f>
        <v/>
      </c>
      <c r="Y469" s="40" t="str">
        <f aca="false">IF($B469="","",IF($C469="","NIK kosong",IF(LEN($C469)&lt;&gt;16,"NIK bukan 16 digit",IF(COUNTIF($C$4:$C$2003,$C469&amp;"*")&gt;1,"NIK ganda",IF(AND($D469&lt;&gt;"",LEN($D469)&lt;&gt;16),"No. KK bukan 16 digit",IF(AND($F469="",$I469=""),"Alamat kosong",IF($N469="","Jabatan kosong",IF($O469="","No. HP kosong",IF(AND($R469&lt;&gt;"",$R469&lt;17),"Usia di bawah 17","")))))))))</f>
        <v/>
      </c>
      <c r="Z469" s="40" t="str">
        <f aca="false">IF($B469="","",IF(AND(OR(CARI!$C$5="",ISNUMBER(SEARCH(CARI!$C$5,$B469&amp;" "&amp;$C469&amp;" "&amp;$D469&amp;" "&amp;$O469&amp;" "&amp;$I469&amp;" "&amp;$F469&amp;" "&amp;$J469&amp;" "&amp;$K469&amp;" "&amp;$L469&amp;" "&amp;$V469))),OR(CARI!$C$6="",$F469=CARI!$C$6),OR(CARI!$C$7="",$G469=CARI!$C$7),OR(CARI!$C$8="",$T469=CARI!$C$8)),MAX($Z$3:Z468)+1,""))</f>
        <v/>
      </c>
      <c r="AA469" s="40" t="str">
        <f aca="false">IF($Y469="","",MAX($AA$3:AA468)+1)</f>
        <v/>
      </c>
      <c r="AB469" s="40" t="str">
        <f aca="false">IF($F469="","",$F469&amp;"#"&amp;COUNTIF($F$4:$F469,$F469))</f>
        <v/>
      </c>
      <c r="AC469" s="40" t="str">
        <f aca="false">IF($B469="","",IF(AND(OR(CETAK!$J$10="",$F469=CETAK!$J$10),OR(CETAK!$J$11="",$G469=CETAK!$J$11),OR(CETAK!$J$12="",$P469=CETAK!$J$12),OR(CETAK!$J$13="",$N469=CETAK!$J$13),OR(CETAK!$J$14="",$T469=CETAK!$J$14)),MAX($AC$3:AC468)+1,""))</f>
        <v/>
      </c>
      <c r="AD469" s="40" t="str">
        <f aca="false">IF($B469="","",IF(AND(OR(ABSENSI!$H$10="",$F469=ABSENSI!$H$10),OR(ABSENSI!$H$11="",$G469=ABSENSI!$H$11),OR(ABSENSI!$H$12="",$P469=ABSENSI!$H$12)),MAX($AD$3:AD468)+1,""))</f>
        <v/>
      </c>
      <c r="AE469" s="40" t="str">
        <f aca="false">IF($B469="","",IF(AND(OR(KARTU!$K$6="",$F469=KARTU!$K$6),OR(KARTU!$K$7="",$G469=KARTU!$K$7),OR(KARTU!$K$8="",$P469=KARTU!$K$8)),MAX($AE$3:AE468)+1,""))</f>
        <v/>
      </c>
    </row>
    <row r="470" customFormat="false" ht="15" hidden="false" customHeight="false" outlineLevel="0" collapsed="false">
      <c r="A470" s="35" t="str">
        <f aca="false">IF($B470="","",COUNTA($B$4:$B470))</f>
        <v/>
      </c>
      <c r="B470" s="36"/>
      <c r="C470" s="37"/>
      <c r="D470" s="37"/>
      <c r="E470" s="38"/>
      <c r="F470" s="36"/>
      <c r="G470" s="39"/>
      <c r="H470" s="39"/>
      <c r="I470" s="36"/>
      <c r="J470" s="36"/>
      <c r="K470" s="36"/>
      <c r="L470" s="36"/>
      <c r="M470" s="40" t="str">
        <f aca="false">IF($F470="","",$F470&amp;IF($G470="",""," - RT "&amp;$G470&amp;IF($H470="","","/"&amp;$H470)))</f>
        <v/>
      </c>
      <c r="N470" s="36"/>
      <c r="O470" s="37"/>
      <c r="P470" s="39"/>
      <c r="Q470" s="41"/>
      <c r="R470" s="35" t="str">
        <f aca="true">IF(OR($B470="",$Q470=""),"",DATEDIF($Q470,TODAY(),"Y"))</f>
        <v/>
      </c>
      <c r="S470" s="40" t="str">
        <f aca="false">IF($R470="","",INDEX(usia_label,MATCH($R470,usia_min,1)))</f>
        <v/>
      </c>
      <c r="T470" s="36"/>
      <c r="U470" s="41"/>
      <c r="V470" s="36"/>
      <c r="W470" s="36"/>
      <c r="X470" s="40" t="str">
        <f aca="false">IF($M470="","",$M470&amp;"#"&amp;COUNTIF($M$4:$M470,$M470))</f>
        <v/>
      </c>
      <c r="Y470" s="40" t="str">
        <f aca="false">IF($B470="","",IF($C470="","NIK kosong",IF(LEN($C470)&lt;&gt;16,"NIK bukan 16 digit",IF(COUNTIF($C$4:$C$2003,$C470&amp;"*")&gt;1,"NIK ganda",IF(AND($D470&lt;&gt;"",LEN($D470)&lt;&gt;16),"No. KK bukan 16 digit",IF(AND($F470="",$I470=""),"Alamat kosong",IF($N470="","Jabatan kosong",IF($O470="","No. HP kosong",IF(AND($R470&lt;&gt;"",$R470&lt;17),"Usia di bawah 17","")))))))))</f>
        <v/>
      </c>
      <c r="Z470" s="40" t="str">
        <f aca="false">IF($B470="","",IF(AND(OR(CARI!$C$5="",ISNUMBER(SEARCH(CARI!$C$5,$B470&amp;" "&amp;$C470&amp;" "&amp;$D470&amp;" "&amp;$O470&amp;" "&amp;$I470&amp;" "&amp;$F470&amp;" "&amp;$J470&amp;" "&amp;$K470&amp;" "&amp;$L470&amp;" "&amp;$V470))),OR(CARI!$C$6="",$F470=CARI!$C$6),OR(CARI!$C$7="",$G470=CARI!$C$7),OR(CARI!$C$8="",$T470=CARI!$C$8)),MAX($Z$3:Z469)+1,""))</f>
        <v/>
      </c>
      <c r="AA470" s="40" t="str">
        <f aca="false">IF($Y470="","",MAX($AA$3:AA469)+1)</f>
        <v/>
      </c>
      <c r="AB470" s="40" t="str">
        <f aca="false">IF($F470="","",$F470&amp;"#"&amp;COUNTIF($F$4:$F470,$F470))</f>
        <v/>
      </c>
      <c r="AC470" s="40" t="str">
        <f aca="false">IF($B470="","",IF(AND(OR(CETAK!$J$10="",$F470=CETAK!$J$10),OR(CETAK!$J$11="",$G470=CETAK!$J$11),OR(CETAK!$J$12="",$P470=CETAK!$J$12),OR(CETAK!$J$13="",$N470=CETAK!$J$13),OR(CETAK!$J$14="",$T470=CETAK!$J$14)),MAX($AC$3:AC469)+1,""))</f>
        <v/>
      </c>
      <c r="AD470" s="40" t="str">
        <f aca="false">IF($B470="","",IF(AND(OR(ABSENSI!$H$10="",$F470=ABSENSI!$H$10),OR(ABSENSI!$H$11="",$G470=ABSENSI!$H$11),OR(ABSENSI!$H$12="",$P470=ABSENSI!$H$12)),MAX($AD$3:AD469)+1,""))</f>
        <v/>
      </c>
      <c r="AE470" s="40" t="str">
        <f aca="false">IF($B470="","",IF(AND(OR(KARTU!$K$6="",$F470=KARTU!$K$6),OR(KARTU!$K$7="",$G470=KARTU!$K$7),OR(KARTU!$K$8="",$P470=KARTU!$K$8)),MAX($AE$3:AE469)+1,""))</f>
        <v/>
      </c>
    </row>
    <row r="471" customFormat="false" ht="15" hidden="false" customHeight="false" outlineLevel="0" collapsed="false">
      <c r="A471" s="35" t="str">
        <f aca="false">IF($B471="","",COUNTA($B$4:$B471))</f>
        <v/>
      </c>
      <c r="B471" s="36"/>
      <c r="C471" s="37"/>
      <c r="D471" s="37"/>
      <c r="E471" s="38"/>
      <c r="F471" s="36"/>
      <c r="G471" s="39"/>
      <c r="H471" s="39"/>
      <c r="I471" s="36"/>
      <c r="J471" s="36"/>
      <c r="K471" s="36"/>
      <c r="L471" s="36"/>
      <c r="M471" s="40" t="str">
        <f aca="false">IF($F471="","",$F471&amp;IF($G471="",""," - RT "&amp;$G471&amp;IF($H471="","","/"&amp;$H471)))</f>
        <v/>
      </c>
      <c r="N471" s="36"/>
      <c r="O471" s="37"/>
      <c r="P471" s="39"/>
      <c r="Q471" s="41"/>
      <c r="R471" s="35" t="str">
        <f aca="true">IF(OR($B471="",$Q471=""),"",DATEDIF($Q471,TODAY(),"Y"))</f>
        <v/>
      </c>
      <c r="S471" s="40" t="str">
        <f aca="false">IF($R471="","",INDEX(usia_label,MATCH($R471,usia_min,1)))</f>
        <v/>
      </c>
      <c r="T471" s="36"/>
      <c r="U471" s="41"/>
      <c r="V471" s="36"/>
      <c r="W471" s="36"/>
      <c r="X471" s="40" t="str">
        <f aca="false">IF($M471="","",$M471&amp;"#"&amp;COUNTIF($M$4:$M471,$M471))</f>
        <v/>
      </c>
      <c r="Y471" s="40" t="str">
        <f aca="false">IF($B471="","",IF($C471="","NIK kosong",IF(LEN($C471)&lt;&gt;16,"NIK bukan 16 digit",IF(COUNTIF($C$4:$C$2003,$C471&amp;"*")&gt;1,"NIK ganda",IF(AND($D471&lt;&gt;"",LEN($D471)&lt;&gt;16),"No. KK bukan 16 digit",IF(AND($F471="",$I471=""),"Alamat kosong",IF($N471="","Jabatan kosong",IF($O471="","No. HP kosong",IF(AND($R471&lt;&gt;"",$R471&lt;17),"Usia di bawah 17","")))))))))</f>
        <v/>
      </c>
      <c r="Z471" s="40" t="str">
        <f aca="false">IF($B471="","",IF(AND(OR(CARI!$C$5="",ISNUMBER(SEARCH(CARI!$C$5,$B471&amp;" "&amp;$C471&amp;" "&amp;$D471&amp;" "&amp;$O471&amp;" "&amp;$I471&amp;" "&amp;$F471&amp;" "&amp;$J471&amp;" "&amp;$K471&amp;" "&amp;$L471&amp;" "&amp;$V471))),OR(CARI!$C$6="",$F471=CARI!$C$6),OR(CARI!$C$7="",$G471=CARI!$C$7),OR(CARI!$C$8="",$T471=CARI!$C$8)),MAX($Z$3:Z470)+1,""))</f>
        <v/>
      </c>
      <c r="AA471" s="40" t="str">
        <f aca="false">IF($Y471="","",MAX($AA$3:AA470)+1)</f>
        <v/>
      </c>
      <c r="AB471" s="40" t="str">
        <f aca="false">IF($F471="","",$F471&amp;"#"&amp;COUNTIF($F$4:$F471,$F471))</f>
        <v/>
      </c>
      <c r="AC471" s="40" t="str">
        <f aca="false">IF($B471="","",IF(AND(OR(CETAK!$J$10="",$F471=CETAK!$J$10),OR(CETAK!$J$11="",$G471=CETAK!$J$11),OR(CETAK!$J$12="",$P471=CETAK!$J$12),OR(CETAK!$J$13="",$N471=CETAK!$J$13),OR(CETAK!$J$14="",$T471=CETAK!$J$14)),MAX($AC$3:AC470)+1,""))</f>
        <v/>
      </c>
      <c r="AD471" s="40" t="str">
        <f aca="false">IF($B471="","",IF(AND(OR(ABSENSI!$H$10="",$F471=ABSENSI!$H$10),OR(ABSENSI!$H$11="",$G471=ABSENSI!$H$11),OR(ABSENSI!$H$12="",$P471=ABSENSI!$H$12)),MAX($AD$3:AD470)+1,""))</f>
        <v/>
      </c>
      <c r="AE471" s="40" t="str">
        <f aca="false">IF($B471="","",IF(AND(OR(KARTU!$K$6="",$F471=KARTU!$K$6),OR(KARTU!$K$7="",$G471=KARTU!$K$7),OR(KARTU!$K$8="",$P471=KARTU!$K$8)),MAX($AE$3:AE470)+1,""))</f>
        <v/>
      </c>
    </row>
    <row r="472" customFormat="false" ht="15" hidden="false" customHeight="false" outlineLevel="0" collapsed="false">
      <c r="A472" s="35" t="str">
        <f aca="false">IF($B472="","",COUNTA($B$4:$B472))</f>
        <v/>
      </c>
      <c r="B472" s="36"/>
      <c r="C472" s="37"/>
      <c r="D472" s="37"/>
      <c r="E472" s="38"/>
      <c r="F472" s="36"/>
      <c r="G472" s="39"/>
      <c r="H472" s="39"/>
      <c r="I472" s="36"/>
      <c r="J472" s="36"/>
      <c r="K472" s="36"/>
      <c r="L472" s="36"/>
      <c r="M472" s="40" t="str">
        <f aca="false">IF($F472="","",$F472&amp;IF($G472="",""," - RT "&amp;$G472&amp;IF($H472="","","/"&amp;$H472)))</f>
        <v/>
      </c>
      <c r="N472" s="36"/>
      <c r="O472" s="37"/>
      <c r="P472" s="39"/>
      <c r="Q472" s="41"/>
      <c r="R472" s="35" t="str">
        <f aca="true">IF(OR($B472="",$Q472=""),"",DATEDIF($Q472,TODAY(),"Y"))</f>
        <v/>
      </c>
      <c r="S472" s="40" t="str">
        <f aca="false">IF($R472="","",INDEX(usia_label,MATCH($R472,usia_min,1)))</f>
        <v/>
      </c>
      <c r="T472" s="36"/>
      <c r="U472" s="41"/>
      <c r="V472" s="36"/>
      <c r="W472" s="36"/>
      <c r="X472" s="40" t="str">
        <f aca="false">IF($M472="","",$M472&amp;"#"&amp;COUNTIF($M$4:$M472,$M472))</f>
        <v/>
      </c>
      <c r="Y472" s="40" t="str">
        <f aca="false">IF($B472="","",IF($C472="","NIK kosong",IF(LEN($C472)&lt;&gt;16,"NIK bukan 16 digit",IF(COUNTIF($C$4:$C$2003,$C472&amp;"*")&gt;1,"NIK ganda",IF(AND($D472&lt;&gt;"",LEN($D472)&lt;&gt;16),"No. KK bukan 16 digit",IF(AND($F472="",$I472=""),"Alamat kosong",IF($N472="","Jabatan kosong",IF($O472="","No. HP kosong",IF(AND($R472&lt;&gt;"",$R472&lt;17),"Usia di bawah 17","")))))))))</f>
        <v/>
      </c>
      <c r="Z472" s="40" t="str">
        <f aca="false">IF($B472="","",IF(AND(OR(CARI!$C$5="",ISNUMBER(SEARCH(CARI!$C$5,$B472&amp;" "&amp;$C472&amp;" "&amp;$D472&amp;" "&amp;$O472&amp;" "&amp;$I472&amp;" "&amp;$F472&amp;" "&amp;$J472&amp;" "&amp;$K472&amp;" "&amp;$L472&amp;" "&amp;$V472))),OR(CARI!$C$6="",$F472=CARI!$C$6),OR(CARI!$C$7="",$G472=CARI!$C$7),OR(CARI!$C$8="",$T472=CARI!$C$8)),MAX($Z$3:Z471)+1,""))</f>
        <v/>
      </c>
      <c r="AA472" s="40" t="str">
        <f aca="false">IF($Y472="","",MAX($AA$3:AA471)+1)</f>
        <v/>
      </c>
      <c r="AB472" s="40" t="str">
        <f aca="false">IF($F472="","",$F472&amp;"#"&amp;COUNTIF($F$4:$F472,$F472))</f>
        <v/>
      </c>
      <c r="AC472" s="40" t="str">
        <f aca="false">IF($B472="","",IF(AND(OR(CETAK!$J$10="",$F472=CETAK!$J$10),OR(CETAK!$J$11="",$G472=CETAK!$J$11),OR(CETAK!$J$12="",$P472=CETAK!$J$12),OR(CETAK!$J$13="",$N472=CETAK!$J$13),OR(CETAK!$J$14="",$T472=CETAK!$J$14)),MAX($AC$3:AC471)+1,""))</f>
        <v/>
      </c>
      <c r="AD472" s="40" t="str">
        <f aca="false">IF($B472="","",IF(AND(OR(ABSENSI!$H$10="",$F472=ABSENSI!$H$10),OR(ABSENSI!$H$11="",$G472=ABSENSI!$H$11),OR(ABSENSI!$H$12="",$P472=ABSENSI!$H$12)),MAX($AD$3:AD471)+1,""))</f>
        <v/>
      </c>
      <c r="AE472" s="40" t="str">
        <f aca="false">IF($B472="","",IF(AND(OR(KARTU!$K$6="",$F472=KARTU!$K$6),OR(KARTU!$K$7="",$G472=KARTU!$K$7),OR(KARTU!$K$8="",$P472=KARTU!$K$8)),MAX($AE$3:AE471)+1,""))</f>
        <v/>
      </c>
    </row>
    <row r="473" customFormat="false" ht="15" hidden="false" customHeight="false" outlineLevel="0" collapsed="false">
      <c r="A473" s="35" t="str">
        <f aca="false">IF($B473="","",COUNTA($B$4:$B473))</f>
        <v/>
      </c>
      <c r="B473" s="36"/>
      <c r="C473" s="37"/>
      <c r="D473" s="37"/>
      <c r="E473" s="38"/>
      <c r="F473" s="36"/>
      <c r="G473" s="39"/>
      <c r="H473" s="39"/>
      <c r="I473" s="36"/>
      <c r="J473" s="36"/>
      <c r="K473" s="36"/>
      <c r="L473" s="36"/>
      <c r="M473" s="40" t="str">
        <f aca="false">IF($F473="","",$F473&amp;IF($G473="",""," - RT "&amp;$G473&amp;IF($H473="","","/"&amp;$H473)))</f>
        <v/>
      </c>
      <c r="N473" s="36"/>
      <c r="O473" s="37"/>
      <c r="P473" s="39"/>
      <c r="Q473" s="41"/>
      <c r="R473" s="35" t="str">
        <f aca="true">IF(OR($B473="",$Q473=""),"",DATEDIF($Q473,TODAY(),"Y"))</f>
        <v/>
      </c>
      <c r="S473" s="40" t="str">
        <f aca="false">IF($R473="","",INDEX(usia_label,MATCH($R473,usia_min,1)))</f>
        <v/>
      </c>
      <c r="T473" s="36"/>
      <c r="U473" s="41"/>
      <c r="V473" s="36"/>
      <c r="W473" s="36"/>
      <c r="X473" s="40" t="str">
        <f aca="false">IF($M473="","",$M473&amp;"#"&amp;COUNTIF($M$4:$M473,$M473))</f>
        <v/>
      </c>
      <c r="Y473" s="40" t="str">
        <f aca="false">IF($B473="","",IF($C473="","NIK kosong",IF(LEN($C473)&lt;&gt;16,"NIK bukan 16 digit",IF(COUNTIF($C$4:$C$2003,$C473&amp;"*")&gt;1,"NIK ganda",IF(AND($D473&lt;&gt;"",LEN($D473)&lt;&gt;16),"No. KK bukan 16 digit",IF(AND($F473="",$I473=""),"Alamat kosong",IF($N473="","Jabatan kosong",IF($O473="","No. HP kosong",IF(AND($R473&lt;&gt;"",$R473&lt;17),"Usia di bawah 17","")))))))))</f>
        <v/>
      </c>
      <c r="Z473" s="40" t="str">
        <f aca="false">IF($B473="","",IF(AND(OR(CARI!$C$5="",ISNUMBER(SEARCH(CARI!$C$5,$B473&amp;" "&amp;$C473&amp;" "&amp;$D473&amp;" "&amp;$O473&amp;" "&amp;$I473&amp;" "&amp;$F473&amp;" "&amp;$J473&amp;" "&amp;$K473&amp;" "&amp;$L473&amp;" "&amp;$V473))),OR(CARI!$C$6="",$F473=CARI!$C$6),OR(CARI!$C$7="",$G473=CARI!$C$7),OR(CARI!$C$8="",$T473=CARI!$C$8)),MAX($Z$3:Z472)+1,""))</f>
        <v/>
      </c>
      <c r="AA473" s="40" t="str">
        <f aca="false">IF($Y473="","",MAX($AA$3:AA472)+1)</f>
        <v/>
      </c>
      <c r="AB473" s="40" t="str">
        <f aca="false">IF($F473="","",$F473&amp;"#"&amp;COUNTIF($F$4:$F473,$F473))</f>
        <v/>
      </c>
      <c r="AC473" s="40" t="str">
        <f aca="false">IF($B473="","",IF(AND(OR(CETAK!$J$10="",$F473=CETAK!$J$10),OR(CETAK!$J$11="",$G473=CETAK!$J$11),OR(CETAK!$J$12="",$P473=CETAK!$J$12),OR(CETAK!$J$13="",$N473=CETAK!$J$13),OR(CETAK!$J$14="",$T473=CETAK!$J$14)),MAX($AC$3:AC472)+1,""))</f>
        <v/>
      </c>
      <c r="AD473" s="40" t="str">
        <f aca="false">IF($B473="","",IF(AND(OR(ABSENSI!$H$10="",$F473=ABSENSI!$H$10),OR(ABSENSI!$H$11="",$G473=ABSENSI!$H$11),OR(ABSENSI!$H$12="",$P473=ABSENSI!$H$12)),MAX($AD$3:AD472)+1,""))</f>
        <v/>
      </c>
      <c r="AE473" s="40" t="str">
        <f aca="false">IF($B473="","",IF(AND(OR(KARTU!$K$6="",$F473=KARTU!$K$6),OR(KARTU!$K$7="",$G473=KARTU!$K$7),OR(KARTU!$K$8="",$P473=KARTU!$K$8)),MAX($AE$3:AE472)+1,""))</f>
        <v/>
      </c>
    </row>
    <row r="474" customFormat="false" ht="15" hidden="false" customHeight="false" outlineLevel="0" collapsed="false">
      <c r="A474" s="35" t="str">
        <f aca="false">IF($B474="","",COUNTA($B$4:$B474))</f>
        <v/>
      </c>
      <c r="B474" s="36"/>
      <c r="C474" s="37"/>
      <c r="D474" s="37"/>
      <c r="E474" s="38"/>
      <c r="F474" s="36"/>
      <c r="G474" s="39"/>
      <c r="H474" s="39"/>
      <c r="I474" s="36"/>
      <c r="J474" s="36"/>
      <c r="K474" s="36"/>
      <c r="L474" s="36"/>
      <c r="M474" s="40" t="str">
        <f aca="false">IF($F474="","",$F474&amp;IF($G474="",""," - RT "&amp;$G474&amp;IF($H474="","","/"&amp;$H474)))</f>
        <v/>
      </c>
      <c r="N474" s="36"/>
      <c r="O474" s="37"/>
      <c r="P474" s="39"/>
      <c r="Q474" s="41"/>
      <c r="R474" s="35" t="str">
        <f aca="true">IF(OR($B474="",$Q474=""),"",DATEDIF($Q474,TODAY(),"Y"))</f>
        <v/>
      </c>
      <c r="S474" s="40" t="str">
        <f aca="false">IF($R474="","",INDEX(usia_label,MATCH($R474,usia_min,1)))</f>
        <v/>
      </c>
      <c r="T474" s="36"/>
      <c r="U474" s="41"/>
      <c r="V474" s="36"/>
      <c r="W474" s="36"/>
      <c r="X474" s="40" t="str">
        <f aca="false">IF($M474="","",$M474&amp;"#"&amp;COUNTIF($M$4:$M474,$M474))</f>
        <v/>
      </c>
      <c r="Y474" s="40" t="str">
        <f aca="false">IF($B474="","",IF($C474="","NIK kosong",IF(LEN($C474)&lt;&gt;16,"NIK bukan 16 digit",IF(COUNTIF($C$4:$C$2003,$C474&amp;"*")&gt;1,"NIK ganda",IF(AND($D474&lt;&gt;"",LEN($D474)&lt;&gt;16),"No. KK bukan 16 digit",IF(AND($F474="",$I474=""),"Alamat kosong",IF($N474="","Jabatan kosong",IF($O474="","No. HP kosong",IF(AND($R474&lt;&gt;"",$R474&lt;17),"Usia di bawah 17","")))))))))</f>
        <v/>
      </c>
      <c r="Z474" s="40" t="str">
        <f aca="false">IF($B474="","",IF(AND(OR(CARI!$C$5="",ISNUMBER(SEARCH(CARI!$C$5,$B474&amp;" "&amp;$C474&amp;" "&amp;$D474&amp;" "&amp;$O474&amp;" "&amp;$I474&amp;" "&amp;$F474&amp;" "&amp;$J474&amp;" "&amp;$K474&amp;" "&amp;$L474&amp;" "&amp;$V474))),OR(CARI!$C$6="",$F474=CARI!$C$6),OR(CARI!$C$7="",$G474=CARI!$C$7),OR(CARI!$C$8="",$T474=CARI!$C$8)),MAX($Z$3:Z473)+1,""))</f>
        <v/>
      </c>
      <c r="AA474" s="40" t="str">
        <f aca="false">IF($Y474="","",MAX($AA$3:AA473)+1)</f>
        <v/>
      </c>
      <c r="AB474" s="40" t="str">
        <f aca="false">IF($F474="","",$F474&amp;"#"&amp;COUNTIF($F$4:$F474,$F474))</f>
        <v/>
      </c>
      <c r="AC474" s="40" t="str">
        <f aca="false">IF($B474="","",IF(AND(OR(CETAK!$J$10="",$F474=CETAK!$J$10),OR(CETAK!$J$11="",$G474=CETAK!$J$11),OR(CETAK!$J$12="",$P474=CETAK!$J$12),OR(CETAK!$J$13="",$N474=CETAK!$J$13),OR(CETAK!$J$14="",$T474=CETAK!$J$14)),MAX($AC$3:AC473)+1,""))</f>
        <v/>
      </c>
      <c r="AD474" s="40" t="str">
        <f aca="false">IF($B474="","",IF(AND(OR(ABSENSI!$H$10="",$F474=ABSENSI!$H$10),OR(ABSENSI!$H$11="",$G474=ABSENSI!$H$11),OR(ABSENSI!$H$12="",$P474=ABSENSI!$H$12)),MAX($AD$3:AD473)+1,""))</f>
        <v/>
      </c>
      <c r="AE474" s="40" t="str">
        <f aca="false">IF($B474="","",IF(AND(OR(KARTU!$K$6="",$F474=KARTU!$K$6),OR(KARTU!$K$7="",$G474=KARTU!$K$7),OR(KARTU!$K$8="",$P474=KARTU!$K$8)),MAX($AE$3:AE473)+1,""))</f>
        <v/>
      </c>
    </row>
    <row r="475" customFormat="false" ht="15" hidden="false" customHeight="false" outlineLevel="0" collapsed="false">
      <c r="A475" s="35" t="str">
        <f aca="false">IF($B475="","",COUNTA($B$4:$B475))</f>
        <v/>
      </c>
      <c r="B475" s="36"/>
      <c r="C475" s="37"/>
      <c r="D475" s="37"/>
      <c r="E475" s="38"/>
      <c r="F475" s="36"/>
      <c r="G475" s="39"/>
      <c r="H475" s="39"/>
      <c r="I475" s="36"/>
      <c r="J475" s="36"/>
      <c r="K475" s="36"/>
      <c r="L475" s="36"/>
      <c r="M475" s="40" t="str">
        <f aca="false">IF($F475="","",$F475&amp;IF($G475="",""," - RT "&amp;$G475&amp;IF($H475="","","/"&amp;$H475)))</f>
        <v/>
      </c>
      <c r="N475" s="36"/>
      <c r="O475" s="37"/>
      <c r="P475" s="39"/>
      <c r="Q475" s="41"/>
      <c r="R475" s="35" t="str">
        <f aca="true">IF(OR($B475="",$Q475=""),"",DATEDIF($Q475,TODAY(),"Y"))</f>
        <v/>
      </c>
      <c r="S475" s="40" t="str">
        <f aca="false">IF($R475="","",INDEX(usia_label,MATCH($R475,usia_min,1)))</f>
        <v/>
      </c>
      <c r="T475" s="36"/>
      <c r="U475" s="41"/>
      <c r="V475" s="36"/>
      <c r="W475" s="36"/>
      <c r="X475" s="40" t="str">
        <f aca="false">IF($M475="","",$M475&amp;"#"&amp;COUNTIF($M$4:$M475,$M475))</f>
        <v/>
      </c>
      <c r="Y475" s="40" t="str">
        <f aca="false">IF($B475="","",IF($C475="","NIK kosong",IF(LEN($C475)&lt;&gt;16,"NIK bukan 16 digit",IF(COUNTIF($C$4:$C$2003,$C475&amp;"*")&gt;1,"NIK ganda",IF(AND($D475&lt;&gt;"",LEN($D475)&lt;&gt;16),"No. KK bukan 16 digit",IF(AND($F475="",$I475=""),"Alamat kosong",IF($N475="","Jabatan kosong",IF($O475="","No. HP kosong",IF(AND($R475&lt;&gt;"",$R475&lt;17),"Usia di bawah 17","")))))))))</f>
        <v/>
      </c>
      <c r="Z475" s="40" t="str">
        <f aca="false">IF($B475="","",IF(AND(OR(CARI!$C$5="",ISNUMBER(SEARCH(CARI!$C$5,$B475&amp;" "&amp;$C475&amp;" "&amp;$D475&amp;" "&amp;$O475&amp;" "&amp;$I475&amp;" "&amp;$F475&amp;" "&amp;$J475&amp;" "&amp;$K475&amp;" "&amp;$L475&amp;" "&amp;$V475))),OR(CARI!$C$6="",$F475=CARI!$C$6),OR(CARI!$C$7="",$G475=CARI!$C$7),OR(CARI!$C$8="",$T475=CARI!$C$8)),MAX($Z$3:Z474)+1,""))</f>
        <v/>
      </c>
      <c r="AA475" s="40" t="str">
        <f aca="false">IF($Y475="","",MAX($AA$3:AA474)+1)</f>
        <v/>
      </c>
      <c r="AB475" s="40" t="str">
        <f aca="false">IF($F475="","",$F475&amp;"#"&amp;COUNTIF($F$4:$F475,$F475))</f>
        <v/>
      </c>
      <c r="AC475" s="40" t="str">
        <f aca="false">IF($B475="","",IF(AND(OR(CETAK!$J$10="",$F475=CETAK!$J$10),OR(CETAK!$J$11="",$G475=CETAK!$J$11),OR(CETAK!$J$12="",$P475=CETAK!$J$12),OR(CETAK!$J$13="",$N475=CETAK!$J$13),OR(CETAK!$J$14="",$T475=CETAK!$J$14)),MAX($AC$3:AC474)+1,""))</f>
        <v/>
      </c>
      <c r="AD475" s="40" t="str">
        <f aca="false">IF($B475="","",IF(AND(OR(ABSENSI!$H$10="",$F475=ABSENSI!$H$10),OR(ABSENSI!$H$11="",$G475=ABSENSI!$H$11),OR(ABSENSI!$H$12="",$P475=ABSENSI!$H$12)),MAX($AD$3:AD474)+1,""))</f>
        <v/>
      </c>
      <c r="AE475" s="40" t="str">
        <f aca="false">IF($B475="","",IF(AND(OR(KARTU!$K$6="",$F475=KARTU!$K$6),OR(KARTU!$K$7="",$G475=KARTU!$K$7),OR(KARTU!$K$8="",$P475=KARTU!$K$8)),MAX($AE$3:AE474)+1,""))</f>
        <v/>
      </c>
    </row>
    <row r="476" customFormat="false" ht="15" hidden="false" customHeight="false" outlineLevel="0" collapsed="false">
      <c r="A476" s="35" t="str">
        <f aca="false">IF($B476="","",COUNTA($B$4:$B476))</f>
        <v/>
      </c>
      <c r="B476" s="36"/>
      <c r="C476" s="37"/>
      <c r="D476" s="37"/>
      <c r="E476" s="38"/>
      <c r="F476" s="36"/>
      <c r="G476" s="39"/>
      <c r="H476" s="39"/>
      <c r="I476" s="36"/>
      <c r="J476" s="36"/>
      <c r="K476" s="36"/>
      <c r="L476" s="36"/>
      <c r="M476" s="40" t="str">
        <f aca="false">IF($F476="","",$F476&amp;IF($G476="",""," - RT "&amp;$G476&amp;IF($H476="","","/"&amp;$H476)))</f>
        <v/>
      </c>
      <c r="N476" s="36"/>
      <c r="O476" s="37"/>
      <c r="P476" s="39"/>
      <c r="Q476" s="41"/>
      <c r="R476" s="35" t="str">
        <f aca="true">IF(OR($B476="",$Q476=""),"",DATEDIF($Q476,TODAY(),"Y"))</f>
        <v/>
      </c>
      <c r="S476" s="40" t="str">
        <f aca="false">IF($R476="","",INDEX(usia_label,MATCH($R476,usia_min,1)))</f>
        <v/>
      </c>
      <c r="T476" s="36"/>
      <c r="U476" s="41"/>
      <c r="V476" s="36"/>
      <c r="W476" s="36"/>
      <c r="X476" s="40" t="str">
        <f aca="false">IF($M476="","",$M476&amp;"#"&amp;COUNTIF($M$4:$M476,$M476))</f>
        <v/>
      </c>
      <c r="Y476" s="40" t="str">
        <f aca="false">IF($B476="","",IF($C476="","NIK kosong",IF(LEN($C476)&lt;&gt;16,"NIK bukan 16 digit",IF(COUNTIF($C$4:$C$2003,$C476&amp;"*")&gt;1,"NIK ganda",IF(AND($D476&lt;&gt;"",LEN($D476)&lt;&gt;16),"No. KK bukan 16 digit",IF(AND($F476="",$I476=""),"Alamat kosong",IF($N476="","Jabatan kosong",IF($O476="","No. HP kosong",IF(AND($R476&lt;&gt;"",$R476&lt;17),"Usia di bawah 17","")))))))))</f>
        <v/>
      </c>
      <c r="Z476" s="40" t="str">
        <f aca="false">IF($B476="","",IF(AND(OR(CARI!$C$5="",ISNUMBER(SEARCH(CARI!$C$5,$B476&amp;" "&amp;$C476&amp;" "&amp;$D476&amp;" "&amp;$O476&amp;" "&amp;$I476&amp;" "&amp;$F476&amp;" "&amp;$J476&amp;" "&amp;$K476&amp;" "&amp;$L476&amp;" "&amp;$V476))),OR(CARI!$C$6="",$F476=CARI!$C$6),OR(CARI!$C$7="",$G476=CARI!$C$7),OR(CARI!$C$8="",$T476=CARI!$C$8)),MAX($Z$3:Z475)+1,""))</f>
        <v/>
      </c>
      <c r="AA476" s="40" t="str">
        <f aca="false">IF($Y476="","",MAX($AA$3:AA475)+1)</f>
        <v/>
      </c>
      <c r="AB476" s="40" t="str">
        <f aca="false">IF($F476="","",$F476&amp;"#"&amp;COUNTIF($F$4:$F476,$F476))</f>
        <v/>
      </c>
      <c r="AC476" s="40" t="str">
        <f aca="false">IF($B476="","",IF(AND(OR(CETAK!$J$10="",$F476=CETAK!$J$10),OR(CETAK!$J$11="",$G476=CETAK!$J$11),OR(CETAK!$J$12="",$P476=CETAK!$J$12),OR(CETAK!$J$13="",$N476=CETAK!$J$13),OR(CETAK!$J$14="",$T476=CETAK!$J$14)),MAX($AC$3:AC475)+1,""))</f>
        <v/>
      </c>
      <c r="AD476" s="40" t="str">
        <f aca="false">IF($B476="","",IF(AND(OR(ABSENSI!$H$10="",$F476=ABSENSI!$H$10),OR(ABSENSI!$H$11="",$G476=ABSENSI!$H$11),OR(ABSENSI!$H$12="",$P476=ABSENSI!$H$12)),MAX($AD$3:AD475)+1,""))</f>
        <v/>
      </c>
      <c r="AE476" s="40" t="str">
        <f aca="false">IF($B476="","",IF(AND(OR(KARTU!$K$6="",$F476=KARTU!$K$6),OR(KARTU!$K$7="",$G476=KARTU!$K$7),OR(KARTU!$K$8="",$P476=KARTU!$K$8)),MAX($AE$3:AE475)+1,""))</f>
        <v/>
      </c>
    </row>
    <row r="477" customFormat="false" ht="15" hidden="false" customHeight="false" outlineLevel="0" collapsed="false">
      <c r="A477" s="35" t="str">
        <f aca="false">IF($B477="","",COUNTA($B$4:$B477))</f>
        <v/>
      </c>
      <c r="B477" s="36"/>
      <c r="C477" s="37"/>
      <c r="D477" s="37"/>
      <c r="E477" s="38"/>
      <c r="F477" s="36"/>
      <c r="G477" s="39"/>
      <c r="H477" s="39"/>
      <c r="I477" s="36"/>
      <c r="J477" s="36"/>
      <c r="K477" s="36"/>
      <c r="L477" s="36"/>
      <c r="M477" s="40" t="str">
        <f aca="false">IF($F477="","",$F477&amp;IF($G477="",""," - RT "&amp;$G477&amp;IF($H477="","","/"&amp;$H477)))</f>
        <v/>
      </c>
      <c r="N477" s="36"/>
      <c r="O477" s="37"/>
      <c r="P477" s="39"/>
      <c r="Q477" s="41"/>
      <c r="R477" s="35" t="str">
        <f aca="true">IF(OR($B477="",$Q477=""),"",DATEDIF($Q477,TODAY(),"Y"))</f>
        <v/>
      </c>
      <c r="S477" s="40" t="str">
        <f aca="false">IF($R477="","",INDEX(usia_label,MATCH($R477,usia_min,1)))</f>
        <v/>
      </c>
      <c r="T477" s="36"/>
      <c r="U477" s="41"/>
      <c r="V477" s="36"/>
      <c r="W477" s="36"/>
      <c r="X477" s="40" t="str">
        <f aca="false">IF($M477="","",$M477&amp;"#"&amp;COUNTIF($M$4:$M477,$M477))</f>
        <v/>
      </c>
      <c r="Y477" s="40" t="str">
        <f aca="false">IF($B477="","",IF($C477="","NIK kosong",IF(LEN($C477)&lt;&gt;16,"NIK bukan 16 digit",IF(COUNTIF($C$4:$C$2003,$C477&amp;"*")&gt;1,"NIK ganda",IF(AND($D477&lt;&gt;"",LEN($D477)&lt;&gt;16),"No. KK bukan 16 digit",IF(AND($F477="",$I477=""),"Alamat kosong",IF($N477="","Jabatan kosong",IF($O477="","No. HP kosong",IF(AND($R477&lt;&gt;"",$R477&lt;17),"Usia di bawah 17","")))))))))</f>
        <v/>
      </c>
      <c r="Z477" s="40" t="str">
        <f aca="false">IF($B477="","",IF(AND(OR(CARI!$C$5="",ISNUMBER(SEARCH(CARI!$C$5,$B477&amp;" "&amp;$C477&amp;" "&amp;$D477&amp;" "&amp;$O477&amp;" "&amp;$I477&amp;" "&amp;$F477&amp;" "&amp;$J477&amp;" "&amp;$K477&amp;" "&amp;$L477&amp;" "&amp;$V477))),OR(CARI!$C$6="",$F477=CARI!$C$6),OR(CARI!$C$7="",$G477=CARI!$C$7),OR(CARI!$C$8="",$T477=CARI!$C$8)),MAX($Z$3:Z476)+1,""))</f>
        <v/>
      </c>
      <c r="AA477" s="40" t="str">
        <f aca="false">IF($Y477="","",MAX($AA$3:AA476)+1)</f>
        <v/>
      </c>
      <c r="AB477" s="40" t="str">
        <f aca="false">IF($F477="","",$F477&amp;"#"&amp;COUNTIF($F$4:$F477,$F477))</f>
        <v/>
      </c>
      <c r="AC477" s="40" t="str">
        <f aca="false">IF($B477="","",IF(AND(OR(CETAK!$J$10="",$F477=CETAK!$J$10),OR(CETAK!$J$11="",$G477=CETAK!$J$11),OR(CETAK!$J$12="",$P477=CETAK!$J$12),OR(CETAK!$J$13="",$N477=CETAK!$J$13),OR(CETAK!$J$14="",$T477=CETAK!$J$14)),MAX($AC$3:AC476)+1,""))</f>
        <v/>
      </c>
      <c r="AD477" s="40" t="str">
        <f aca="false">IF($B477="","",IF(AND(OR(ABSENSI!$H$10="",$F477=ABSENSI!$H$10),OR(ABSENSI!$H$11="",$G477=ABSENSI!$H$11),OR(ABSENSI!$H$12="",$P477=ABSENSI!$H$12)),MAX($AD$3:AD476)+1,""))</f>
        <v/>
      </c>
      <c r="AE477" s="40" t="str">
        <f aca="false">IF($B477="","",IF(AND(OR(KARTU!$K$6="",$F477=KARTU!$K$6),OR(KARTU!$K$7="",$G477=KARTU!$K$7),OR(KARTU!$K$8="",$P477=KARTU!$K$8)),MAX($AE$3:AE476)+1,""))</f>
        <v/>
      </c>
    </row>
    <row r="478" customFormat="false" ht="15" hidden="false" customHeight="false" outlineLevel="0" collapsed="false">
      <c r="A478" s="35" t="str">
        <f aca="false">IF($B478="","",COUNTA($B$4:$B478))</f>
        <v/>
      </c>
      <c r="B478" s="36"/>
      <c r="C478" s="37"/>
      <c r="D478" s="37"/>
      <c r="E478" s="38"/>
      <c r="F478" s="36"/>
      <c r="G478" s="39"/>
      <c r="H478" s="39"/>
      <c r="I478" s="36"/>
      <c r="J478" s="36"/>
      <c r="K478" s="36"/>
      <c r="L478" s="36"/>
      <c r="M478" s="40" t="str">
        <f aca="false">IF($F478="","",$F478&amp;IF($G478="",""," - RT "&amp;$G478&amp;IF($H478="","","/"&amp;$H478)))</f>
        <v/>
      </c>
      <c r="N478" s="36"/>
      <c r="O478" s="37"/>
      <c r="P478" s="39"/>
      <c r="Q478" s="41"/>
      <c r="R478" s="35" t="str">
        <f aca="true">IF(OR($B478="",$Q478=""),"",DATEDIF($Q478,TODAY(),"Y"))</f>
        <v/>
      </c>
      <c r="S478" s="40" t="str">
        <f aca="false">IF($R478="","",INDEX(usia_label,MATCH($R478,usia_min,1)))</f>
        <v/>
      </c>
      <c r="T478" s="36"/>
      <c r="U478" s="41"/>
      <c r="V478" s="36"/>
      <c r="W478" s="36"/>
      <c r="X478" s="40" t="str">
        <f aca="false">IF($M478="","",$M478&amp;"#"&amp;COUNTIF($M$4:$M478,$M478))</f>
        <v/>
      </c>
      <c r="Y478" s="40" t="str">
        <f aca="false">IF($B478="","",IF($C478="","NIK kosong",IF(LEN($C478)&lt;&gt;16,"NIK bukan 16 digit",IF(COUNTIF($C$4:$C$2003,$C478&amp;"*")&gt;1,"NIK ganda",IF(AND($D478&lt;&gt;"",LEN($D478)&lt;&gt;16),"No. KK bukan 16 digit",IF(AND($F478="",$I478=""),"Alamat kosong",IF($N478="","Jabatan kosong",IF($O478="","No. HP kosong",IF(AND($R478&lt;&gt;"",$R478&lt;17),"Usia di bawah 17","")))))))))</f>
        <v/>
      </c>
      <c r="Z478" s="40" t="str">
        <f aca="false">IF($B478="","",IF(AND(OR(CARI!$C$5="",ISNUMBER(SEARCH(CARI!$C$5,$B478&amp;" "&amp;$C478&amp;" "&amp;$D478&amp;" "&amp;$O478&amp;" "&amp;$I478&amp;" "&amp;$F478&amp;" "&amp;$J478&amp;" "&amp;$K478&amp;" "&amp;$L478&amp;" "&amp;$V478))),OR(CARI!$C$6="",$F478=CARI!$C$6),OR(CARI!$C$7="",$G478=CARI!$C$7),OR(CARI!$C$8="",$T478=CARI!$C$8)),MAX($Z$3:Z477)+1,""))</f>
        <v/>
      </c>
      <c r="AA478" s="40" t="str">
        <f aca="false">IF($Y478="","",MAX($AA$3:AA477)+1)</f>
        <v/>
      </c>
      <c r="AB478" s="40" t="str">
        <f aca="false">IF($F478="","",$F478&amp;"#"&amp;COUNTIF($F$4:$F478,$F478))</f>
        <v/>
      </c>
      <c r="AC478" s="40" t="str">
        <f aca="false">IF($B478="","",IF(AND(OR(CETAK!$J$10="",$F478=CETAK!$J$10),OR(CETAK!$J$11="",$G478=CETAK!$J$11),OR(CETAK!$J$12="",$P478=CETAK!$J$12),OR(CETAK!$J$13="",$N478=CETAK!$J$13),OR(CETAK!$J$14="",$T478=CETAK!$J$14)),MAX($AC$3:AC477)+1,""))</f>
        <v/>
      </c>
      <c r="AD478" s="40" t="str">
        <f aca="false">IF($B478="","",IF(AND(OR(ABSENSI!$H$10="",$F478=ABSENSI!$H$10),OR(ABSENSI!$H$11="",$G478=ABSENSI!$H$11),OR(ABSENSI!$H$12="",$P478=ABSENSI!$H$12)),MAX($AD$3:AD477)+1,""))</f>
        <v/>
      </c>
      <c r="AE478" s="40" t="str">
        <f aca="false">IF($B478="","",IF(AND(OR(KARTU!$K$6="",$F478=KARTU!$K$6),OR(KARTU!$K$7="",$G478=KARTU!$K$7),OR(KARTU!$K$8="",$P478=KARTU!$K$8)),MAX($AE$3:AE477)+1,""))</f>
        <v/>
      </c>
    </row>
    <row r="479" customFormat="false" ht="15" hidden="false" customHeight="false" outlineLevel="0" collapsed="false">
      <c r="A479" s="35" t="str">
        <f aca="false">IF($B479="","",COUNTA($B$4:$B479))</f>
        <v/>
      </c>
      <c r="B479" s="36"/>
      <c r="C479" s="37"/>
      <c r="D479" s="37"/>
      <c r="E479" s="38"/>
      <c r="F479" s="36"/>
      <c r="G479" s="39"/>
      <c r="H479" s="39"/>
      <c r="I479" s="36"/>
      <c r="J479" s="36"/>
      <c r="K479" s="36"/>
      <c r="L479" s="36"/>
      <c r="M479" s="40" t="str">
        <f aca="false">IF($F479="","",$F479&amp;IF($G479="",""," - RT "&amp;$G479&amp;IF($H479="","","/"&amp;$H479)))</f>
        <v/>
      </c>
      <c r="N479" s="36"/>
      <c r="O479" s="37"/>
      <c r="P479" s="39"/>
      <c r="Q479" s="41"/>
      <c r="R479" s="35" t="str">
        <f aca="true">IF(OR($B479="",$Q479=""),"",DATEDIF($Q479,TODAY(),"Y"))</f>
        <v/>
      </c>
      <c r="S479" s="40" t="str">
        <f aca="false">IF($R479="","",INDEX(usia_label,MATCH($R479,usia_min,1)))</f>
        <v/>
      </c>
      <c r="T479" s="36"/>
      <c r="U479" s="41"/>
      <c r="V479" s="36"/>
      <c r="W479" s="36"/>
      <c r="X479" s="40" t="str">
        <f aca="false">IF($M479="","",$M479&amp;"#"&amp;COUNTIF($M$4:$M479,$M479))</f>
        <v/>
      </c>
      <c r="Y479" s="40" t="str">
        <f aca="false">IF($B479="","",IF($C479="","NIK kosong",IF(LEN($C479)&lt;&gt;16,"NIK bukan 16 digit",IF(COUNTIF($C$4:$C$2003,$C479&amp;"*")&gt;1,"NIK ganda",IF(AND($D479&lt;&gt;"",LEN($D479)&lt;&gt;16),"No. KK bukan 16 digit",IF(AND($F479="",$I479=""),"Alamat kosong",IF($N479="","Jabatan kosong",IF($O479="","No. HP kosong",IF(AND($R479&lt;&gt;"",$R479&lt;17),"Usia di bawah 17","")))))))))</f>
        <v/>
      </c>
      <c r="Z479" s="40" t="str">
        <f aca="false">IF($B479="","",IF(AND(OR(CARI!$C$5="",ISNUMBER(SEARCH(CARI!$C$5,$B479&amp;" "&amp;$C479&amp;" "&amp;$D479&amp;" "&amp;$O479&amp;" "&amp;$I479&amp;" "&amp;$F479&amp;" "&amp;$J479&amp;" "&amp;$K479&amp;" "&amp;$L479&amp;" "&amp;$V479))),OR(CARI!$C$6="",$F479=CARI!$C$6),OR(CARI!$C$7="",$G479=CARI!$C$7),OR(CARI!$C$8="",$T479=CARI!$C$8)),MAX($Z$3:Z478)+1,""))</f>
        <v/>
      </c>
      <c r="AA479" s="40" t="str">
        <f aca="false">IF($Y479="","",MAX($AA$3:AA478)+1)</f>
        <v/>
      </c>
      <c r="AB479" s="40" t="str">
        <f aca="false">IF($F479="","",$F479&amp;"#"&amp;COUNTIF($F$4:$F479,$F479))</f>
        <v/>
      </c>
      <c r="AC479" s="40" t="str">
        <f aca="false">IF($B479="","",IF(AND(OR(CETAK!$J$10="",$F479=CETAK!$J$10),OR(CETAK!$J$11="",$G479=CETAK!$J$11),OR(CETAK!$J$12="",$P479=CETAK!$J$12),OR(CETAK!$J$13="",$N479=CETAK!$J$13),OR(CETAK!$J$14="",$T479=CETAK!$J$14)),MAX($AC$3:AC478)+1,""))</f>
        <v/>
      </c>
      <c r="AD479" s="40" t="str">
        <f aca="false">IF($B479="","",IF(AND(OR(ABSENSI!$H$10="",$F479=ABSENSI!$H$10),OR(ABSENSI!$H$11="",$G479=ABSENSI!$H$11),OR(ABSENSI!$H$12="",$P479=ABSENSI!$H$12)),MAX($AD$3:AD478)+1,""))</f>
        <v/>
      </c>
      <c r="AE479" s="40" t="str">
        <f aca="false">IF($B479="","",IF(AND(OR(KARTU!$K$6="",$F479=KARTU!$K$6),OR(KARTU!$K$7="",$G479=KARTU!$K$7),OR(KARTU!$K$8="",$P479=KARTU!$K$8)),MAX($AE$3:AE478)+1,""))</f>
        <v/>
      </c>
    </row>
    <row r="480" customFormat="false" ht="15" hidden="false" customHeight="false" outlineLevel="0" collapsed="false">
      <c r="A480" s="35" t="str">
        <f aca="false">IF($B480="","",COUNTA($B$4:$B480))</f>
        <v/>
      </c>
      <c r="B480" s="36"/>
      <c r="C480" s="37"/>
      <c r="D480" s="37"/>
      <c r="E480" s="38"/>
      <c r="F480" s="36"/>
      <c r="G480" s="39"/>
      <c r="H480" s="39"/>
      <c r="I480" s="36"/>
      <c r="J480" s="36"/>
      <c r="K480" s="36"/>
      <c r="L480" s="36"/>
      <c r="M480" s="40" t="str">
        <f aca="false">IF($F480="","",$F480&amp;IF($G480="",""," - RT "&amp;$G480&amp;IF($H480="","","/"&amp;$H480)))</f>
        <v/>
      </c>
      <c r="N480" s="36"/>
      <c r="O480" s="37"/>
      <c r="P480" s="39"/>
      <c r="Q480" s="41"/>
      <c r="R480" s="35" t="str">
        <f aca="true">IF(OR($B480="",$Q480=""),"",DATEDIF($Q480,TODAY(),"Y"))</f>
        <v/>
      </c>
      <c r="S480" s="40" t="str">
        <f aca="false">IF($R480="","",INDEX(usia_label,MATCH($R480,usia_min,1)))</f>
        <v/>
      </c>
      <c r="T480" s="36"/>
      <c r="U480" s="41"/>
      <c r="V480" s="36"/>
      <c r="W480" s="36"/>
      <c r="X480" s="40" t="str">
        <f aca="false">IF($M480="","",$M480&amp;"#"&amp;COUNTIF($M$4:$M480,$M480))</f>
        <v/>
      </c>
      <c r="Y480" s="40" t="str">
        <f aca="false">IF($B480="","",IF($C480="","NIK kosong",IF(LEN($C480)&lt;&gt;16,"NIK bukan 16 digit",IF(COUNTIF($C$4:$C$2003,$C480&amp;"*")&gt;1,"NIK ganda",IF(AND($D480&lt;&gt;"",LEN($D480)&lt;&gt;16),"No. KK bukan 16 digit",IF(AND($F480="",$I480=""),"Alamat kosong",IF($N480="","Jabatan kosong",IF($O480="","No. HP kosong",IF(AND($R480&lt;&gt;"",$R480&lt;17),"Usia di bawah 17","")))))))))</f>
        <v/>
      </c>
      <c r="Z480" s="40" t="str">
        <f aca="false">IF($B480="","",IF(AND(OR(CARI!$C$5="",ISNUMBER(SEARCH(CARI!$C$5,$B480&amp;" "&amp;$C480&amp;" "&amp;$D480&amp;" "&amp;$O480&amp;" "&amp;$I480&amp;" "&amp;$F480&amp;" "&amp;$J480&amp;" "&amp;$K480&amp;" "&amp;$L480&amp;" "&amp;$V480))),OR(CARI!$C$6="",$F480=CARI!$C$6),OR(CARI!$C$7="",$G480=CARI!$C$7),OR(CARI!$C$8="",$T480=CARI!$C$8)),MAX($Z$3:Z479)+1,""))</f>
        <v/>
      </c>
      <c r="AA480" s="40" t="str">
        <f aca="false">IF($Y480="","",MAX($AA$3:AA479)+1)</f>
        <v/>
      </c>
      <c r="AB480" s="40" t="str">
        <f aca="false">IF($F480="","",$F480&amp;"#"&amp;COUNTIF($F$4:$F480,$F480))</f>
        <v/>
      </c>
      <c r="AC480" s="40" t="str">
        <f aca="false">IF($B480="","",IF(AND(OR(CETAK!$J$10="",$F480=CETAK!$J$10),OR(CETAK!$J$11="",$G480=CETAK!$J$11),OR(CETAK!$J$12="",$P480=CETAK!$J$12),OR(CETAK!$J$13="",$N480=CETAK!$J$13),OR(CETAK!$J$14="",$T480=CETAK!$J$14)),MAX($AC$3:AC479)+1,""))</f>
        <v/>
      </c>
      <c r="AD480" s="40" t="str">
        <f aca="false">IF($B480="","",IF(AND(OR(ABSENSI!$H$10="",$F480=ABSENSI!$H$10),OR(ABSENSI!$H$11="",$G480=ABSENSI!$H$11),OR(ABSENSI!$H$12="",$P480=ABSENSI!$H$12)),MAX($AD$3:AD479)+1,""))</f>
        <v/>
      </c>
      <c r="AE480" s="40" t="str">
        <f aca="false">IF($B480="","",IF(AND(OR(KARTU!$K$6="",$F480=KARTU!$K$6),OR(KARTU!$K$7="",$G480=KARTU!$K$7),OR(KARTU!$K$8="",$P480=KARTU!$K$8)),MAX($AE$3:AE479)+1,""))</f>
        <v/>
      </c>
    </row>
    <row r="481" customFormat="false" ht="15" hidden="false" customHeight="false" outlineLevel="0" collapsed="false">
      <c r="A481" s="35" t="str">
        <f aca="false">IF($B481="","",COUNTA($B$4:$B481))</f>
        <v/>
      </c>
      <c r="B481" s="36"/>
      <c r="C481" s="37"/>
      <c r="D481" s="37"/>
      <c r="E481" s="38"/>
      <c r="F481" s="36"/>
      <c r="G481" s="39"/>
      <c r="H481" s="39"/>
      <c r="I481" s="36"/>
      <c r="J481" s="36"/>
      <c r="K481" s="36"/>
      <c r="L481" s="36"/>
      <c r="M481" s="40" t="str">
        <f aca="false">IF($F481="","",$F481&amp;IF($G481="",""," - RT "&amp;$G481&amp;IF($H481="","","/"&amp;$H481)))</f>
        <v/>
      </c>
      <c r="N481" s="36"/>
      <c r="O481" s="37"/>
      <c r="P481" s="39"/>
      <c r="Q481" s="41"/>
      <c r="R481" s="35" t="str">
        <f aca="true">IF(OR($B481="",$Q481=""),"",DATEDIF($Q481,TODAY(),"Y"))</f>
        <v/>
      </c>
      <c r="S481" s="40" t="str">
        <f aca="false">IF($R481="","",INDEX(usia_label,MATCH($R481,usia_min,1)))</f>
        <v/>
      </c>
      <c r="T481" s="36"/>
      <c r="U481" s="41"/>
      <c r="V481" s="36"/>
      <c r="W481" s="36"/>
      <c r="X481" s="40" t="str">
        <f aca="false">IF($M481="","",$M481&amp;"#"&amp;COUNTIF($M$4:$M481,$M481))</f>
        <v/>
      </c>
      <c r="Y481" s="40" t="str">
        <f aca="false">IF($B481="","",IF($C481="","NIK kosong",IF(LEN($C481)&lt;&gt;16,"NIK bukan 16 digit",IF(COUNTIF($C$4:$C$2003,$C481&amp;"*")&gt;1,"NIK ganda",IF(AND($D481&lt;&gt;"",LEN($D481)&lt;&gt;16),"No. KK bukan 16 digit",IF(AND($F481="",$I481=""),"Alamat kosong",IF($N481="","Jabatan kosong",IF($O481="","No. HP kosong",IF(AND($R481&lt;&gt;"",$R481&lt;17),"Usia di bawah 17","")))))))))</f>
        <v/>
      </c>
      <c r="Z481" s="40" t="str">
        <f aca="false">IF($B481="","",IF(AND(OR(CARI!$C$5="",ISNUMBER(SEARCH(CARI!$C$5,$B481&amp;" "&amp;$C481&amp;" "&amp;$D481&amp;" "&amp;$O481&amp;" "&amp;$I481&amp;" "&amp;$F481&amp;" "&amp;$J481&amp;" "&amp;$K481&amp;" "&amp;$L481&amp;" "&amp;$V481))),OR(CARI!$C$6="",$F481=CARI!$C$6),OR(CARI!$C$7="",$G481=CARI!$C$7),OR(CARI!$C$8="",$T481=CARI!$C$8)),MAX($Z$3:Z480)+1,""))</f>
        <v/>
      </c>
      <c r="AA481" s="40" t="str">
        <f aca="false">IF($Y481="","",MAX($AA$3:AA480)+1)</f>
        <v/>
      </c>
      <c r="AB481" s="40" t="str">
        <f aca="false">IF($F481="","",$F481&amp;"#"&amp;COUNTIF($F$4:$F481,$F481))</f>
        <v/>
      </c>
      <c r="AC481" s="40" t="str">
        <f aca="false">IF($B481="","",IF(AND(OR(CETAK!$J$10="",$F481=CETAK!$J$10),OR(CETAK!$J$11="",$G481=CETAK!$J$11),OR(CETAK!$J$12="",$P481=CETAK!$J$12),OR(CETAK!$J$13="",$N481=CETAK!$J$13),OR(CETAK!$J$14="",$T481=CETAK!$J$14)),MAX($AC$3:AC480)+1,""))</f>
        <v/>
      </c>
      <c r="AD481" s="40" t="str">
        <f aca="false">IF($B481="","",IF(AND(OR(ABSENSI!$H$10="",$F481=ABSENSI!$H$10),OR(ABSENSI!$H$11="",$G481=ABSENSI!$H$11),OR(ABSENSI!$H$12="",$P481=ABSENSI!$H$12)),MAX($AD$3:AD480)+1,""))</f>
        <v/>
      </c>
      <c r="AE481" s="40" t="str">
        <f aca="false">IF($B481="","",IF(AND(OR(KARTU!$K$6="",$F481=KARTU!$K$6),OR(KARTU!$K$7="",$G481=KARTU!$K$7),OR(KARTU!$K$8="",$P481=KARTU!$K$8)),MAX($AE$3:AE480)+1,""))</f>
        <v/>
      </c>
    </row>
    <row r="482" customFormat="false" ht="15" hidden="false" customHeight="false" outlineLevel="0" collapsed="false">
      <c r="A482" s="35" t="str">
        <f aca="false">IF($B482="","",COUNTA($B$4:$B482))</f>
        <v/>
      </c>
      <c r="B482" s="36"/>
      <c r="C482" s="37"/>
      <c r="D482" s="37"/>
      <c r="E482" s="38"/>
      <c r="F482" s="36"/>
      <c r="G482" s="39"/>
      <c r="H482" s="39"/>
      <c r="I482" s="36"/>
      <c r="J482" s="36"/>
      <c r="K482" s="36"/>
      <c r="L482" s="36"/>
      <c r="M482" s="40" t="str">
        <f aca="false">IF($F482="","",$F482&amp;IF($G482="",""," - RT "&amp;$G482&amp;IF($H482="","","/"&amp;$H482)))</f>
        <v/>
      </c>
      <c r="N482" s="36"/>
      <c r="O482" s="37"/>
      <c r="P482" s="39"/>
      <c r="Q482" s="41"/>
      <c r="R482" s="35" t="str">
        <f aca="true">IF(OR($B482="",$Q482=""),"",DATEDIF($Q482,TODAY(),"Y"))</f>
        <v/>
      </c>
      <c r="S482" s="40" t="str">
        <f aca="false">IF($R482="","",INDEX(usia_label,MATCH($R482,usia_min,1)))</f>
        <v/>
      </c>
      <c r="T482" s="36"/>
      <c r="U482" s="41"/>
      <c r="V482" s="36"/>
      <c r="W482" s="36"/>
      <c r="X482" s="40" t="str">
        <f aca="false">IF($M482="","",$M482&amp;"#"&amp;COUNTIF($M$4:$M482,$M482))</f>
        <v/>
      </c>
      <c r="Y482" s="40" t="str">
        <f aca="false">IF($B482="","",IF($C482="","NIK kosong",IF(LEN($C482)&lt;&gt;16,"NIK bukan 16 digit",IF(COUNTIF($C$4:$C$2003,$C482&amp;"*")&gt;1,"NIK ganda",IF(AND($D482&lt;&gt;"",LEN($D482)&lt;&gt;16),"No. KK bukan 16 digit",IF(AND($F482="",$I482=""),"Alamat kosong",IF($N482="","Jabatan kosong",IF($O482="","No. HP kosong",IF(AND($R482&lt;&gt;"",$R482&lt;17),"Usia di bawah 17","")))))))))</f>
        <v/>
      </c>
      <c r="Z482" s="40" t="str">
        <f aca="false">IF($B482="","",IF(AND(OR(CARI!$C$5="",ISNUMBER(SEARCH(CARI!$C$5,$B482&amp;" "&amp;$C482&amp;" "&amp;$D482&amp;" "&amp;$O482&amp;" "&amp;$I482&amp;" "&amp;$F482&amp;" "&amp;$J482&amp;" "&amp;$K482&amp;" "&amp;$L482&amp;" "&amp;$V482))),OR(CARI!$C$6="",$F482=CARI!$C$6),OR(CARI!$C$7="",$G482=CARI!$C$7),OR(CARI!$C$8="",$T482=CARI!$C$8)),MAX($Z$3:Z481)+1,""))</f>
        <v/>
      </c>
      <c r="AA482" s="40" t="str">
        <f aca="false">IF($Y482="","",MAX($AA$3:AA481)+1)</f>
        <v/>
      </c>
      <c r="AB482" s="40" t="str">
        <f aca="false">IF($F482="","",$F482&amp;"#"&amp;COUNTIF($F$4:$F482,$F482))</f>
        <v/>
      </c>
      <c r="AC482" s="40" t="str">
        <f aca="false">IF($B482="","",IF(AND(OR(CETAK!$J$10="",$F482=CETAK!$J$10),OR(CETAK!$J$11="",$G482=CETAK!$J$11),OR(CETAK!$J$12="",$P482=CETAK!$J$12),OR(CETAK!$J$13="",$N482=CETAK!$J$13),OR(CETAK!$J$14="",$T482=CETAK!$J$14)),MAX($AC$3:AC481)+1,""))</f>
        <v/>
      </c>
      <c r="AD482" s="40" t="str">
        <f aca="false">IF($B482="","",IF(AND(OR(ABSENSI!$H$10="",$F482=ABSENSI!$H$10),OR(ABSENSI!$H$11="",$G482=ABSENSI!$H$11),OR(ABSENSI!$H$12="",$P482=ABSENSI!$H$12)),MAX($AD$3:AD481)+1,""))</f>
        <v/>
      </c>
      <c r="AE482" s="40" t="str">
        <f aca="false">IF($B482="","",IF(AND(OR(KARTU!$K$6="",$F482=KARTU!$K$6),OR(KARTU!$K$7="",$G482=KARTU!$K$7),OR(KARTU!$K$8="",$P482=KARTU!$K$8)),MAX($AE$3:AE481)+1,""))</f>
        <v/>
      </c>
    </row>
    <row r="483" customFormat="false" ht="15" hidden="false" customHeight="false" outlineLevel="0" collapsed="false">
      <c r="A483" s="35" t="str">
        <f aca="false">IF($B483="","",COUNTA($B$4:$B483))</f>
        <v/>
      </c>
      <c r="B483" s="36"/>
      <c r="C483" s="37"/>
      <c r="D483" s="37"/>
      <c r="E483" s="38"/>
      <c r="F483" s="36"/>
      <c r="G483" s="39"/>
      <c r="H483" s="39"/>
      <c r="I483" s="36"/>
      <c r="J483" s="36"/>
      <c r="K483" s="36"/>
      <c r="L483" s="36"/>
      <c r="M483" s="40" t="str">
        <f aca="false">IF($F483="","",$F483&amp;IF($G483="",""," - RT "&amp;$G483&amp;IF($H483="","","/"&amp;$H483)))</f>
        <v/>
      </c>
      <c r="N483" s="36"/>
      <c r="O483" s="37"/>
      <c r="P483" s="39"/>
      <c r="Q483" s="41"/>
      <c r="R483" s="35" t="str">
        <f aca="true">IF(OR($B483="",$Q483=""),"",DATEDIF($Q483,TODAY(),"Y"))</f>
        <v/>
      </c>
      <c r="S483" s="40" t="str">
        <f aca="false">IF($R483="","",INDEX(usia_label,MATCH($R483,usia_min,1)))</f>
        <v/>
      </c>
      <c r="T483" s="36"/>
      <c r="U483" s="41"/>
      <c r="V483" s="36"/>
      <c r="W483" s="36"/>
      <c r="X483" s="40" t="str">
        <f aca="false">IF($M483="","",$M483&amp;"#"&amp;COUNTIF($M$4:$M483,$M483))</f>
        <v/>
      </c>
      <c r="Y483" s="40" t="str">
        <f aca="false">IF($B483="","",IF($C483="","NIK kosong",IF(LEN($C483)&lt;&gt;16,"NIK bukan 16 digit",IF(COUNTIF($C$4:$C$2003,$C483&amp;"*")&gt;1,"NIK ganda",IF(AND($D483&lt;&gt;"",LEN($D483)&lt;&gt;16),"No. KK bukan 16 digit",IF(AND($F483="",$I483=""),"Alamat kosong",IF($N483="","Jabatan kosong",IF($O483="","No. HP kosong",IF(AND($R483&lt;&gt;"",$R483&lt;17),"Usia di bawah 17","")))))))))</f>
        <v/>
      </c>
      <c r="Z483" s="40" t="str">
        <f aca="false">IF($B483="","",IF(AND(OR(CARI!$C$5="",ISNUMBER(SEARCH(CARI!$C$5,$B483&amp;" "&amp;$C483&amp;" "&amp;$D483&amp;" "&amp;$O483&amp;" "&amp;$I483&amp;" "&amp;$F483&amp;" "&amp;$J483&amp;" "&amp;$K483&amp;" "&amp;$L483&amp;" "&amp;$V483))),OR(CARI!$C$6="",$F483=CARI!$C$6),OR(CARI!$C$7="",$G483=CARI!$C$7),OR(CARI!$C$8="",$T483=CARI!$C$8)),MAX($Z$3:Z482)+1,""))</f>
        <v/>
      </c>
      <c r="AA483" s="40" t="str">
        <f aca="false">IF($Y483="","",MAX($AA$3:AA482)+1)</f>
        <v/>
      </c>
      <c r="AB483" s="40" t="str">
        <f aca="false">IF($F483="","",$F483&amp;"#"&amp;COUNTIF($F$4:$F483,$F483))</f>
        <v/>
      </c>
      <c r="AC483" s="40" t="str">
        <f aca="false">IF($B483="","",IF(AND(OR(CETAK!$J$10="",$F483=CETAK!$J$10),OR(CETAK!$J$11="",$G483=CETAK!$J$11),OR(CETAK!$J$12="",$P483=CETAK!$J$12),OR(CETAK!$J$13="",$N483=CETAK!$J$13),OR(CETAK!$J$14="",$T483=CETAK!$J$14)),MAX($AC$3:AC482)+1,""))</f>
        <v/>
      </c>
      <c r="AD483" s="40" t="str">
        <f aca="false">IF($B483="","",IF(AND(OR(ABSENSI!$H$10="",$F483=ABSENSI!$H$10),OR(ABSENSI!$H$11="",$G483=ABSENSI!$H$11),OR(ABSENSI!$H$12="",$P483=ABSENSI!$H$12)),MAX($AD$3:AD482)+1,""))</f>
        <v/>
      </c>
      <c r="AE483" s="40" t="str">
        <f aca="false">IF($B483="","",IF(AND(OR(KARTU!$K$6="",$F483=KARTU!$K$6),OR(KARTU!$K$7="",$G483=KARTU!$K$7),OR(KARTU!$K$8="",$P483=KARTU!$K$8)),MAX($AE$3:AE482)+1,""))</f>
        <v/>
      </c>
    </row>
    <row r="484" customFormat="false" ht="15" hidden="false" customHeight="false" outlineLevel="0" collapsed="false">
      <c r="A484" s="35" t="str">
        <f aca="false">IF($B484="","",COUNTA($B$4:$B484))</f>
        <v/>
      </c>
      <c r="B484" s="36"/>
      <c r="C484" s="37"/>
      <c r="D484" s="37"/>
      <c r="E484" s="38"/>
      <c r="F484" s="36"/>
      <c r="G484" s="39"/>
      <c r="H484" s="39"/>
      <c r="I484" s="36"/>
      <c r="J484" s="36"/>
      <c r="K484" s="36"/>
      <c r="L484" s="36"/>
      <c r="M484" s="40" t="str">
        <f aca="false">IF($F484="","",$F484&amp;IF($G484="",""," - RT "&amp;$G484&amp;IF($H484="","","/"&amp;$H484)))</f>
        <v/>
      </c>
      <c r="N484" s="36"/>
      <c r="O484" s="37"/>
      <c r="P484" s="39"/>
      <c r="Q484" s="41"/>
      <c r="R484" s="35" t="str">
        <f aca="true">IF(OR($B484="",$Q484=""),"",DATEDIF($Q484,TODAY(),"Y"))</f>
        <v/>
      </c>
      <c r="S484" s="40" t="str">
        <f aca="false">IF($R484="","",INDEX(usia_label,MATCH($R484,usia_min,1)))</f>
        <v/>
      </c>
      <c r="T484" s="36"/>
      <c r="U484" s="41"/>
      <c r="V484" s="36"/>
      <c r="W484" s="36"/>
      <c r="X484" s="40" t="str">
        <f aca="false">IF($M484="","",$M484&amp;"#"&amp;COUNTIF($M$4:$M484,$M484))</f>
        <v/>
      </c>
      <c r="Y484" s="40" t="str">
        <f aca="false">IF($B484="","",IF($C484="","NIK kosong",IF(LEN($C484)&lt;&gt;16,"NIK bukan 16 digit",IF(COUNTIF($C$4:$C$2003,$C484&amp;"*")&gt;1,"NIK ganda",IF(AND($D484&lt;&gt;"",LEN($D484)&lt;&gt;16),"No. KK bukan 16 digit",IF(AND($F484="",$I484=""),"Alamat kosong",IF($N484="","Jabatan kosong",IF($O484="","No. HP kosong",IF(AND($R484&lt;&gt;"",$R484&lt;17),"Usia di bawah 17","")))))))))</f>
        <v/>
      </c>
      <c r="Z484" s="40" t="str">
        <f aca="false">IF($B484="","",IF(AND(OR(CARI!$C$5="",ISNUMBER(SEARCH(CARI!$C$5,$B484&amp;" "&amp;$C484&amp;" "&amp;$D484&amp;" "&amp;$O484&amp;" "&amp;$I484&amp;" "&amp;$F484&amp;" "&amp;$J484&amp;" "&amp;$K484&amp;" "&amp;$L484&amp;" "&amp;$V484))),OR(CARI!$C$6="",$F484=CARI!$C$6),OR(CARI!$C$7="",$G484=CARI!$C$7),OR(CARI!$C$8="",$T484=CARI!$C$8)),MAX($Z$3:Z483)+1,""))</f>
        <v/>
      </c>
      <c r="AA484" s="40" t="str">
        <f aca="false">IF($Y484="","",MAX($AA$3:AA483)+1)</f>
        <v/>
      </c>
      <c r="AB484" s="40" t="str">
        <f aca="false">IF($F484="","",$F484&amp;"#"&amp;COUNTIF($F$4:$F484,$F484))</f>
        <v/>
      </c>
      <c r="AC484" s="40" t="str">
        <f aca="false">IF($B484="","",IF(AND(OR(CETAK!$J$10="",$F484=CETAK!$J$10),OR(CETAK!$J$11="",$G484=CETAK!$J$11),OR(CETAK!$J$12="",$P484=CETAK!$J$12),OR(CETAK!$J$13="",$N484=CETAK!$J$13),OR(CETAK!$J$14="",$T484=CETAK!$J$14)),MAX($AC$3:AC483)+1,""))</f>
        <v/>
      </c>
      <c r="AD484" s="40" t="str">
        <f aca="false">IF($B484="","",IF(AND(OR(ABSENSI!$H$10="",$F484=ABSENSI!$H$10),OR(ABSENSI!$H$11="",$G484=ABSENSI!$H$11),OR(ABSENSI!$H$12="",$P484=ABSENSI!$H$12)),MAX($AD$3:AD483)+1,""))</f>
        <v/>
      </c>
      <c r="AE484" s="40" t="str">
        <f aca="false">IF($B484="","",IF(AND(OR(KARTU!$K$6="",$F484=KARTU!$K$6),OR(KARTU!$K$7="",$G484=KARTU!$K$7),OR(KARTU!$K$8="",$P484=KARTU!$K$8)),MAX($AE$3:AE483)+1,""))</f>
        <v/>
      </c>
    </row>
    <row r="485" customFormat="false" ht="15" hidden="false" customHeight="false" outlineLevel="0" collapsed="false">
      <c r="A485" s="35" t="str">
        <f aca="false">IF($B485="","",COUNTA($B$4:$B485))</f>
        <v/>
      </c>
      <c r="B485" s="36"/>
      <c r="C485" s="37"/>
      <c r="D485" s="37"/>
      <c r="E485" s="38"/>
      <c r="F485" s="36"/>
      <c r="G485" s="39"/>
      <c r="H485" s="39"/>
      <c r="I485" s="36"/>
      <c r="J485" s="36"/>
      <c r="K485" s="36"/>
      <c r="L485" s="36"/>
      <c r="M485" s="40" t="str">
        <f aca="false">IF($F485="","",$F485&amp;IF($G485="",""," - RT "&amp;$G485&amp;IF($H485="","","/"&amp;$H485)))</f>
        <v/>
      </c>
      <c r="N485" s="36"/>
      <c r="O485" s="37"/>
      <c r="P485" s="39"/>
      <c r="Q485" s="41"/>
      <c r="R485" s="35" t="str">
        <f aca="true">IF(OR($B485="",$Q485=""),"",DATEDIF($Q485,TODAY(),"Y"))</f>
        <v/>
      </c>
      <c r="S485" s="40" t="str">
        <f aca="false">IF($R485="","",INDEX(usia_label,MATCH($R485,usia_min,1)))</f>
        <v/>
      </c>
      <c r="T485" s="36"/>
      <c r="U485" s="41"/>
      <c r="V485" s="36"/>
      <c r="W485" s="36"/>
      <c r="X485" s="40" t="str">
        <f aca="false">IF($M485="","",$M485&amp;"#"&amp;COUNTIF($M$4:$M485,$M485))</f>
        <v/>
      </c>
      <c r="Y485" s="40" t="str">
        <f aca="false">IF($B485="","",IF($C485="","NIK kosong",IF(LEN($C485)&lt;&gt;16,"NIK bukan 16 digit",IF(COUNTIF($C$4:$C$2003,$C485&amp;"*")&gt;1,"NIK ganda",IF(AND($D485&lt;&gt;"",LEN($D485)&lt;&gt;16),"No. KK bukan 16 digit",IF(AND($F485="",$I485=""),"Alamat kosong",IF($N485="","Jabatan kosong",IF($O485="","No. HP kosong",IF(AND($R485&lt;&gt;"",$R485&lt;17),"Usia di bawah 17","")))))))))</f>
        <v/>
      </c>
      <c r="Z485" s="40" t="str">
        <f aca="false">IF($B485="","",IF(AND(OR(CARI!$C$5="",ISNUMBER(SEARCH(CARI!$C$5,$B485&amp;" "&amp;$C485&amp;" "&amp;$D485&amp;" "&amp;$O485&amp;" "&amp;$I485&amp;" "&amp;$F485&amp;" "&amp;$J485&amp;" "&amp;$K485&amp;" "&amp;$L485&amp;" "&amp;$V485))),OR(CARI!$C$6="",$F485=CARI!$C$6),OR(CARI!$C$7="",$G485=CARI!$C$7),OR(CARI!$C$8="",$T485=CARI!$C$8)),MAX($Z$3:Z484)+1,""))</f>
        <v/>
      </c>
      <c r="AA485" s="40" t="str">
        <f aca="false">IF($Y485="","",MAX($AA$3:AA484)+1)</f>
        <v/>
      </c>
      <c r="AB485" s="40" t="str">
        <f aca="false">IF($F485="","",$F485&amp;"#"&amp;COUNTIF($F$4:$F485,$F485))</f>
        <v/>
      </c>
      <c r="AC485" s="40" t="str">
        <f aca="false">IF($B485="","",IF(AND(OR(CETAK!$J$10="",$F485=CETAK!$J$10),OR(CETAK!$J$11="",$G485=CETAK!$J$11),OR(CETAK!$J$12="",$P485=CETAK!$J$12),OR(CETAK!$J$13="",$N485=CETAK!$J$13),OR(CETAK!$J$14="",$T485=CETAK!$J$14)),MAX($AC$3:AC484)+1,""))</f>
        <v/>
      </c>
      <c r="AD485" s="40" t="str">
        <f aca="false">IF($B485="","",IF(AND(OR(ABSENSI!$H$10="",$F485=ABSENSI!$H$10),OR(ABSENSI!$H$11="",$G485=ABSENSI!$H$11),OR(ABSENSI!$H$12="",$P485=ABSENSI!$H$12)),MAX($AD$3:AD484)+1,""))</f>
        <v/>
      </c>
      <c r="AE485" s="40" t="str">
        <f aca="false">IF($B485="","",IF(AND(OR(KARTU!$K$6="",$F485=KARTU!$K$6),OR(KARTU!$K$7="",$G485=KARTU!$K$7),OR(KARTU!$K$8="",$P485=KARTU!$K$8)),MAX($AE$3:AE484)+1,""))</f>
        <v/>
      </c>
    </row>
    <row r="486" customFormat="false" ht="15" hidden="false" customHeight="false" outlineLevel="0" collapsed="false">
      <c r="A486" s="35" t="str">
        <f aca="false">IF($B486="","",COUNTA($B$4:$B486))</f>
        <v/>
      </c>
      <c r="B486" s="36"/>
      <c r="C486" s="37"/>
      <c r="D486" s="37"/>
      <c r="E486" s="38"/>
      <c r="F486" s="36"/>
      <c r="G486" s="39"/>
      <c r="H486" s="39"/>
      <c r="I486" s="36"/>
      <c r="J486" s="36"/>
      <c r="K486" s="36"/>
      <c r="L486" s="36"/>
      <c r="M486" s="40" t="str">
        <f aca="false">IF($F486="","",$F486&amp;IF($G486="",""," - RT "&amp;$G486&amp;IF($H486="","","/"&amp;$H486)))</f>
        <v/>
      </c>
      <c r="N486" s="36"/>
      <c r="O486" s="37"/>
      <c r="P486" s="39"/>
      <c r="Q486" s="41"/>
      <c r="R486" s="35" t="str">
        <f aca="true">IF(OR($B486="",$Q486=""),"",DATEDIF($Q486,TODAY(),"Y"))</f>
        <v/>
      </c>
      <c r="S486" s="40" t="str">
        <f aca="false">IF($R486="","",INDEX(usia_label,MATCH($R486,usia_min,1)))</f>
        <v/>
      </c>
      <c r="T486" s="36"/>
      <c r="U486" s="41"/>
      <c r="V486" s="36"/>
      <c r="W486" s="36"/>
      <c r="X486" s="40" t="str">
        <f aca="false">IF($M486="","",$M486&amp;"#"&amp;COUNTIF($M$4:$M486,$M486))</f>
        <v/>
      </c>
      <c r="Y486" s="40" t="str">
        <f aca="false">IF($B486="","",IF($C486="","NIK kosong",IF(LEN($C486)&lt;&gt;16,"NIK bukan 16 digit",IF(COUNTIF($C$4:$C$2003,$C486&amp;"*")&gt;1,"NIK ganda",IF(AND($D486&lt;&gt;"",LEN($D486)&lt;&gt;16),"No. KK bukan 16 digit",IF(AND($F486="",$I486=""),"Alamat kosong",IF($N486="","Jabatan kosong",IF($O486="","No. HP kosong",IF(AND($R486&lt;&gt;"",$R486&lt;17),"Usia di bawah 17","")))))))))</f>
        <v/>
      </c>
      <c r="Z486" s="40" t="str">
        <f aca="false">IF($B486="","",IF(AND(OR(CARI!$C$5="",ISNUMBER(SEARCH(CARI!$C$5,$B486&amp;" "&amp;$C486&amp;" "&amp;$D486&amp;" "&amp;$O486&amp;" "&amp;$I486&amp;" "&amp;$F486&amp;" "&amp;$J486&amp;" "&amp;$K486&amp;" "&amp;$L486&amp;" "&amp;$V486))),OR(CARI!$C$6="",$F486=CARI!$C$6),OR(CARI!$C$7="",$G486=CARI!$C$7),OR(CARI!$C$8="",$T486=CARI!$C$8)),MAX($Z$3:Z485)+1,""))</f>
        <v/>
      </c>
      <c r="AA486" s="40" t="str">
        <f aca="false">IF($Y486="","",MAX($AA$3:AA485)+1)</f>
        <v/>
      </c>
      <c r="AB486" s="40" t="str">
        <f aca="false">IF($F486="","",$F486&amp;"#"&amp;COUNTIF($F$4:$F486,$F486))</f>
        <v/>
      </c>
      <c r="AC486" s="40" t="str">
        <f aca="false">IF($B486="","",IF(AND(OR(CETAK!$J$10="",$F486=CETAK!$J$10),OR(CETAK!$J$11="",$G486=CETAK!$J$11),OR(CETAK!$J$12="",$P486=CETAK!$J$12),OR(CETAK!$J$13="",$N486=CETAK!$J$13),OR(CETAK!$J$14="",$T486=CETAK!$J$14)),MAX($AC$3:AC485)+1,""))</f>
        <v/>
      </c>
      <c r="AD486" s="40" t="str">
        <f aca="false">IF($B486="","",IF(AND(OR(ABSENSI!$H$10="",$F486=ABSENSI!$H$10),OR(ABSENSI!$H$11="",$G486=ABSENSI!$H$11),OR(ABSENSI!$H$12="",$P486=ABSENSI!$H$12)),MAX($AD$3:AD485)+1,""))</f>
        <v/>
      </c>
      <c r="AE486" s="40" t="str">
        <f aca="false">IF($B486="","",IF(AND(OR(KARTU!$K$6="",$F486=KARTU!$K$6),OR(KARTU!$K$7="",$G486=KARTU!$K$7),OR(KARTU!$K$8="",$P486=KARTU!$K$8)),MAX($AE$3:AE485)+1,""))</f>
        <v/>
      </c>
    </row>
    <row r="487" customFormat="false" ht="15" hidden="false" customHeight="false" outlineLevel="0" collapsed="false">
      <c r="A487" s="35" t="str">
        <f aca="false">IF($B487="","",COUNTA($B$4:$B487))</f>
        <v/>
      </c>
      <c r="B487" s="36"/>
      <c r="C487" s="37"/>
      <c r="D487" s="37"/>
      <c r="E487" s="38"/>
      <c r="F487" s="36"/>
      <c r="G487" s="39"/>
      <c r="H487" s="39"/>
      <c r="I487" s="36"/>
      <c r="J487" s="36"/>
      <c r="K487" s="36"/>
      <c r="L487" s="36"/>
      <c r="M487" s="40" t="str">
        <f aca="false">IF($F487="","",$F487&amp;IF($G487="",""," - RT "&amp;$G487&amp;IF($H487="","","/"&amp;$H487)))</f>
        <v/>
      </c>
      <c r="N487" s="36"/>
      <c r="O487" s="37"/>
      <c r="P487" s="39"/>
      <c r="Q487" s="41"/>
      <c r="R487" s="35" t="str">
        <f aca="true">IF(OR($B487="",$Q487=""),"",DATEDIF($Q487,TODAY(),"Y"))</f>
        <v/>
      </c>
      <c r="S487" s="40" t="str">
        <f aca="false">IF($R487="","",INDEX(usia_label,MATCH($R487,usia_min,1)))</f>
        <v/>
      </c>
      <c r="T487" s="36"/>
      <c r="U487" s="41"/>
      <c r="V487" s="36"/>
      <c r="W487" s="36"/>
      <c r="X487" s="40" t="str">
        <f aca="false">IF($M487="","",$M487&amp;"#"&amp;COUNTIF($M$4:$M487,$M487))</f>
        <v/>
      </c>
      <c r="Y487" s="40" t="str">
        <f aca="false">IF($B487="","",IF($C487="","NIK kosong",IF(LEN($C487)&lt;&gt;16,"NIK bukan 16 digit",IF(COUNTIF($C$4:$C$2003,$C487&amp;"*")&gt;1,"NIK ganda",IF(AND($D487&lt;&gt;"",LEN($D487)&lt;&gt;16),"No. KK bukan 16 digit",IF(AND($F487="",$I487=""),"Alamat kosong",IF($N487="","Jabatan kosong",IF($O487="","No. HP kosong",IF(AND($R487&lt;&gt;"",$R487&lt;17),"Usia di bawah 17","")))))))))</f>
        <v/>
      </c>
      <c r="Z487" s="40" t="str">
        <f aca="false">IF($B487="","",IF(AND(OR(CARI!$C$5="",ISNUMBER(SEARCH(CARI!$C$5,$B487&amp;" "&amp;$C487&amp;" "&amp;$D487&amp;" "&amp;$O487&amp;" "&amp;$I487&amp;" "&amp;$F487&amp;" "&amp;$J487&amp;" "&amp;$K487&amp;" "&amp;$L487&amp;" "&amp;$V487))),OR(CARI!$C$6="",$F487=CARI!$C$6),OR(CARI!$C$7="",$G487=CARI!$C$7),OR(CARI!$C$8="",$T487=CARI!$C$8)),MAX($Z$3:Z486)+1,""))</f>
        <v/>
      </c>
      <c r="AA487" s="40" t="str">
        <f aca="false">IF($Y487="","",MAX($AA$3:AA486)+1)</f>
        <v/>
      </c>
      <c r="AB487" s="40" t="str">
        <f aca="false">IF($F487="","",$F487&amp;"#"&amp;COUNTIF($F$4:$F487,$F487))</f>
        <v/>
      </c>
      <c r="AC487" s="40" t="str">
        <f aca="false">IF($B487="","",IF(AND(OR(CETAK!$J$10="",$F487=CETAK!$J$10),OR(CETAK!$J$11="",$G487=CETAK!$J$11),OR(CETAK!$J$12="",$P487=CETAK!$J$12),OR(CETAK!$J$13="",$N487=CETAK!$J$13),OR(CETAK!$J$14="",$T487=CETAK!$J$14)),MAX($AC$3:AC486)+1,""))</f>
        <v/>
      </c>
      <c r="AD487" s="40" t="str">
        <f aca="false">IF($B487="","",IF(AND(OR(ABSENSI!$H$10="",$F487=ABSENSI!$H$10),OR(ABSENSI!$H$11="",$G487=ABSENSI!$H$11),OR(ABSENSI!$H$12="",$P487=ABSENSI!$H$12)),MAX($AD$3:AD486)+1,""))</f>
        <v/>
      </c>
      <c r="AE487" s="40" t="str">
        <f aca="false">IF($B487="","",IF(AND(OR(KARTU!$K$6="",$F487=KARTU!$K$6),OR(KARTU!$K$7="",$G487=KARTU!$K$7),OR(KARTU!$K$8="",$P487=KARTU!$K$8)),MAX($AE$3:AE486)+1,""))</f>
        <v/>
      </c>
    </row>
    <row r="488" customFormat="false" ht="15" hidden="false" customHeight="false" outlineLevel="0" collapsed="false">
      <c r="A488" s="35" t="str">
        <f aca="false">IF($B488="","",COUNTA($B$4:$B488))</f>
        <v/>
      </c>
      <c r="B488" s="36"/>
      <c r="C488" s="37"/>
      <c r="D488" s="37"/>
      <c r="E488" s="38"/>
      <c r="F488" s="36"/>
      <c r="G488" s="39"/>
      <c r="H488" s="39"/>
      <c r="I488" s="36"/>
      <c r="J488" s="36"/>
      <c r="K488" s="36"/>
      <c r="L488" s="36"/>
      <c r="M488" s="40" t="str">
        <f aca="false">IF($F488="","",$F488&amp;IF($G488="",""," - RT "&amp;$G488&amp;IF($H488="","","/"&amp;$H488)))</f>
        <v/>
      </c>
      <c r="N488" s="36"/>
      <c r="O488" s="37"/>
      <c r="P488" s="39"/>
      <c r="Q488" s="41"/>
      <c r="R488" s="35" t="str">
        <f aca="true">IF(OR($B488="",$Q488=""),"",DATEDIF($Q488,TODAY(),"Y"))</f>
        <v/>
      </c>
      <c r="S488" s="40" t="str">
        <f aca="false">IF($R488="","",INDEX(usia_label,MATCH($R488,usia_min,1)))</f>
        <v/>
      </c>
      <c r="T488" s="36"/>
      <c r="U488" s="41"/>
      <c r="V488" s="36"/>
      <c r="W488" s="36"/>
      <c r="X488" s="40" t="str">
        <f aca="false">IF($M488="","",$M488&amp;"#"&amp;COUNTIF($M$4:$M488,$M488))</f>
        <v/>
      </c>
      <c r="Y488" s="40" t="str">
        <f aca="false">IF($B488="","",IF($C488="","NIK kosong",IF(LEN($C488)&lt;&gt;16,"NIK bukan 16 digit",IF(COUNTIF($C$4:$C$2003,$C488&amp;"*")&gt;1,"NIK ganda",IF(AND($D488&lt;&gt;"",LEN($D488)&lt;&gt;16),"No. KK bukan 16 digit",IF(AND($F488="",$I488=""),"Alamat kosong",IF($N488="","Jabatan kosong",IF($O488="","No. HP kosong",IF(AND($R488&lt;&gt;"",$R488&lt;17),"Usia di bawah 17","")))))))))</f>
        <v/>
      </c>
      <c r="Z488" s="40" t="str">
        <f aca="false">IF($B488="","",IF(AND(OR(CARI!$C$5="",ISNUMBER(SEARCH(CARI!$C$5,$B488&amp;" "&amp;$C488&amp;" "&amp;$D488&amp;" "&amp;$O488&amp;" "&amp;$I488&amp;" "&amp;$F488&amp;" "&amp;$J488&amp;" "&amp;$K488&amp;" "&amp;$L488&amp;" "&amp;$V488))),OR(CARI!$C$6="",$F488=CARI!$C$6),OR(CARI!$C$7="",$G488=CARI!$C$7),OR(CARI!$C$8="",$T488=CARI!$C$8)),MAX($Z$3:Z487)+1,""))</f>
        <v/>
      </c>
      <c r="AA488" s="40" t="str">
        <f aca="false">IF($Y488="","",MAX($AA$3:AA487)+1)</f>
        <v/>
      </c>
      <c r="AB488" s="40" t="str">
        <f aca="false">IF($F488="","",$F488&amp;"#"&amp;COUNTIF($F$4:$F488,$F488))</f>
        <v/>
      </c>
      <c r="AC488" s="40" t="str">
        <f aca="false">IF($B488="","",IF(AND(OR(CETAK!$J$10="",$F488=CETAK!$J$10),OR(CETAK!$J$11="",$G488=CETAK!$J$11),OR(CETAK!$J$12="",$P488=CETAK!$J$12),OR(CETAK!$J$13="",$N488=CETAK!$J$13),OR(CETAK!$J$14="",$T488=CETAK!$J$14)),MAX($AC$3:AC487)+1,""))</f>
        <v/>
      </c>
      <c r="AD488" s="40" t="str">
        <f aca="false">IF($B488="","",IF(AND(OR(ABSENSI!$H$10="",$F488=ABSENSI!$H$10),OR(ABSENSI!$H$11="",$G488=ABSENSI!$H$11),OR(ABSENSI!$H$12="",$P488=ABSENSI!$H$12)),MAX($AD$3:AD487)+1,""))</f>
        <v/>
      </c>
      <c r="AE488" s="40" t="str">
        <f aca="false">IF($B488="","",IF(AND(OR(KARTU!$K$6="",$F488=KARTU!$K$6),OR(KARTU!$K$7="",$G488=KARTU!$K$7),OR(KARTU!$K$8="",$P488=KARTU!$K$8)),MAX($AE$3:AE487)+1,""))</f>
        <v/>
      </c>
    </row>
    <row r="489" customFormat="false" ht="15" hidden="false" customHeight="false" outlineLevel="0" collapsed="false">
      <c r="A489" s="35" t="str">
        <f aca="false">IF($B489="","",COUNTA($B$4:$B489))</f>
        <v/>
      </c>
      <c r="B489" s="36"/>
      <c r="C489" s="37"/>
      <c r="D489" s="37"/>
      <c r="E489" s="38"/>
      <c r="F489" s="36"/>
      <c r="G489" s="39"/>
      <c r="H489" s="39"/>
      <c r="I489" s="36"/>
      <c r="J489" s="36"/>
      <c r="K489" s="36"/>
      <c r="L489" s="36"/>
      <c r="M489" s="40" t="str">
        <f aca="false">IF($F489="","",$F489&amp;IF($G489="",""," - RT "&amp;$G489&amp;IF($H489="","","/"&amp;$H489)))</f>
        <v/>
      </c>
      <c r="N489" s="36"/>
      <c r="O489" s="37"/>
      <c r="P489" s="39"/>
      <c r="Q489" s="41"/>
      <c r="R489" s="35" t="str">
        <f aca="true">IF(OR($B489="",$Q489=""),"",DATEDIF($Q489,TODAY(),"Y"))</f>
        <v/>
      </c>
      <c r="S489" s="40" t="str">
        <f aca="false">IF($R489="","",INDEX(usia_label,MATCH($R489,usia_min,1)))</f>
        <v/>
      </c>
      <c r="T489" s="36"/>
      <c r="U489" s="41"/>
      <c r="V489" s="36"/>
      <c r="W489" s="36"/>
      <c r="X489" s="40" t="str">
        <f aca="false">IF($M489="","",$M489&amp;"#"&amp;COUNTIF($M$4:$M489,$M489))</f>
        <v/>
      </c>
      <c r="Y489" s="40" t="str">
        <f aca="false">IF($B489="","",IF($C489="","NIK kosong",IF(LEN($C489)&lt;&gt;16,"NIK bukan 16 digit",IF(COUNTIF($C$4:$C$2003,$C489&amp;"*")&gt;1,"NIK ganda",IF(AND($D489&lt;&gt;"",LEN($D489)&lt;&gt;16),"No. KK bukan 16 digit",IF(AND($F489="",$I489=""),"Alamat kosong",IF($N489="","Jabatan kosong",IF($O489="","No. HP kosong",IF(AND($R489&lt;&gt;"",$R489&lt;17),"Usia di bawah 17","")))))))))</f>
        <v/>
      </c>
      <c r="Z489" s="40" t="str">
        <f aca="false">IF($B489="","",IF(AND(OR(CARI!$C$5="",ISNUMBER(SEARCH(CARI!$C$5,$B489&amp;" "&amp;$C489&amp;" "&amp;$D489&amp;" "&amp;$O489&amp;" "&amp;$I489&amp;" "&amp;$F489&amp;" "&amp;$J489&amp;" "&amp;$K489&amp;" "&amp;$L489&amp;" "&amp;$V489))),OR(CARI!$C$6="",$F489=CARI!$C$6),OR(CARI!$C$7="",$G489=CARI!$C$7),OR(CARI!$C$8="",$T489=CARI!$C$8)),MAX($Z$3:Z488)+1,""))</f>
        <v/>
      </c>
      <c r="AA489" s="40" t="str">
        <f aca="false">IF($Y489="","",MAX($AA$3:AA488)+1)</f>
        <v/>
      </c>
      <c r="AB489" s="40" t="str">
        <f aca="false">IF($F489="","",$F489&amp;"#"&amp;COUNTIF($F$4:$F489,$F489))</f>
        <v/>
      </c>
      <c r="AC489" s="40" t="str">
        <f aca="false">IF($B489="","",IF(AND(OR(CETAK!$J$10="",$F489=CETAK!$J$10),OR(CETAK!$J$11="",$G489=CETAK!$J$11),OR(CETAK!$J$12="",$P489=CETAK!$J$12),OR(CETAK!$J$13="",$N489=CETAK!$J$13),OR(CETAK!$J$14="",$T489=CETAK!$J$14)),MAX($AC$3:AC488)+1,""))</f>
        <v/>
      </c>
      <c r="AD489" s="40" t="str">
        <f aca="false">IF($B489="","",IF(AND(OR(ABSENSI!$H$10="",$F489=ABSENSI!$H$10),OR(ABSENSI!$H$11="",$G489=ABSENSI!$H$11),OR(ABSENSI!$H$12="",$P489=ABSENSI!$H$12)),MAX($AD$3:AD488)+1,""))</f>
        <v/>
      </c>
      <c r="AE489" s="40" t="str">
        <f aca="false">IF($B489="","",IF(AND(OR(KARTU!$K$6="",$F489=KARTU!$K$6),OR(KARTU!$K$7="",$G489=KARTU!$K$7),OR(KARTU!$K$8="",$P489=KARTU!$K$8)),MAX($AE$3:AE488)+1,""))</f>
        <v/>
      </c>
    </row>
    <row r="490" customFormat="false" ht="15" hidden="false" customHeight="false" outlineLevel="0" collapsed="false">
      <c r="A490" s="35" t="str">
        <f aca="false">IF($B490="","",COUNTA($B$4:$B490))</f>
        <v/>
      </c>
      <c r="B490" s="36"/>
      <c r="C490" s="37"/>
      <c r="D490" s="37"/>
      <c r="E490" s="38"/>
      <c r="F490" s="36"/>
      <c r="G490" s="39"/>
      <c r="H490" s="39"/>
      <c r="I490" s="36"/>
      <c r="J490" s="36"/>
      <c r="K490" s="36"/>
      <c r="L490" s="36"/>
      <c r="M490" s="40" t="str">
        <f aca="false">IF($F490="","",$F490&amp;IF($G490="",""," - RT "&amp;$G490&amp;IF($H490="","","/"&amp;$H490)))</f>
        <v/>
      </c>
      <c r="N490" s="36"/>
      <c r="O490" s="37"/>
      <c r="P490" s="39"/>
      <c r="Q490" s="41"/>
      <c r="R490" s="35" t="str">
        <f aca="true">IF(OR($B490="",$Q490=""),"",DATEDIF($Q490,TODAY(),"Y"))</f>
        <v/>
      </c>
      <c r="S490" s="40" t="str">
        <f aca="false">IF($R490="","",INDEX(usia_label,MATCH($R490,usia_min,1)))</f>
        <v/>
      </c>
      <c r="T490" s="36"/>
      <c r="U490" s="41"/>
      <c r="V490" s="36"/>
      <c r="W490" s="36"/>
      <c r="X490" s="40" t="str">
        <f aca="false">IF($M490="","",$M490&amp;"#"&amp;COUNTIF($M$4:$M490,$M490))</f>
        <v/>
      </c>
      <c r="Y490" s="40" t="str">
        <f aca="false">IF($B490="","",IF($C490="","NIK kosong",IF(LEN($C490)&lt;&gt;16,"NIK bukan 16 digit",IF(COUNTIF($C$4:$C$2003,$C490&amp;"*")&gt;1,"NIK ganda",IF(AND($D490&lt;&gt;"",LEN($D490)&lt;&gt;16),"No. KK bukan 16 digit",IF(AND($F490="",$I490=""),"Alamat kosong",IF($N490="","Jabatan kosong",IF($O490="","No. HP kosong",IF(AND($R490&lt;&gt;"",$R490&lt;17),"Usia di bawah 17","")))))))))</f>
        <v/>
      </c>
      <c r="Z490" s="40" t="str">
        <f aca="false">IF($B490="","",IF(AND(OR(CARI!$C$5="",ISNUMBER(SEARCH(CARI!$C$5,$B490&amp;" "&amp;$C490&amp;" "&amp;$D490&amp;" "&amp;$O490&amp;" "&amp;$I490&amp;" "&amp;$F490&amp;" "&amp;$J490&amp;" "&amp;$K490&amp;" "&amp;$L490&amp;" "&amp;$V490))),OR(CARI!$C$6="",$F490=CARI!$C$6),OR(CARI!$C$7="",$G490=CARI!$C$7),OR(CARI!$C$8="",$T490=CARI!$C$8)),MAX($Z$3:Z489)+1,""))</f>
        <v/>
      </c>
      <c r="AA490" s="40" t="str">
        <f aca="false">IF($Y490="","",MAX($AA$3:AA489)+1)</f>
        <v/>
      </c>
      <c r="AB490" s="40" t="str">
        <f aca="false">IF($F490="","",$F490&amp;"#"&amp;COUNTIF($F$4:$F490,$F490))</f>
        <v/>
      </c>
      <c r="AC490" s="40" t="str">
        <f aca="false">IF($B490="","",IF(AND(OR(CETAK!$J$10="",$F490=CETAK!$J$10),OR(CETAK!$J$11="",$G490=CETAK!$J$11),OR(CETAK!$J$12="",$P490=CETAK!$J$12),OR(CETAK!$J$13="",$N490=CETAK!$J$13),OR(CETAK!$J$14="",$T490=CETAK!$J$14)),MAX($AC$3:AC489)+1,""))</f>
        <v/>
      </c>
      <c r="AD490" s="40" t="str">
        <f aca="false">IF($B490="","",IF(AND(OR(ABSENSI!$H$10="",$F490=ABSENSI!$H$10),OR(ABSENSI!$H$11="",$G490=ABSENSI!$H$11),OR(ABSENSI!$H$12="",$P490=ABSENSI!$H$12)),MAX($AD$3:AD489)+1,""))</f>
        <v/>
      </c>
      <c r="AE490" s="40" t="str">
        <f aca="false">IF($B490="","",IF(AND(OR(KARTU!$K$6="",$F490=KARTU!$K$6),OR(KARTU!$K$7="",$G490=KARTU!$K$7),OR(KARTU!$K$8="",$P490=KARTU!$K$8)),MAX($AE$3:AE489)+1,""))</f>
        <v/>
      </c>
    </row>
    <row r="491" customFormat="false" ht="15" hidden="false" customHeight="false" outlineLevel="0" collapsed="false">
      <c r="A491" s="35" t="str">
        <f aca="false">IF($B491="","",COUNTA($B$4:$B491))</f>
        <v/>
      </c>
      <c r="B491" s="36"/>
      <c r="C491" s="37"/>
      <c r="D491" s="37"/>
      <c r="E491" s="38"/>
      <c r="F491" s="36"/>
      <c r="G491" s="39"/>
      <c r="H491" s="39"/>
      <c r="I491" s="36"/>
      <c r="J491" s="36"/>
      <c r="K491" s="36"/>
      <c r="L491" s="36"/>
      <c r="M491" s="40" t="str">
        <f aca="false">IF($F491="","",$F491&amp;IF($G491="",""," - RT "&amp;$G491&amp;IF($H491="","","/"&amp;$H491)))</f>
        <v/>
      </c>
      <c r="N491" s="36"/>
      <c r="O491" s="37"/>
      <c r="P491" s="39"/>
      <c r="Q491" s="41"/>
      <c r="R491" s="35" t="str">
        <f aca="true">IF(OR($B491="",$Q491=""),"",DATEDIF($Q491,TODAY(),"Y"))</f>
        <v/>
      </c>
      <c r="S491" s="40" t="str">
        <f aca="false">IF($R491="","",INDEX(usia_label,MATCH($R491,usia_min,1)))</f>
        <v/>
      </c>
      <c r="T491" s="36"/>
      <c r="U491" s="41"/>
      <c r="V491" s="36"/>
      <c r="W491" s="36"/>
      <c r="X491" s="40" t="str">
        <f aca="false">IF($M491="","",$M491&amp;"#"&amp;COUNTIF($M$4:$M491,$M491))</f>
        <v/>
      </c>
      <c r="Y491" s="40" t="str">
        <f aca="false">IF($B491="","",IF($C491="","NIK kosong",IF(LEN($C491)&lt;&gt;16,"NIK bukan 16 digit",IF(COUNTIF($C$4:$C$2003,$C491&amp;"*")&gt;1,"NIK ganda",IF(AND($D491&lt;&gt;"",LEN($D491)&lt;&gt;16),"No. KK bukan 16 digit",IF(AND($F491="",$I491=""),"Alamat kosong",IF($N491="","Jabatan kosong",IF($O491="","No. HP kosong",IF(AND($R491&lt;&gt;"",$R491&lt;17),"Usia di bawah 17","")))))))))</f>
        <v/>
      </c>
      <c r="Z491" s="40" t="str">
        <f aca="false">IF($B491="","",IF(AND(OR(CARI!$C$5="",ISNUMBER(SEARCH(CARI!$C$5,$B491&amp;" "&amp;$C491&amp;" "&amp;$D491&amp;" "&amp;$O491&amp;" "&amp;$I491&amp;" "&amp;$F491&amp;" "&amp;$J491&amp;" "&amp;$K491&amp;" "&amp;$L491&amp;" "&amp;$V491))),OR(CARI!$C$6="",$F491=CARI!$C$6),OR(CARI!$C$7="",$G491=CARI!$C$7),OR(CARI!$C$8="",$T491=CARI!$C$8)),MAX($Z$3:Z490)+1,""))</f>
        <v/>
      </c>
      <c r="AA491" s="40" t="str">
        <f aca="false">IF($Y491="","",MAX($AA$3:AA490)+1)</f>
        <v/>
      </c>
      <c r="AB491" s="40" t="str">
        <f aca="false">IF($F491="","",$F491&amp;"#"&amp;COUNTIF($F$4:$F491,$F491))</f>
        <v/>
      </c>
      <c r="AC491" s="40" t="str">
        <f aca="false">IF($B491="","",IF(AND(OR(CETAK!$J$10="",$F491=CETAK!$J$10),OR(CETAK!$J$11="",$G491=CETAK!$J$11),OR(CETAK!$J$12="",$P491=CETAK!$J$12),OR(CETAK!$J$13="",$N491=CETAK!$J$13),OR(CETAK!$J$14="",$T491=CETAK!$J$14)),MAX($AC$3:AC490)+1,""))</f>
        <v/>
      </c>
      <c r="AD491" s="40" t="str">
        <f aca="false">IF($B491="","",IF(AND(OR(ABSENSI!$H$10="",$F491=ABSENSI!$H$10),OR(ABSENSI!$H$11="",$G491=ABSENSI!$H$11),OR(ABSENSI!$H$12="",$P491=ABSENSI!$H$12)),MAX($AD$3:AD490)+1,""))</f>
        <v/>
      </c>
      <c r="AE491" s="40" t="str">
        <f aca="false">IF($B491="","",IF(AND(OR(KARTU!$K$6="",$F491=KARTU!$K$6),OR(KARTU!$K$7="",$G491=KARTU!$K$7),OR(KARTU!$K$8="",$P491=KARTU!$K$8)),MAX($AE$3:AE490)+1,""))</f>
        <v/>
      </c>
    </row>
    <row r="492" customFormat="false" ht="15" hidden="false" customHeight="false" outlineLevel="0" collapsed="false">
      <c r="A492" s="35" t="str">
        <f aca="false">IF($B492="","",COUNTA($B$4:$B492))</f>
        <v/>
      </c>
      <c r="B492" s="36"/>
      <c r="C492" s="37"/>
      <c r="D492" s="37"/>
      <c r="E492" s="38"/>
      <c r="F492" s="36"/>
      <c r="G492" s="39"/>
      <c r="H492" s="39"/>
      <c r="I492" s="36"/>
      <c r="J492" s="36"/>
      <c r="K492" s="36"/>
      <c r="L492" s="36"/>
      <c r="M492" s="40" t="str">
        <f aca="false">IF($F492="","",$F492&amp;IF($G492="",""," - RT "&amp;$G492&amp;IF($H492="","","/"&amp;$H492)))</f>
        <v/>
      </c>
      <c r="N492" s="36"/>
      <c r="O492" s="37"/>
      <c r="P492" s="39"/>
      <c r="Q492" s="41"/>
      <c r="R492" s="35" t="str">
        <f aca="true">IF(OR($B492="",$Q492=""),"",DATEDIF($Q492,TODAY(),"Y"))</f>
        <v/>
      </c>
      <c r="S492" s="40" t="str">
        <f aca="false">IF($R492="","",INDEX(usia_label,MATCH($R492,usia_min,1)))</f>
        <v/>
      </c>
      <c r="T492" s="36"/>
      <c r="U492" s="41"/>
      <c r="V492" s="36"/>
      <c r="W492" s="36"/>
      <c r="X492" s="40" t="str">
        <f aca="false">IF($M492="","",$M492&amp;"#"&amp;COUNTIF($M$4:$M492,$M492))</f>
        <v/>
      </c>
      <c r="Y492" s="40" t="str">
        <f aca="false">IF($B492="","",IF($C492="","NIK kosong",IF(LEN($C492)&lt;&gt;16,"NIK bukan 16 digit",IF(COUNTIF($C$4:$C$2003,$C492&amp;"*")&gt;1,"NIK ganda",IF(AND($D492&lt;&gt;"",LEN($D492)&lt;&gt;16),"No. KK bukan 16 digit",IF(AND($F492="",$I492=""),"Alamat kosong",IF($N492="","Jabatan kosong",IF($O492="","No. HP kosong",IF(AND($R492&lt;&gt;"",$R492&lt;17),"Usia di bawah 17","")))))))))</f>
        <v/>
      </c>
      <c r="Z492" s="40" t="str">
        <f aca="false">IF($B492="","",IF(AND(OR(CARI!$C$5="",ISNUMBER(SEARCH(CARI!$C$5,$B492&amp;" "&amp;$C492&amp;" "&amp;$D492&amp;" "&amp;$O492&amp;" "&amp;$I492&amp;" "&amp;$F492&amp;" "&amp;$J492&amp;" "&amp;$K492&amp;" "&amp;$L492&amp;" "&amp;$V492))),OR(CARI!$C$6="",$F492=CARI!$C$6),OR(CARI!$C$7="",$G492=CARI!$C$7),OR(CARI!$C$8="",$T492=CARI!$C$8)),MAX($Z$3:Z491)+1,""))</f>
        <v/>
      </c>
      <c r="AA492" s="40" t="str">
        <f aca="false">IF($Y492="","",MAX($AA$3:AA491)+1)</f>
        <v/>
      </c>
      <c r="AB492" s="40" t="str">
        <f aca="false">IF($F492="","",$F492&amp;"#"&amp;COUNTIF($F$4:$F492,$F492))</f>
        <v/>
      </c>
      <c r="AC492" s="40" t="str">
        <f aca="false">IF($B492="","",IF(AND(OR(CETAK!$J$10="",$F492=CETAK!$J$10),OR(CETAK!$J$11="",$G492=CETAK!$J$11),OR(CETAK!$J$12="",$P492=CETAK!$J$12),OR(CETAK!$J$13="",$N492=CETAK!$J$13),OR(CETAK!$J$14="",$T492=CETAK!$J$14)),MAX($AC$3:AC491)+1,""))</f>
        <v/>
      </c>
      <c r="AD492" s="40" t="str">
        <f aca="false">IF($B492="","",IF(AND(OR(ABSENSI!$H$10="",$F492=ABSENSI!$H$10),OR(ABSENSI!$H$11="",$G492=ABSENSI!$H$11),OR(ABSENSI!$H$12="",$P492=ABSENSI!$H$12)),MAX($AD$3:AD491)+1,""))</f>
        <v/>
      </c>
      <c r="AE492" s="40" t="str">
        <f aca="false">IF($B492="","",IF(AND(OR(KARTU!$K$6="",$F492=KARTU!$K$6),OR(KARTU!$K$7="",$G492=KARTU!$K$7),OR(KARTU!$K$8="",$P492=KARTU!$K$8)),MAX($AE$3:AE491)+1,""))</f>
        <v/>
      </c>
    </row>
    <row r="493" customFormat="false" ht="15" hidden="false" customHeight="false" outlineLevel="0" collapsed="false">
      <c r="A493" s="35" t="str">
        <f aca="false">IF($B493="","",COUNTA($B$4:$B493))</f>
        <v/>
      </c>
      <c r="B493" s="36"/>
      <c r="C493" s="37"/>
      <c r="D493" s="37"/>
      <c r="E493" s="38"/>
      <c r="F493" s="36"/>
      <c r="G493" s="39"/>
      <c r="H493" s="39"/>
      <c r="I493" s="36"/>
      <c r="J493" s="36"/>
      <c r="K493" s="36"/>
      <c r="L493" s="36"/>
      <c r="M493" s="40" t="str">
        <f aca="false">IF($F493="","",$F493&amp;IF($G493="",""," - RT "&amp;$G493&amp;IF($H493="","","/"&amp;$H493)))</f>
        <v/>
      </c>
      <c r="N493" s="36"/>
      <c r="O493" s="37"/>
      <c r="P493" s="39"/>
      <c r="Q493" s="41"/>
      <c r="R493" s="35" t="str">
        <f aca="true">IF(OR($B493="",$Q493=""),"",DATEDIF($Q493,TODAY(),"Y"))</f>
        <v/>
      </c>
      <c r="S493" s="40" t="str">
        <f aca="false">IF($R493="","",INDEX(usia_label,MATCH($R493,usia_min,1)))</f>
        <v/>
      </c>
      <c r="T493" s="36"/>
      <c r="U493" s="41"/>
      <c r="V493" s="36"/>
      <c r="W493" s="36"/>
      <c r="X493" s="40" t="str">
        <f aca="false">IF($M493="","",$M493&amp;"#"&amp;COUNTIF($M$4:$M493,$M493))</f>
        <v/>
      </c>
      <c r="Y493" s="40" t="str">
        <f aca="false">IF($B493="","",IF($C493="","NIK kosong",IF(LEN($C493)&lt;&gt;16,"NIK bukan 16 digit",IF(COUNTIF($C$4:$C$2003,$C493&amp;"*")&gt;1,"NIK ganda",IF(AND($D493&lt;&gt;"",LEN($D493)&lt;&gt;16),"No. KK bukan 16 digit",IF(AND($F493="",$I493=""),"Alamat kosong",IF($N493="","Jabatan kosong",IF($O493="","No. HP kosong",IF(AND($R493&lt;&gt;"",$R493&lt;17),"Usia di bawah 17","")))))))))</f>
        <v/>
      </c>
      <c r="Z493" s="40" t="str">
        <f aca="false">IF($B493="","",IF(AND(OR(CARI!$C$5="",ISNUMBER(SEARCH(CARI!$C$5,$B493&amp;" "&amp;$C493&amp;" "&amp;$D493&amp;" "&amp;$O493&amp;" "&amp;$I493&amp;" "&amp;$F493&amp;" "&amp;$J493&amp;" "&amp;$K493&amp;" "&amp;$L493&amp;" "&amp;$V493))),OR(CARI!$C$6="",$F493=CARI!$C$6),OR(CARI!$C$7="",$G493=CARI!$C$7),OR(CARI!$C$8="",$T493=CARI!$C$8)),MAX($Z$3:Z492)+1,""))</f>
        <v/>
      </c>
      <c r="AA493" s="40" t="str">
        <f aca="false">IF($Y493="","",MAX($AA$3:AA492)+1)</f>
        <v/>
      </c>
      <c r="AB493" s="40" t="str">
        <f aca="false">IF($F493="","",$F493&amp;"#"&amp;COUNTIF($F$4:$F493,$F493))</f>
        <v/>
      </c>
      <c r="AC493" s="40" t="str">
        <f aca="false">IF($B493="","",IF(AND(OR(CETAK!$J$10="",$F493=CETAK!$J$10),OR(CETAK!$J$11="",$G493=CETAK!$J$11),OR(CETAK!$J$12="",$P493=CETAK!$J$12),OR(CETAK!$J$13="",$N493=CETAK!$J$13),OR(CETAK!$J$14="",$T493=CETAK!$J$14)),MAX($AC$3:AC492)+1,""))</f>
        <v/>
      </c>
      <c r="AD493" s="40" t="str">
        <f aca="false">IF($B493="","",IF(AND(OR(ABSENSI!$H$10="",$F493=ABSENSI!$H$10),OR(ABSENSI!$H$11="",$G493=ABSENSI!$H$11),OR(ABSENSI!$H$12="",$P493=ABSENSI!$H$12)),MAX($AD$3:AD492)+1,""))</f>
        <v/>
      </c>
      <c r="AE493" s="40" t="str">
        <f aca="false">IF($B493="","",IF(AND(OR(KARTU!$K$6="",$F493=KARTU!$K$6),OR(KARTU!$K$7="",$G493=KARTU!$K$7),OR(KARTU!$K$8="",$P493=KARTU!$K$8)),MAX($AE$3:AE492)+1,""))</f>
        <v/>
      </c>
    </row>
    <row r="494" customFormat="false" ht="15" hidden="false" customHeight="false" outlineLevel="0" collapsed="false">
      <c r="A494" s="35" t="str">
        <f aca="false">IF($B494="","",COUNTA($B$4:$B494))</f>
        <v/>
      </c>
      <c r="B494" s="36"/>
      <c r="C494" s="37"/>
      <c r="D494" s="37"/>
      <c r="E494" s="38"/>
      <c r="F494" s="36"/>
      <c r="G494" s="39"/>
      <c r="H494" s="39"/>
      <c r="I494" s="36"/>
      <c r="J494" s="36"/>
      <c r="K494" s="36"/>
      <c r="L494" s="36"/>
      <c r="M494" s="40" t="str">
        <f aca="false">IF($F494="","",$F494&amp;IF($G494="",""," - RT "&amp;$G494&amp;IF($H494="","","/"&amp;$H494)))</f>
        <v/>
      </c>
      <c r="N494" s="36"/>
      <c r="O494" s="37"/>
      <c r="P494" s="39"/>
      <c r="Q494" s="41"/>
      <c r="R494" s="35" t="str">
        <f aca="true">IF(OR($B494="",$Q494=""),"",DATEDIF($Q494,TODAY(),"Y"))</f>
        <v/>
      </c>
      <c r="S494" s="40" t="str">
        <f aca="false">IF($R494="","",INDEX(usia_label,MATCH($R494,usia_min,1)))</f>
        <v/>
      </c>
      <c r="T494" s="36"/>
      <c r="U494" s="41"/>
      <c r="V494" s="36"/>
      <c r="W494" s="36"/>
      <c r="X494" s="40" t="str">
        <f aca="false">IF($M494="","",$M494&amp;"#"&amp;COUNTIF($M$4:$M494,$M494))</f>
        <v/>
      </c>
      <c r="Y494" s="40" t="str">
        <f aca="false">IF($B494="","",IF($C494="","NIK kosong",IF(LEN($C494)&lt;&gt;16,"NIK bukan 16 digit",IF(COUNTIF($C$4:$C$2003,$C494&amp;"*")&gt;1,"NIK ganda",IF(AND($D494&lt;&gt;"",LEN($D494)&lt;&gt;16),"No. KK bukan 16 digit",IF(AND($F494="",$I494=""),"Alamat kosong",IF($N494="","Jabatan kosong",IF($O494="","No. HP kosong",IF(AND($R494&lt;&gt;"",$R494&lt;17),"Usia di bawah 17","")))))))))</f>
        <v/>
      </c>
      <c r="Z494" s="40" t="str">
        <f aca="false">IF($B494="","",IF(AND(OR(CARI!$C$5="",ISNUMBER(SEARCH(CARI!$C$5,$B494&amp;" "&amp;$C494&amp;" "&amp;$D494&amp;" "&amp;$O494&amp;" "&amp;$I494&amp;" "&amp;$F494&amp;" "&amp;$J494&amp;" "&amp;$K494&amp;" "&amp;$L494&amp;" "&amp;$V494))),OR(CARI!$C$6="",$F494=CARI!$C$6),OR(CARI!$C$7="",$G494=CARI!$C$7),OR(CARI!$C$8="",$T494=CARI!$C$8)),MAX($Z$3:Z493)+1,""))</f>
        <v/>
      </c>
      <c r="AA494" s="40" t="str">
        <f aca="false">IF($Y494="","",MAX($AA$3:AA493)+1)</f>
        <v/>
      </c>
      <c r="AB494" s="40" t="str">
        <f aca="false">IF($F494="","",$F494&amp;"#"&amp;COUNTIF($F$4:$F494,$F494))</f>
        <v/>
      </c>
      <c r="AC494" s="40" t="str">
        <f aca="false">IF($B494="","",IF(AND(OR(CETAK!$J$10="",$F494=CETAK!$J$10),OR(CETAK!$J$11="",$G494=CETAK!$J$11),OR(CETAK!$J$12="",$P494=CETAK!$J$12),OR(CETAK!$J$13="",$N494=CETAK!$J$13),OR(CETAK!$J$14="",$T494=CETAK!$J$14)),MAX($AC$3:AC493)+1,""))</f>
        <v/>
      </c>
      <c r="AD494" s="40" t="str">
        <f aca="false">IF($B494="","",IF(AND(OR(ABSENSI!$H$10="",$F494=ABSENSI!$H$10),OR(ABSENSI!$H$11="",$G494=ABSENSI!$H$11),OR(ABSENSI!$H$12="",$P494=ABSENSI!$H$12)),MAX($AD$3:AD493)+1,""))</f>
        <v/>
      </c>
      <c r="AE494" s="40" t="str">
        <f aca="false">IF($B494="","",IF(AND(OR(KARTU!$K$6="",$F494=KARTU!$K$6),OR(KARTU!$K$7="",$G494=KARTU!$K$7),OR(KARTU!$K$8="",$P494=KARTU!$K$8)),MAX($AE$3:AE493)+1,""))</f>
        <v/>
      </c>
    </row>
    <row r="495" customFormat="false" ht="15" hidden="false" customHeight="false" outlineLevel="0" collapsed="false">
      <c r="A495" s="35" t="str">
        <f aca="false">IF($B495="","",COUNTA($B$4:$B495))</f>
        <v/>
      </c>
      <c r="B495" s="36"/>
      <c r="C495" s="37"/>
      <c r="D495" s="37"/>
      <c r="E495" s="38"/>
      <c r="F495" s="36"/>
      <c r="G495" s="39"/>
      <c r="H495" s="39"/>
      <c r="I495" s="36"/>
      <c r="J495" s="36"/>
      <c r="K495" s="36"/>
      <c r="L495" s="36"/>
      <c r="M495" s="40" t="str">
        <f aca="false">IF($F495="","",$F495&amp;IF($G495="",""," - RT "&amp;$G495&amp;IF($H495="","","/"&amp;$H495)))</f>
        <v/>
      </c>
      <c r="N495" s="36"/>
      <c r="O495" s="37"/>
      <c r="P495" s="39"/>
      <c r="Q495" s="41"/>
      <c r="R495" s="35" t="str">
        <f aca="true">IF(OR($B495="",$Q495=""),"",DATEDIF($Q495,TODAY(),"Y"))</f>
        <v/>
      </c>
      <c r="S495" s="40" t="str">
        <f aca="false">IF($R495="","",INDEX(usia_label,MATCH($R495,usia_min,1)))</f>
        <v/>
      </c>
      <c r="T495" s="36"/>
      <c r="U495" s="41"/>
      <c r="V495" s="36"/>
      <c r="W495" s="36"/>
      <c r="X495" s="40" t="str">
        <f aca="false">IF($M495="","",$M495&amp;"#"&amp;COUNTIF($M$4:$M495,$M495))</f>
        <v/>
      </c>
      <c r="Y495" s="40" t="str">
        <f aca="false">IF($B495="","",IF($C495="","NIK kosong",IF(LEN($C495)&lt;&gt;16,"NIK bukan 16 digit",IF(COUNTIF($C$4:$C$2003,$C495&amp;"*")&gt;1,"NIK ganda",IF(AND($D495&lt;&gt;"",LEN($D495)&lt;&gt;16),"No. KK bukan 16 digit",IF(AND($F495="",$I495=""),"Alamat kosong",IF($N495="","Jabatan kosong",IF($O495="","No. HP kosong",IF(AND($R495&lt;&gt;"",$R495&lt;17),"Usia di bawah 17","")))))))))</f>
        <v/>
      </c>
      <c r="Z495" s="40" t="str">
        <f aca="false">IF($B495="","",IF(AND(OR(CARI!$C$5="",ISNUMBER(SEARCH(CARI!$C$5,$B495&amp;" "&amp;$C495&amp;" "&amp;$D495&amp;" "&amp;$O495&amp;" "&amp;$I495&amp;" "&amp;$F495&amp;" "&amp;$J495&amp;" "&amp;$K495&amp;" "&amp;$L495&amp;" "&amp;$V495))),OR(CARI!$C$6="",$F495=CARI!$C$6),OR(CARI!$C$7="",$G495=CARI!$C$7),OR(CARI!$C$8="",$T495=CARI!$C$8)),MAX($Z$3:Z494)+1,""))</f>
        <v/>
      </c>
      <c r="AA495" s="40" t="str">
        <f aca="false">IF($Y495="","",MAX($AA$3:AA494)+1)</f>
        <v/>
      </c>
      <c r="AB495" s="40" t="str">
        <f aca="false">IF($F495="","",$F495&amp;"#"&amp;COUNTIF($F$4:$F495,$F495))</f>
        <v/>
      </c>
      <c r="AC495" s="40" t="str">
        <f aca="false">IF($B495="","",IF(AND(OR(CETAK!$J$10="",$F495=CETAK!$J$10),OR(CETAK!$J$11="",$G495=CETAK!$J$11),OR(CETAK!$J$12="",$P495=CETAK!$J$12),OR(CETAK!$J$13="",$N495=CETAK!$J$13),OR(CETAK!$J$14="",$T495=CETAK!$J$14)),MAX($AC$3:AC494)+1,""))</f>
        <v/>
      </c>
      <c r="AD495" s="40" t="str">
        <f aca="false">IF($B495="","",IF(AND(OR(ABSENSI!$H$10="",$F495=ABSENSI!$H$10),OR(ABSENSI!$H$11="",$G495=ABSENSI!$H$11),OR(ABSENSI!$H$12="",$P495=ABSENSI!$H$12)),MAX($AD$3:AD494)+1,""))</f>
        <v/>
      </c>
      <c r="AE495" s="40" t="str">
        <f aca="false">IF($B495="","",IF(AND(OR(KARTU!$K$6="",$F495=KARTU!$K$6),OR(KARTU!$K$7="",$G495=KARTU!$K$7),OR(KARTU!$K$8="",$P495=KARTU!$K$8)),MAX($AE$3:AE494)+1,""))</f>
        <v/>
      </c>
    </row>
    <row r="496" customFormat="false" ht="15" hidden="false" customHeight="false" outlineLevel="0" collapsed="false">
      <c r="A496" s="35" t="str">
        <f aca="false">IF($B496="","",COUNTA($B$4:$B496))</f>
        <v/>
      </c>
      <c r="B496" s="36"/>
      <c r="C496" s="37"/>
      <c r="D496" s="37"/>
      <c r="E496" s="38"/>
      <c r="F496" s="36"/>
      <c r="G496" s="39"/>
      <c r="H496" s="39"/>
      <c r="I496" s="36"/>
      <c r="J496" s="36"/>
      <c r="K496" s="36"/>
      <c r="L496" s="36"/>
      <c r="M496" s="40" t="str">
        <f aca="false">IF($F496="","",$F496&amp;IF($G496="",""," - RT "&amp;$G496&amp;IF($H496="","","/"&amp;$H496)))</f>
        <v/>
      </c>
      <c r="N496" s="36"/>
      <c r="O496" s="37"/>
      <c r="P496" s="39"/>
      <c r="Q496" s="41"/>
      <c r="R496" s="35" t="str">
        <f aca="true">IF(OR($B496="",$Q496=""),"",DATEDIF($Q496,TODAY(),"Y"))</f>
        <v/>
      </c>
      <c r="S496" s="40" t="str">
        <f aca="false">IF($R496="","",INDEX(usia_label,MATCH($R496,usia_min,1)))</f>
        <v/>
      </c>
      <c r="T496" s="36"/>
      <c r="U496" s="41"/>
      <c r="V496" s="36"/>
      <c r="W496" s="36"/>
      <c r="X496" s="40" t="str">
        <f aca="false">IF($M496="","",$M496&amp;"#"&amp;COUNTIF($M$4:$M496,$M496))</f>
        <v/>
      </c>
      <c r="Y496" s="40" t="str">
        <f aca="false">IF($B496="","",IF($C496="","NIK kosong",IF(LEN($C496)&lt;&gt;16,"NIK bukan 16 digit",IF(COUNTIF($C$4:$C$2003,$C496&amp;"*")&gt;1,"NIK ganda",IF(AND($D496&lt;&gt;"",LEN($D496)&lt;&gt;16),"No. KK bukan 16 digit",IF(AND($F496="",$I496=""),"Alamat kosong",IF($N496="","Jabatan kosong",IF($O496="","No. HP kosong",IF(AND($R496&lt;&gt;"",$R496&lt;17),"Usia di bawah 17","")))))))))</f>
        <v/>
      </c>
      <c r="Z496" s="40" t="str">
        <f aca="false">IF($B496="","",IF(AND(OR(CARI!$C$5="",ISNUMBER(SEARCH(CARI!$C$5,$B496&amp;" "&amp;$C496&amp;" "&amp;$D496&amp;" "&amp;$O496&amp;" "&amp;$I496&amp;" "&amp;$F496&amp;" "&amp;$J496&amp;" "&amp;$K496&amp;" "&amp;$L496&amp;" "&amp;$V496))),OR(CARI!$C$6="",$F496=CARI!$C$6),OR(CARI!$C$7="",$G496=CARI!$C$7),OR(CARI!$C$8="",$T496=CARI!$C$8)),MAX($Z$3:Z495)+1,""))</f>
        <v/>
      </c>
      <c r="AA496" s="40" t="str">
        <f aca="false">IF($Y496="","",MAX($AA$3:AA495)+1)</f>
        <v/>
      </c>
      <c r="AB496" s="40" t="str">
        <f aca="false">IF($F496="","",$F496&amp;"#"&amp;COUNTIF($F$4:$F496,$F496))</f>
        <v/>
      </c>
      <c r="AC496" s="40" t="str">
        <f aca="false">IF($B496="","",IF(AND(OR(CETAK!$J$10="",$F496=CETAK!$J$10),OR(CETAK!$J$11="",$G496=CETAK!$J$11),OR(CETAK!$J$12="",$P496=CETAK!$J$12),OR(CETAK!$J$13="",$N496=CETAK!$J$13),OR(CETAK!$J$14="",$T496=CETAK!$J$14)),MAX($AC$3:AC495)+1,""))</f>
        <v/>
      </c>
      <c r="AD496" s="40" t="str">
        <f aca="false">IF($B496="","",IF(AND(OR(ABSENSI!$H$10="",$F496=ABSENSI!$H$10),OR(ABSENSI!$H$11="",$G496=ABSENSI!$H$11),OR(ABSENSI!$H$12="",$P496=ABSENSI!$H$12)),MAX($AD$3:AD495)+1,""))</f>
        <v/>
      </c>
      <c r="AE496" s="40" t="str">
        <f aca="false">IF($B496="","",IF(AND(OR(KARTU!$K$6="",$F496=KARTU!$K$6),OR(KARTU!$K$7="",$G496=KARTU!$K$7),OR(KARTU!$K$8="",$P496=KARTU!$K$8)),MAX($AE$3:AE495)+1,""))</f>
        <v/>
      </c>
    </row>
    <row r="497" customFormat="false" ht="15" hidden="false" customHeight="false" outlineLevel="0" collapsed="false">
      <c r="A497" s="35" t="str">
        <f aca="false">IF($B497="","",COUNTA($B$4:$B497))</f>
        <v/>
      </c>
      <c r="B497" s="36"/>
      <c r="C497" s="37"/>
      <c r="D497" s="37"/>
      <c r="E497" s="38"/>
      <c r="F497" s="36"/>
      <c r="G497" s="39"/>
      <c r="H497" s="39"/>
      <c r="I497" s="36"/>
      <c r="J497" s="36"/>
      <c r="K497" s="36"/>
      <c r="L497" s="36"/>
      <c r="M497" s="40" t="str">
        <f aca="false">IF($F497="","",$F497&amp;IF($G497="",""," - RT "&amp;$G497&amp;IF($H497="","","/"&amp;$H497)))</f>
        <v/>
      </c>
      <c r="N497" s="36"/>
      <c r="O497" s="37"/>
      <c r="P497" s="39"/>
      <c r="Q497" s="41"/>
      <c r="R497" s="35" t="str">
        <f aca="true">IF(OR($B497="",$Q497=""),"",DATEDIF($Q497,TODAY(),"Y"))</f>
        <v/>
      </c>
      <c r="S497" s="40" t="str">
        <f aca="false">IF($R497="","",INDEX(usia_label,MATCH($R497,usia_min,1)))</f>
        <v/>
      </c>
      <c r="T497" s="36"/>
      <c r="U497" s="41"/>
      <c r="V497" s="36"/>
      <c r="W497" s="36"/>
      <c r="X497" s="40" t="str">
        <f aca="false">IF($M497="","",$M497&amp;"#"&amp;COUNTIF($M$4:$M497,$M497))</f>
        <v/>
      </c>
      <c r="Y497" s="40" t="str">
        <f aca="false">IF($B497="","",IF($C497="","NIK kosong",IF(LEN($C497)&lt;&gt;16,"NIK bukan 16 digit",IF(COUNTIF($C$4:$C$2003,$C497&amp;"*")&gt;1,"NIK ganda",IF(AND($D497&lt;&gt;"",LEN($D497)&lt;&gt;16),"No. KK bukan 16 digit",IF(AND($F497="",$I497=""),"Alamat kosong",IF($N497="","Jabatan kosong",IF($O497="","No. HP kosong",IF(AND($R497&lt;&gt;"",$R497&lt;17),"Usia di bawah 17","")))))))))</f>
        <v/>
      </c>
      <c r="Z497" s="40" t="str">
        <f aca="false">IF($B497="","",IF(AND(OR(CARI!$C$5="",ISNUMBER(SEARCH(CARI!$C$5,$B497&amp;" "&amp;$C497&amp;" "&amp;$D497&amp;" "&amp;$O497&amp;" "&amp;$I497&amp;" "&amp;$F497&amp;" "&amp;$J497&amp;" "&amp;$K497&amp;" "&amp;$L497&amp;" "&amp;$V497))),OR(CARI!$C$6="",$F497=CARI!$C$6),OR(CARI!$C$7="",$G497=CARI!$C$7),OR(CARI!$C$8="",$T497=CARI!$C$8)),MAX($Z$3:Z496)+1,""))</f>
        <v/>
      </c>
      <c r="AA497" s="40" t="str">
        <f aca="false">IF($Y497="","",MAX($AA$3:AA496)+1)</f>
        <v/>
      </c>
      <c r="AB497" s="40" t="str">
        <f aca="false">IF($F497="","",$F497&amp;"#"&amp;COUNTIF($F$4:$F497,$F497))</f>
        <v/>
      </c>
      <c r="AC497" s="40" t="str">
        <f aca="false">IF($B497="","",IF(AND(OR(CETAK!$J$10="",$F497=CETAK!$J$10),OR(CETAK!$J$11="",$G497=CETAK!$J$11),OR(CETAK!$J$12="",$P497=CETAK!$J$12),OR(CETAK!$J$13="",$N497=CETAK!$J$13),OR(CETAK!$J$14="",$T497=CETAK!$J$14)),MAX($AC$3:AC496)+1,""))</f>
        <v/>
      </c>
      <c r="AD497" s="40" t="str">
        <f aca="false">IF($B497="","",IF(AND(OR(ABSENSI!$H$10="",$F497=ABSENSI!$H$10),OR(ABSENSI!$H$11="",$G497=ABSENSI!$H$11),OR(ABSENSI!$H$12="",$P497=ABSENSI!$H$12)),MAX($AD$3:AD496)+1,""))</f>
        <v/>
      </c>
      <c r="AE497" s="40" t="str">
        <f aca="false">IF($B497="","",IF(AND(OR(KARTU!$K$6="",$F497=KARTU!$K$6),OR(KARTU!$K$7="",$G497=KARTU!$K$7),OR(KARTU!$K$8="",$P497=KARTU!$K$8)),MAX($AE$3:AE496)+1,""))</f>
        <v/>
      </c>
    </row>
    <row r="498" customFormat="false" ht="15" hidden="false" customHeight="false" outlineLevel="0" collapsed="false">
      <c r="A498" s="35" t="str">
        <f aca="false">IF($B498="","",COUNTA($B$4:$B498))</f>
        <v/>
      </c>
      <c r="B498" s="36"/>
      <c r="C498" s="37"/>
      <c r="D498" s="37"/>
      <c r="E498" s="38"/>
      <c r="F498" s="36"/>
      <c r="G498" s="39"/>
      <c r="H498" s="39"/>
      <c r="I498" s="36"/>
      <c r="J498" s="36"/>
      <c r="K498" s="36"/>
      <c r="L498" s="36"/>
      <c r="M498" s="40" t="str">
        <f aca="false">IF($F498="","",$F498&amp;IF($G498="",""," - RT "&amp;$G498&amp;IF($H498="","","/"&amp;$H498)))</f>
        <v/>
      </c>
      <c r="N498" s="36"/>
      <c r="O498" s="37"/>
      <c r="P498" s="39"/>
      <c r="Q498" s="41"/>
      <c r="R498" s="35" t="str">
        <f aca="true">IF(OR($B498="",$Q498=""),"",DATEDIF($Q498,TODAY(),"Y"))</f>
        <v/>
      </c>
      <c r="S498" s="40" t="str">
        <f aca="false">IF($R498="","",INDEX(usia_label,MATCH($R498,usia_min,1)))</f>
        <v/>
      </c>
      <c r="T498" s="36"/>
      <c r="U498" s="41"/>
      <c r="V498" s="36"/>
      <c r="W498" s="36"/>
      <c r="X498" s="40" t="str">
        <f aca="false">IF($M498="","",$M498&amp;"#"&amp;COUNTIF($M$4:$M498,$M498))</f>
        <v/>
      </c>
      <c r="Y498" s="40" t="str">
        <f aca="false">IF($B498="","",IF($C498="","NIK kosong",IF(LEN($C498)&lt;&gt;16,"NIK bukan 16 digit",IF(COUNTIF($C$4:$C$2003,$C498&amp;"*")&gt;1,"NIK ganda",IF(AND($D498&lt;&gt;"",LEN($D498)&lt;&gt;16),"No. KK bukan 16 digit",IF(AND($F498="",$I498=""),"Alamat kosong",IF($N498="","Jabatan kosong",IF($O498="","No. HP kosong",IF(AND($R498&lt;&gt;"",$R498&lt;17),"Usia di bawah 17","")))))))))</f>
        <v/>
      </c>
      <c r="Z498" s="40" t="str">
        <f aca="false">IF($B498="","",IF(AND(OR(CARI!$C$5="",ISNUMBER(SEARCH(CARI!$C$5,$B498&amp;" "&amp;$C498&amp;" "&amp;$D498&amp;" "&amp;$O498&amp;" "&amp;$I498&amp;" "&amp;$F498&amp;" "&amp;$J498&amp;" "&amp;$K498&amp;" "&amp;$L498&amp;" "&amp;$V498))),OR(CARI!$C$6="",$F498=CARI!$C$6),OR(CARI!$C$7="",$G498=CARI!$C$7),OR(CARI!$C$8="",$T498=CARI!$C$8)),MAX($Z$3:Z497)+1,""))</f>
        <v/>
      </c>
      <c r="AA498" s="40" t="str">
        <f aca="false">IF($Y498="","",MAX($AA$3:AA497)+1)</f>
        <v/>
      </c>
      <c r="AB498" s="40" t="str">
        <f aca="false">IF($F498="","",$F498&amp;"#"&amp;COUNTIF($F$4:$F498,$F498))</f>
        <v/>
      </c>
      <c r="AC498" s="40" t="str">
        <f aca="false">IF($B498="","",IF(AND(OR(CETAK!$J$10="",$F498=CETAK!$J$10),OR(CETAK!$J$11="",$G498=CETAK!$J$11),OR(CETAK!$J$12="",$P498=CETAK!$J$12),OR(CETAK!$J$13="",$N498=CETAK!$J$13),OR(CETAK!$J$14="",$T498=CETAK!$J$14)),MAX($AC$3:AC497)+1,""))</f>
        <v/>
      </c>
      <c r="AD498" s="40" t="str">
        <f aca="false">IF($B498="","",IF(AND(OR(ABSENSI!$H$10="",$F498=ABSENSI!$H$10),OR(ABSENSI!$H$11="",$G498=ABSENSI!$H$11),OR(ABSENSI!$H$12="",$P498=ABSENSI!$H$12)),MAX($AD$3:AD497)+1,""))</f>
        <v/>
      </c>
      <c r="AE498" s="40" t="str">
        <f aca="false">IF($B498="","",IF(AND(OR(KARTU!$K$6="",$F498=KARTU!$K$6),OR(KARTU!$K$7="",$G498=KARTU!$K$7),OR(KARTU!$K$8="",$P498=KARTU!$K$8)),MAX($AE$3:AE497)+1,""))</f>
        <v/>
      </c>
    </row>
    <row r="499" customFormat="false" ht="15" hidden="false" customHeight="false" outlineLevel="0" collapsed="false">
      <c r="A499" s="35" t="str">
        <f aca="false">IF($B499="","",COUNTA($B$4:$B499))</f>
        <v/>
      </c>
      <c r="B499" s="36"/>
      <c r="C499" s="37"/>
      <c r="D499" s="37"/>
      <c r="E499" s="38"/>
      <c r="F499" s="36"/>
      <c r="G499" s="39"/>
      <c r="H499" s="39"/>
      <c r="I499" s="36"/>
      <c r="J499" s="36"/>
      <c r="K499" s="36"/>
      <c r="L499" s="36"/>
      <c r="M499" s="40" t="str">
        <f aca="false">IF($F499="","",$F499&amp;IF($G499="",""," - RT "&amp;$G499&amp;IF($H499="","","/"&amp;$H499)))</f>
        <v/>
      </c>
      <c r="N499" s="36"/>
      <c r="O499" s="37"/>
      <c r="P499" s="39"/>
      <c r="Q499" s="41"/>
      <c r="R499" s="35" t="str">
        <f aca="true">IF(OR($B499="",$Q499=""),"",DATEDIF($Q499,TODAY(),"Y"))</f>
        <v/>
      </c>
      <c r="S499" s="40" t="str">
        <f aca="false">IF($R499="","",INDEX(usia_label,MATCH($R499,usia_min,1)))</f>
        <v/>
      </c>
      <c r="T499" s="36"/>
      <c r="U499" s="41"/>
      <c r="V499" s="36"/>
      <c r="W499" s="36"/>
      <c r="X499" s="40" t="str">
        <f aca="false">IF($M499="","",$M499&amp;"#"&amp;COUNTIF($M$4:$M499,$M499))</f>
        <v/>
      </c>
      <c r="Y499" s="40" t="str">
        <f aca="false">IF($B499="","",IF($C499="","NIK kosong",IF(LEN($C499)&lt;&gt;16,"NIK bukan 16 digit",IF(COUNTIF($C$4:$C$2003,$C499&amp;"*")&gt;1,"NIK ganda",IF(AND($D499&lt;&gt;"",LEN($D499)&lt;&gt;16),"No. KK bukan 16 digit",IF(AND($F499="",$I499=""),"Alamat kosong",IF($N499="","Jabatan kosong",IF($O499="","No. HP kosong",IF(AND($R499&lt;&gt;"",$R499&lt;17),"Usia di bawah 17","")))))))))</f>
        <v/>
      </c>
      <c r="Z499" s="40" t="str">
        <f aca="false">IF($B499="","",IF(AND(OR(CARI!$C$5="",ISNUMBER(SEARCH(CARI!$C$5,$B499&amp;" "&amp;$C499&amp;" "&amp;$D499&amp;" "&amp;$O499&amp;" "&amp;$I499&amp;" "&amp;$F499&amp;" "&amp;$J499&amp;" "&amp;$K499&amp;" "&amp;$L499&amp;" "&amp;$V499))),OR(CARI!$C$6="",$F499=CARI!$C$6),OR(CARI!$C$7="",$G499=CARI!$C$7),OR(CARI!$C$8="",$T499=CARI!$C$8)),MAX($Z$3:Z498)+1,""))</f>
        <v/>
      </c>
      <c r="AA499" s="40" t="str">
        <f aca="false">IF($Y499="","",MAX($AA$3:AA498)+1)</f>
        <v/>
      </c>
      <c r="AB499" s="40" t="str">
        <f aca="false">IF($F499="","",$F499&amp;"#"&amp;COUNTIF($F$4:$F499,$F499))</f>
        <v/>
      </c>
      <c r="AC499" s="40" t="str">
        <f aca="false">IF($B499="","",IF(AND(OR(CETAK!$J$10="",$F499=CETAK!$J$10),OR(CETAK!$J$11="",$G499=CETAK!$J$11),OR(CETAK!$J$12="",$P499=CETAK!$J$12),OR(CETAK!$J$13="",$N499=CETAK!$J$13),OR(CETAK!$J$14="",$T499=CETAK!$J$14)),MAX($AC$3:AC498)+1,""))</f>
        <v/>
      </c>
      <c r="AD499" s="40" t="str">
        <f aca="false">IF($B499="","",IF(AND(OR(ABSENSI!$H$10="",$F499=ABSENSI!$H$10),OR(ABSENSI!$H$11="",$G499=ABSENSI!$H$11),OR(ABSENSI!$H$12="",$P499=ABSENSI!$H$12)),MAX($AD$3:AD498)+1,""))</f>
        <v/>
      </c>
      <c r="AE499" s="40" t="str">
        <f aca="false">IF($B499="","",IF(AND(OR(KARTU!$K$6="",$F499=KARTU!$K$6),OR(KARTU!$K$7="",$G499=KARTU!$K$7),OR(KARTU!$K$8="",$P499=KARTU!$K$8)),MAX($AE$3:AE498)+1,""))</f>
        <v/>
      </c>
    </row>
    <row r="500" customFormat="false" ht="15" hidden="false" customHeight="false" outlineLevel="0" collapsed="false">
      <c r="A500" s="35" t="str">
        <f aca="false">IF($B500="","",COUNTA($B$4:$B500))</f>
        <v/>
      </c>
      <c r="B500" s="36"/>
      <c r="C500" s="37"/>
      <c r="D500" s="37"/>
      <c r="E500" s="38"/>
      <c r="F500" s="36"/>
      <c r="G500" s="39"/>
      <c r="H500" s="39"/>
      <c r="I500" s="36"/>
      <c r="J500" s="36"/>
      <c r="K500" s="36"/>
      <c r="L500" s="36"/>
      <c r="M500" s="40" t="str">
        <f aca="false">IF($F500="","",$F500&amp;IF($G500="",""," - RT "&amp;$G500&amp;IF($H500="","","/"&amp;$H500)))</f>
        <v/>
      </c>
      <c r="N500" s="36"/>
      <c r="O500" s="37"/>
      <c r="P500" s="39"/>
      <c r="Q500" s="41"/>
      <c r="R500" s="35" t="str">
        <f aca="true">IF(OR($B500="",$Q500=""),"",DATEDIF($Q500,TODAY(),"Y"))</f>
        <v/>
      </c>
      <c r="S500" s="40" t="str">
        <f aca="false">IF($R500="","",INDEX(usia_label,MATCH($R500,usia_min,1)))</f>
        <v/>
      </c>
      <c r="T500" s="36"/>
      <c r="U500" s="41"/>
      <c r="V500" s="36"/>
      <c r="W500" s="36"/>
      <c r="X500" s="40" t="str">
        <f aca="false">IF($M500="","",$M500&amp;"#"&amp;COUNTIF($M$4:$M500,$M500))</f>
        <v/>
      </c>
      <c r="Y500" s="40" t="str">
        <f aca="false">IF($B500="","",IF($C500="","NIK kosong",IF(LEN($C500)&lt;&gt;16,"NIK bukan 16 digit",IF(COUNTIF($C$4:$C$2003,$C500&amp;"*")&gt;1,"NIK ganda",IF(AND($D500&lt;&gt;"",LEN($D500)&lt;&gt;16),"No. KK bukan 16 digit",IF(AND($F500="",$I500=""),"Alamat kosong",IF($N500="","Jabatan kosong",IF($O500="","No. HP kosong",IF(AND($R500&lt;&gt;"",$R500&lt;17),"Usia di bawah 17","")))))))))</f>
        <v/>
      </c>
      <c r="Z500" s="40" t="str">
        <f aca="false">IF($B500="","",IF(AND(OR(CARI!$C$5="",ISNUMBER(SEARCH(CARI!$C$5,$B500&amp;" "&amp;$C500&amp;" "&amp;$D500&amp;" "&amp;$O500&amp;" "&amp;$I500&amp;" "&amp;$F500&amp;" "&amp;$J500&amp;" "&amp;$K500&amp;" "&amp;$L500&amp;" "&amp;$V500))),OR(CARI!$C$6="",$F500=CARI!$C$6),OR(CARI!$C$7="",$G500=CARI!$C$7),OR(CARI!$C$8="",$T500=CARI!$C$8)),MAX($Z$3:Z499)+1,""))</f>
        <v/>
      </c>
      <c r="AA500" s="40" t="str">
        <f aca="false">IF($Y500="","",MAX($AA$3:AA499)+1)</f>
        <v/>
      </c>
      <c r="AB500" s="40" t="str">
        <f aca="false">IF($F500="","",$F500&amp;"#"&amp;COUNTIF($F$4:$F500,$F500))</f>
        <v/>
      </c>
      <c r="AC500" s="40" t="str">
        <f aca="false">IF($B500="","",IF(AND(OR(CETAK!$J$10="",$F500=CETAK!$J$10),OR(CETAK!$J$11="",$G500=CETAK!$J$11),OR(CETAK!$J$12="",$P500=CETAK!$J$12),OR(CETAK!$J$13="",$N500=CETAK!$J$13),OR(CETAK!$J$14="",$T500=CETAK!$J$14)),MAX($AC$3:AC499)+1,""))</f>
        <v/>
      </c>
      <c r="AD500" s="40" t="str">
        <f aca="false">IF($B500="","",IF(AND(OR(ABSENSI!$H$10="",$F500=ABSENSI!$H$10),OR(ABSENSI!$H$11="",$G500=ABSENSI!$H$11),OR(ABSENSI!$H$12="",$P500=ABSENSI!$H$12)),MAX($AD$3:AD499)+1,""))</f>
        <v/>
      </c>
      <c r="AE500" s="40" t="str">
        <f aca="false">IF($B500="","",IF(AND(OR(KARTU!$K$6="",$F500=KARTU!$K$6),OR(KARTU!$K$7="",$G500=KARTU!$K$7),OR(KARTU!$K$8="",$P500=KARTU!$K$8)),MAX($AE$3:AE499)+1,""))</f>
        <v/>
      </c>
    </row>
    <row r="501" customFormat="false" ht="15" hidden="false" customHeight="false" outlineLevel="0" collapsed="false">
      <c r="A501" s="35" t="str">
        <f aca="false">IF($B501="","",COUNTA($B$4:$B501))</f>
        <v/>
      </c>
      <c r="B501" s="36"/>
      <c r="C501" s="37"/>
      <c r="D501" s="37"/>
      <c r="E501" s="38"/>
      <c r="F501" s="36"/>
      <c r="G501" s="39"/>
      <c r="H501" s="39"/>
      <c r="I501" s="36"/>
      <c r="J501" s="36"/>
      <c r="K501" s="36"/>
      <c r="L501" s="36"/>
      <c r="M501" s="40" t="str">
        <f aca="false">IF($F501="","",$F501&amp;IF($G501="",""," - RT "&amp;$G501&amp;IF($H501="","","/"&amp;$H501)))</f>
        <v/>
      </c>
      <c r="N501" s="36"/>
      <c r="O501" s="37"/>
      <c r="P501" s="39"/>
      <c r="Q501" s="41"/>
      <c r="R501" s="35" t="str">
        <f aca="true">IF(OR($B501="",$Q501=""),"",DATEDIF($Q501,TODAY(),"Y"))</f>
        <v/>
      </c>
      <c r="S501" s="40" t="str">
        <f aca="false">IF($R501="","",INDEX(usia_label,MATCH($R501,usia_min,1)))</f>
        <v/>
      </c>
      <c r="T501" s="36"/>
      <c r="U501" s="41"/>
      <c r="V501" s="36"/>
      <c r="W501" s="36"/>
      <c r="X501" s="40" t="str">
        <f aca="false">IF($M501="","",$M501&amp;"#"&amp;COUNTIF($M$4:$M501,$M501))</f>
        <v/>
      </c>
      <c r="Y501" s="40" t="str">
        <f aca="false">IF($B501="","",IF($C501="","NIK kosong",IF(LEN($C501)&lt;&gt;16,"NIK bukan 16 digit",IF(COUNTIF($C$4:$C$2003,$C501&amp;"*")&gt;1,"NIK ganda",IF(AND($D501&lt;&gt;"",LEN($D501)&lt;&gt;16),"No. KK bukan 16 digit",IF(AND($F501="",$I501=""),"Alamat kosong",IF($N501="","Jabatan kosong",IF($O501="","No. HP kosong",IF(AND($R501&lt;&gt;"",$R501&lt;17),"Usia di bawah 17","")))))))))</f>
        <v/>
      </c>
      <c r="Z501" s="40" t="str">
        <f aca="false">IF($B501="","",IF(AND(OR(CARI!$C$5="",ISNUMBER(SEARCH(CARI!$C$5,$B501&amp;" "&amp;$C501&amp;" "&amp;$D501&amp;" "&amp;$O501&amp;" "&amp;$I501&amp;" "&amp;$F501&amp;" "&amp;$J501&amp;" "&amp;$K501&amp;" "&amp;$L501&amp;" "&amp;$V501))),OR(CARI!$C$6="",$F501=CARI!$C$6),OR(CARI!$C$7="",$G501=CARI!$C$7),OR(CARI!$C$8="",$T501=CARI!$C$8)),MAX($Z$3:Z500)+1,""))</f>
        <v/>
      </c>
      <c r="AA501" s="40" t="str">
        <f aca="false">IF($Y501="","",MAX($AA$3:AA500)+1)</f>
        <v/>
      </c>
      <c r="AB501" s="40" t="str">
        <f aca="false">IF($F501="","",$F501&amp;"#"&amp;COUNTIF($F$4:$F501,$F501))</f>
        <v/>
      </c>
      <c r="AC501" s="40" t="str">
        <f aca="false">IF($B501="","",IF(AND(OR(CETAK!$J$10="",$F501=CETAK!$J$10),OR(CETAK!$J$11="",$G501=CETAK!$J$11),OR(CETAK!$J$12="",$P501=CETAK!$J$12),OR(CETAK!$J$13="",$N501=CETAK!$J$13),OR(CETAK!$J$14="",$T501=CETAK!$J$14)),MAX($AC$3:AC500)+1,""))</f>
        <v/>
      </c>
      <c r="AD501" s="40" t="str">
        <f aca="false">IF($B501="","",IF(AND(OR(ABSENSI!$H$10="",$F501=ABSENSI!$H$10),OR(ABSENSI!$H$11="",$G501=ABSENSI!$H$11),OR(ABSENSI!$H$12="",$P501=ABSENSI!$H$12)),MAX($AD$3:AD500)+1,""))</f>
        <v/>
      </c>
      <c r="AE501" s="40" t="str">
        <f aca="false">IF($B501="","",IF(AND(OR(KARTU!$K$6="",$F501=KARTU!$K$6),OR(KARTU!$K$7="",$G501=KARTU!$K$7),OR(KARTU!$K$8="",$P501=KARTU!$K$8)),MAX($AE$3:AE500)+1,""))</f>
        <v/>
      </c>
    </row>
    <row r="502" customFormat="false" ht="15" hidden="false" customHeight="false" outlineLevel="0" collapsed="false">
      <c r="A502" s="35" t="str">
        <f aca="false">IF($B502="","",COUNTA($B$4:$B502))</f>
        <v/>
      </c>
      <c r="B502" s="36"/>
      <c r="C502" s="37"/>
      <c r="D502" s="37"/>
      <c r="E502" s="38"/>
      <c r="F502" s="36"/>
      <c r="G502" s="39"/>
      <c r="H502" s="39"/>
      <c r="I502" s="36"/>
      <c r="J502" s="36"/>
      <c r="K502" s="36"/>
      <c r="L502" s="36"/>
      <c r="M502" s="40" t="str">
        <f aca="false">IF($F502="","",$F502&amp;IF($G502="",""," - RT "&amp;$G502&amp;IF($H502="","","/"&amp;$H502)))</f>
        <v/>
      </c>
      <c r="N502" s="36"/>
      <c r="O502" s="37"/>
      <c r="P502" s="39"/>
      <c r="Q502" s="41"/>
      <c r="R502" s="35" t="str">
        <f aca="true">IF(OR($B502="",$Q502=""),"",DATEDIF($Q502,TODAY(),"Y"))</f>
        <v/>
      </c>
      <c r="S502" s="40" t="str">
        <f aca="false">IF($R502="","",INDEX(usia_label,MATCH($R502,usia_min,1)))</f>
        <v/>
      </c>
      <c r="T502" s="36"/>
      <c r="U502" s="41"/>
      <c r="V502" s="36"/>
      <c r="W502" s="36"/>
      <c r="X502" s="40" t="str">
        <f aca="false">IF($M502="","",$M502&amp;"#"&amp;COUNTIF($M$4:$M502,$M502))</f>
        <v/>
      </c>
      <c r="Y502" s="40" t="str">
        <f aca="false">IF($B502="","",IF($C502="","NIK kosong",IF(LEN($C502)&lt;&gt;16,"NIK bukan 16 digit",IF(COUNTIF($C$4:$C$2003,$C502&amp;"*")&gt;1,"NIK ganda",IF(AND($D502&lt;&gt;"",LEN($D502)&lt;&gt;16),"No. KK bukan 16 digit",IF(AND($F502="",$I502=""),"Alamat kosong",IF($N502="","Jabatan kosong",IF($O502="","No. HP kosong",IF(AND($R502&lt;&gt;"",$R502&lt;17),"Usia di bawah 17","")))))))))</f>
        <v/>
      </c>
      <c r="Z502" s="40" t="str">
        <f aca="false">IF($B502="","",IF(AND(OR(CARI!$C$5="",ISNUMBER(SEARCH(CARI!$C$5,$B502&amp;" "&amp;$C502&amp;" "&amp;$D502&amp;" "&amp;$O502&amp;" "&amp;$I502&amp;" "&amp;$F502&amp;" "&amp;$J502&amp;" "&amp;$K502&amp;" "&amp;$L502&amp;" "&amp;$V502))),OR(CARI!$C$6="",$F502=CARI!$C$6),OR(CARI!$C$7="",$G502=CARI!$C$7),OR(CARI!$C$8="",$T502=CARI!$C$8)),MAX($Z$3:Z501)+1,""))</f>
        <v/>
      </c>
      <c r="AA502" s="40" t="str">
        <f aca="false">IF($Y502="","",MAX($AA$3:AA501)+1)</f>
        <v/>
      </c>
      <c r="AB502" s="40" t="str">
        <f aca="false">IF($F502="","",$F502&amp;"#"&amp;COUNTIF($F$4:$F502,$F502))</f>
        <v/>
      </c>
      <c r="AC502" s="40" t="str">
        <f aca="false">IF($B502="","",IF(AND(OR(CETAK!$J$10="",$F502=CETAK!$J$10),OR(CETAK!$J$11="",$G502=CETAK!$J$11),OR(CETAK!$J$12="",$P502=CETAK!$J$12),OR(CETAK!$J$13="",$N502=CETAK!$J$13),OR(CETAK!$J$14="",$T502=CETAK!$J$14)),MAX($AC$3:AC501)+1,""))</f>
        <v/>
      </c>
      <c r="AD502" s="40" t="str">
        <f aca="false">IF($B502="","",IF(AND(OR(ABSENSI!$H$10="",$F502=ABSENSI!$H$10),OR(ABSENSI!$H$11="",$G502=ABSENSI!$H$11),OR(ABSENSI!$H$12="",$P502=ABSENSI!$H$12)),MAX($AD$3:AD501)+1,""))</f>
        <v/>
      </c>
      <c r="AE502" s="40" t="str">
        <f aca="false">IF($B502="","",IF(AND(OR(KARTU!$K$6="",$F502=KARTU!$K$6),OR(KARTU!$K$7="",$G502=KARTU!$K$7),OR(KARTU!$K$8="",$P502=KARTU!$K$8)),MAX($AE$3:AE501)+1,""))</f>
        <v/>
      </c>
    </row>
    <row r="503" customFormat="false" ht="15" hidden="false" customHeight="false" outlineLevel="0" collapsed="false">
      <c r="A503" s="35" t="str">
        <f aca="false">IF($B503="","",COUNTA($B$4:$B503))</f>
        <v/>
      </c>
      <c r="B503" s="36"/>
      <c r="C503" s="37"/>
      <c r="D503" s="37"/>
      <c r="E503" s="38"/>
      <c r="F503" s="36"/>
      <c r="G503" s="39"/>
      <c r="H503" s="39"/>
      <c r="I503" s="36"/>
      <c r="J503" s="36"/>
      <c r="K503" s="36"/>
      <c r="L503" s="36"/>
      <c r="M503" s="40" t="str">
        <f aca="false">IF($F503="","",$F503&amp;IF($G503="",""," - RT "&amp;$G503&amp;IF($H503="","","/"&amp;$H503)))</f>
        <v/>
      </c>
      <c r="N503" s="36"/>
      <c r="O503" s="37"/>
      <c r="P503" s="39"/>
      <c r="Q503" s="41"/>
      <c r="R503" s="35" t="str">
        <f aca="true">IF(OR($B503="",$Q503=""),"",DATEDIF($Q503,TODAY(),"Y"))</f>
        <v/>
      </c>
      <c r="S503" s="40" t="str">
        <f aca="false">IF($R503="","",INDEX(usia_label,MATCH($R503,usia_min,1)))</f>
        <v/>
      </c>
      <c r="T503" s="36"/>
      <c r="U503" s="41"/>
      <c r="V503" s="36"/>
      <c r="W503" s="36"/>
      <c r="X503" s="40" t="str">
        <f aca="false">IF($M503="","",$M503&amp;"#"&amp;COUNTIF($M$4:$M503,$M503))</f>
        <v/>
      </c>
      <c r="Y503" s="40" t="str">
        <f aca="false">IF($B503="","",IF($C503="","NIK kosong",IF(LEN($C503)&lt;&gt;16,"NIK bukan 16 digit",IF(COUNTIF($C$4:$C$2003,$C503&amp;"*")&gt;1,"NIK ganda",IF(AND($D503&lt;&gt;"",LEN($D503)&lt;&gt;16),"No. KK bukan 16 digit",IF(AND($F503="",$I503=""),"Alamat kosong",IF($N503="","Jabatan kosong",IF($O503="","No. HP kosong",IF(AND($R503&lt;&gt;"",$R503&lt;17),"Usia di bawah 17","")))))))))</f>
        <v/>
      </c>
      <c r="Z503" s="40" t="str">
        <f aca="false">IF($B503="","",IF(AND(OR(CARI!$C$5="",ISNUMBER(SEARCH(CARI!$C$5,$B503&amp;" "&amp;$C503&amp;" "&amp;$D503&amp;" "&amp;$O503&amp;" "&amp;$I503&amp;" "&amp;$F503&amp;" "&amp;$J503&amp;" "&amp;$K503&amp;" "&amp;$L503&amp;" "&amp;$V503))),OR(CARI!$C$6="",$F503=CARI!$C$6),OR(CARI!$C$7="",$G503=CARI!$C$7),OR(CARI!$C$8="",$T503=CARI!$C$8)),MAX($Z$3:Z502)+1,""))</f>
        <v/>
      </c>
      <c r="AA503" s="40" t="str">
        <f aca="false">IF($Y503="","",MAX($AA$3:AA502)+1)</f>
        <v/>
      </c>
      <c r="AB503" s="40" t="str">
        <f aca="false">IF($F503="","",$F503&amp;"#"&amp;COUNTIF($F$4:$F503,$F503))</f>
        <v/>
      </c>
      <c r="AC503" s="40" t="str">
        <f aca="false">IF($B503="","",IF(AND(OR(CETAK!$J$10="",$F503=CETAK!$J$10),OR(CETAK!$J$11="",$G503=CETAK!$J$11),OR(CETAK!$J$12="",$P503=CETAK!$J$12),OR(CETAK!$J$13="",$N503=CETAK!$J$13),OR(CETAK!$J$14="",$T503=CETAK!$J$14)),MAX($AC$3:AC502)+1,""))</f>
        <v/>
      </c>
      <c r="AD503" s="40" t="str">
        <f aca="false">IF($B503="","",IF(AND(OR(ABSENSI!$H$10="",$F503=ABSENSI!$H$10),OR(ABSENSI!$H$11="",$G503=ABSENSI!$H$11),OR(ABSENSI!$H$12="",$P503=ABSENSI!$H$12)),MAX($AD$3:AD502)+1,""))</f>
        <v/>
      </c>
      <c r="AE503" s="40" t="str">
        <f aca="false">IF($B503="","",IF(AND(OR(KARTU!$K$6="",$F503=KARTU!$K$6),OR(KARTU!$K$7="",$G503=KARTU!$K$7),OR(KARTU!$K$8="",$P503=KARTU!$K$8)),MAX($AE$3:AE502)+1,""))</f>
        <v/>
      </c>
    </row>
    <row r="504" customFormat="false" ht="15" hidden="false" customHeight="false" outlineLevel="0" collapsed="false">
      <c r="A504" s="35" t="str">
        <f aca="false">IF($B504="","",COUNTA($B$4:$B504))</f>
        <v/>
      </c>
      <c r="B504" s="36"/>
      <c r="C504" s="37"/>
      <c r="D504" s="37"/>
      <c r="E504" s="38"/>
      <c r="F504" s="36"/>
      <c r="G504" s="39"/>
      <c r="H504" s="39"/>
      <c r="I504" s="36"/>
      <c r="J504" s="36"/>
      <c r="K504" s="36"/>
      <c r="L504" s="36"/>
      <c r="M504" s="40" t="str">
        <f aca="false">IF($F504="","",$F504&amp;IF($G504="",""," - RT "&amp;$G504&amp;IF($H504="","","/"&amp;$H504)))</f>
        <v/>
      </c>
      <c r="N504" s="36"/>
      <c r="O504" s="37"/>
      <c r="P504" s="39"/>
      <c r="Q504" s="41"/>
      <c r="R504" s="35" t="str">
        <f aca="true">IF(OR($B504="",$Q504=""),"",DATEDIF($Q504,TODAY(),"Y"))</f>
        <v/>
      </c>
      <c r="S504" s="40" t="str">
        <f aca="false">IF($R504="","",INDEX(usia_label,MATCH($R504,usia_min,1)))</f>
        <v/>
      </c>
      <c r="T504" s="36"/>
      <c r="U504" s="41"/>
      <c r="V504" s="36"/>
      <c r="W504" s="36"/>
      <c r="X504" s="40" t="str">
        <f aca="false">IF($M504="","",$M504&amp;"#"&amp;COUNTIF($M$4:$M504,$M504))</f>
        <v/>
      </c>
      <c r="Y504" s="40" t="str">
        <f aca="false">IF($B504="","",IF($C504="","NIK kosong",IF(LEN($C504)&lt;&gt;16,"NIK bukan 16 digit",IF(COUNTIF($C$4:$C$2003,$C504&amp;"*")&gt;1,"NIK ganda",IF(AND($D504&lt;&gt;"",LEN($D504)&lt;&gt;16),"No. KK bukan 16 digit",IF(AND($F504="",$I504=""),"Alamat kosong",IF($N504="","Jabatan kosong",IF($O504="","No. HP kosong",IF(AND($R504&lt;&gt;"",$R504&lt;17),"Usia di bawah 17","")))))))))</f>
        <v/>
      </c>
      <c r="Z504" s="40" t="str">
        <f aca="false">IF($B504="","",IF(AND(OR(CARI!$C$5="",ISNUMBER(SEARCH(CARI!$C$5,$B504&amp;" "&amp;$C504&amp;" "&amp;$D504&amp;" "&amp;$O504&amp;" "&amp;$I504&amp;" "&amp;$F504&amp;" "&amp;$J504&amp;" "&amp;$K504&amp;" "&amp;$L504&amp;" "&amp;$V504))),OR(CARI!$C$6="",$F504=CARI!$C$6),OR(CARI!$C$7="",$G504=CARI!$C$7),OR(CARI!$C$8="",$T504=CARI!$C$8)),MAX($Z$3:Z503)+1,""))</f>
        <v/>
      </c>
      <c r="AA504" s="40" t="str">
        <f aca="false">IF($Y504="","",MAX($AA$3:AA503)+1)</f>
        <v/>
      </c>
      <c r="AB504" s="40" t="str">
        <f aca="false">IF($F504="","",$F504&amp;"#"&amp;COUNTIF($F$4:$F504,$F504))</f>
        <v/>
      </c>
      <c r="AC504" s="40" t="str">
        <f aca="false">IF($B504="","",IF(AND(OR(CETAK!$J$10="",$F504=CETAK!$J$10),OR(CETAK!$J$11="",$G504=CETAK!$J$11),OR(CETAK!$J$12="",$P504=CETAK!$J$12),OR(CETAK!$J$13="",$N504=CETAK!$J$13),OR(CETAK!$J$14="",$T504=CETAK!$J$14)),MAX($AC$3:AC503)+1,""))</f>
        <v/>
      </c>
      <c r="AD504" s="40" t="str">
        <f aca="false">IF($B504="","",IF(AND(OR(ABSENSI!$H$10="",$F504=ABSENSI!$H$10),OR(ABSENSI!$H$11="",$G504=ABSENSI!$H$11),OR(ABSENSI!$H$12="",$P504=ABSENSI!$H$12)),MAX($AD$3:AD503)+1,""))</f>
        <v/>
      </c>
      <c r="AE504" s="40" t="str">
        <f aca="false">IF($B504="","",IF(AND(OR(KARTU!$K$6="",$F504=KARTU!$K$6),OR(KARTU!$K$7="",$G504=KARTU!$K$7),OR(KARTU!$K$8="",$P504=KARTU!$K$8)),MAX($AE$3:AE503)+1,""))</f>
        <v/>
      </c>
    </row>
    <row r="505" customFormat="false" ht="15" hidden="false" customHeight="false" outlineLevel="0" collapsed="false">
      <c r="A505" s="35" t="str">
        <f aca="false">IF($B505="","",COUNTA($B$4:$B505))</f>
        <v/>
      </c>
      <c r="B505" s="36"/>
      <c r="C505" s="37"/>
      <c r="D505" s="37"/>
      <c r="E505" s="38"/>
      <c r="F505" s="36"/>
      <c r="G505" s="39"/>
      <c r="H505" s="39"/>
      <c r="I505" s="36"/>
      <c r="J505" s="36"/>
      <c r="K505" s="36"/>
      <c r="L505" s="36"/>
      <c r="M505" s="40" t="str">
        <f aca="false">IF($F505="","",$F505&amp;IF($G505="",""," - RT "&amp;$G505&amp;IF($H505="","","/"&amp;$H505)))</f>
        <v/>
      </c>
      <c r="N505" s="36"/>
      <c r="O505" s="37"/>
      <c r="P505" s="39"/>
      <c r="Q505" s="41"/>
      <c r="R505" s="35" t="str">
        <f aca="true">IF(OR($B505="",$Q505=""),"",DATEDIF($Q505,TODAY(),"Y"))</f>
        <v/>
      </c>
      <c r="S505" s="40" t="str">
        <f aca="false">IF($R505="","",INDEX(usia_label,MATCH($R505,usia_min,1)))</f>
        <v/>
      </c>
      <c r="T505" s="36"/>
      <c r="U505" s="41"/>
      <c r="V505" s="36"/>
      <c r="W505" s="36"/>
      <c r="X505" s="40" t="str">
        <f aca="false">IF($M505="","",$M505&amp;"#"&amp;COUNTIF($M$4:$M505,$M505))</f>
        <v/>
      </c>
      <c r="Y505" s="40" t="str">
        <f aca="false">IF($B505="","",IF($C505="","NIK kosong",IF(LEN($C505)&lt;&gt;16,"NIK bukan 16 digit",IF(COUNTIF($C$4:$C$2003,$C505&amp;"*")&gt;1,"NIK ganda",IF(AND($D505&lt;&gt;"",LEN($D505)&lt;&gt;16),"No. KK bukan 16 digit",IF(AND($F505="",$I505=""),"Alamat kosong",IF($N505="","Jabatan kosong",IF($O505="","No. HP kosong",IF(AND($R505&lt;&gt;"",$R505&lt;17),"Usia di bawah 17","")))))))))</f>
        <v/>
      </c>
      <c r="Z505" s="40" t="str">
        <f aca="false">IF($B505="","",IF(AND(OR(CARI!$C$5="",ISNUMBER(SEARCH(CARI!$C$5,$B505&amp;" "&amp;$C505&amp;" "&amp;$D505&amp;" "&amp;$O505&amp;" "&amp;$I505&amp;" "&amp;$F505&amp;" "&amp;$J505&amp;" "&amp;$K505&amp;" "&amp;$L505&amp;" "&amp;$V505))),OR(CARI!$C$6="",$F505=CARI!$C$6),OR(CARI!$C$7="",$G505=CARI!$C$7),OR(CARI!$C$8="",$T505=CARI!$C$8)),MAX($Z$3:Z504)+1,""))</f>
        <v/>
      </c>
      <c r="AA505" s="40" t="str">
        <f aca="false">IF($Y505="","",MAX($AA$3:AA504)+1)</f>
        <v/>
      </c>
      <c r="AB505" s="40" t="str">
        <f aca="false">IF($F505="","",$F505&amp;"#"&amp;COUNTIF($F$4:$F505,$F505))</f>
        <v/>
      </c>
      <c r="AC505" s="40" t="str">
        <f aca="false">IF($B505="","",IF(AND(OR(CETAK!$J$10="",$F505=CETAK!$J$10),OR(CETAK!$J$11="",$G505=CETAK!$J$11),OR(CETAK!$J$12="",$P505=CETAK!$J$12),OR(CETAK!$J$13="",$N505=CETAK!$J$13),OR(CETAK!$J$14="",$T505=CETAK!$J$14)),MAX($AC$3:AC504)+1,""))</f>
        <v/>
      </c>
      <c r="AD505" s="40" t="str">
        <f aca="false">IF($B505="","",IF(AND(OR(ABSENSI!$H$10="",$F505=ABSENSI!$H$10),OR(ABSENSI!$H$11="",$G505=ABSENSI!$H$11),OR(ABSENSI!$H$12="",$P505=ABSENSI!$H$12)),MAX($AD$3:AD504)+1,""))</f>
        <v/>
      </c>
      <c r="AE505" s="40" t="str">
        <f aca="false">IF($B505="","",IF(AND(OR(KARTU!$K$6="",$F505=KARTU!$K$6),OR(KARTU!$K$7="",$G505=KARTU!$K$7),OR(KARTU!$K$8="",$P505=KARTU!$K$8)),MAX($AE$3:AE504)+1,""))</f>
        <v/>
      </c>
    </row>
    <row r="506" customFormat="false" ht="15" hidden="false" customHeight="false" outlineLevel="0" collapsed="false">
      <c r="A506" s="35" t="str">
        <f aca="false">IF($B506="","",COUNTA($B$4:$B506))</f>
        <v/>
      </c>
      <c r="B506" s="36"/>
      <c r="C506" s="37"/>
      <c r="D506" s="37"/>
      <c r="E506" s="38"/>
      <c r="F506" s="36"/>
      <c r="G506" s="39"/>
      <c r="H506" s="39"/>
      <c r="I506" s="36"/>
      <c r="J506" s="36"/>
      <c r="K506" s="36"/>
      <c r="L506" s="36"/>
      <c r="M506" s="40" t="str">
        <f aca="false">IF($F506="","",$F506&amp;IF($G506="",""," - RT "&amp;$G506&amp;IF($H506="","","/"&amp;$H506)))</f>
        <v/>
      </c>
      <c r="N506" s="36"/>
      <c r="O506" s="37"/>
      <c r="P506" s="39"/>
      <c r="Q506" s="41"/>
      <c r="R506" s="35" t="str">
        <f aca="true">IF(OR($B506="",$Q506=""),"",DATEDIF($Q506,TODAY(),"Y"))</f>
        <v/>
      </c>
      <c r="S506" s="40" t="str">
        <f aca="false">IF($R506="","",INDEX(usia_label,MATCH($R506,usia_min,1)))</f>
        <v/>
      </c>
      <c r="T506" s="36"/>
      <c r="U506" s="41"/>
      <c r="V506" s="36"/>
      <c r="W506" s="36"/>
      <c r="X506" s="40" t="str">
        <f aca="false">IF($M506="","",$M506&amp;"#"&amp;COUNTIF($M$4:$M506,$M506))</f>
        <v/>
      </c>
      <c r="Y506" s="40" t="str">
        <f aca="false">IF($B506="","",IF($C506="","NIK kosong",IF(LEN($C506)&lt;&gt;16,"NIK bukan 16 digit",IF(COUNTIF($C$4:$C$2003,$C506&amp;"*")&gt;1,"NIK ganda",IF(AND($D506&lt;&gt;"",LEN($D506)&lt;&gt;16),"No. KK bukan 16 digit",IF(AND($F506="",$I506=""),"Alamat kosong",IF($N506="","Jabatan kosong",IF($O506="","No. HP kosong",IF(AND($R506&lt;&gt;"",$R506&lt;17),"Usia di bawah 17","")))))))))</f>
        <v/>
      </c>
      <c r="Z506" s="40" t="str">
        <f aca="false">IF($B506="","",IF(AND(OR(CARI!$C$5="",ISNUMBER(SEARCH(CARI!$C$5,$B506&amp;" "&amp;$C506&amp;" "&amp;$D506&amp;" "&amp;$O506&amp;" "&amp;$I506&amp;" "&amp;$F506&amp;" "&amp;$J506&amp;" "&amp;$K506&amp;" "&amp;$L506&amp;" "&amp;$V506))),OR(CARI!$C$6="",$F506=CARI!$C$6),OR(CARI!$C$7="",$G506=CARI!$C$7),OR(CARI!$C$8="",$T506=CARI!$C$8)),MAX($Z$3:Z505)+1,""))</f>
        <v/>
      </c>
      <c r="AA506" s="40" t="str">
        <f aca="false">IF($Y506="","",MAX($AA$3:AA505)+1)</f>
        <v/>
      </c>
      <c r="AB506" s="40" t="str">
        <f aca="false">IF($F506="","",$F506&amp;"#"&amp;COUNTIF($F$4:$F506,$F506))</f>
        <v/>
      </c>
      <c r="AC506" s="40" t="str">
        <f aca="false">IF($B506="","",IF(AND(OR(CETAK!$J$10="",$F506=CETAK!$J$10),OR(CETAK!$J$11="",$G506=CETAK!$J$11),OR(CETAK!$J$12="",$P506=CETAK!$J$12),OR(CETAK!$J$13="",$N506=CETAK!$J$13),OR(CETAK!$J$14="",$T506=CETAK!$J$14)),MAX($AC$3:AC505)+1,""))</f>
        <v/>
      </c>
      <c r="AD506" s="40" t="str">
        <f aca="false">IF($B506="","",IF(AND(OR(ABSENSI!$H$10="",$F506=ABSENSI!$H$10),OR(ABSENSI!$H$11="",$G506=ABSENSI!$H$11),OR(ABSENSI!$H$12="",$P506=ABSENSI!$H$12)),MAX($AD$3:AD505)+1,""))</f>
        <v/>
      </c>
      <c r="AE506" s="40" t="str">
        <f aca="false">IF($B506="","",IF(AND(OR(KARTU!$K$6="",$F506=KARTU!$K$6),OR(KARTU!$K$7="",$G506=KARTU!$K$7),OR(KARTU!$K$8="",$P506=KARTU!$K$8)),MAX($AE$3:AE505)+1,""))</f>
        <v/>
      </c>
    </row>
    <row r="507" customFormat="false" ht="15" hidden="false" customHeight="false" outlineLevel="0" collapsed="false">
      <c r="A507" s="35" t="str">
        <f aca="false">IF($B507="","",COUNTA($B$4:$B507))</f>
        <v/>
      </c>
      <c r="B507" s="36"/>
      <c r="C507" s="37"/>
      <c r="D507" s="37"/>
      <c r="E507" s="38"/>
      <c r="F507" s="36"/>
      <c r="G507" s="39"/>
      <c r="H507" s="39"/>
      <c r="I507" s="36"/>
      <c r="J507" s="36"/>
      <c r="K507" s="36"/>
      <c r="L507" s="36"/>
      <c r="M507" s="40" t="str">
        <f aca="false">IF($F507="","",$F507&amp;IF($G507="",""," - RT "&amp;$G507&amp;IF($H507="","","/"&amp;$H507)))</f>
        <v/>
      </c>
      <c r="N507" s="36"/>
      <c r="O507" s="37"/>
      <c r="P507" s="39"/>
      <c r="Q507" s="41"/>
      <c r="R507" s="35" t="str">
        <f aca="true">IF(OR($B507="",$Q507=""),"",DATEDIF($Q507,TODAY(),"Y"))</f>
        <v/>
      </c>
      <c r="S507" s="40" t="str">
        <f aca="false">IF($R507="","",INDEX(usia_label,MATCH($R507,usia_min,1)))</f>
        <v/>
      </c>
      <c r="T507" s="36"/>
      <c r="U507" s="41"/>
      <c r="V507" s="36"/>
      <c r="W507" s="36"/>
      <c r="X507" s="40" t="str">
        <f aca="false">IF($M507="","",$M507&amp;"#"&amp;COUNTIF($M$4:$M507,$M507))</f>
        <v/>
      </c>
      <c r="Y507" s="40" t="str">
        <f aca="false">IF($B507="","",IF($C507="","NIK kosong",IF(LEN($C507)&lt;&gt;16,"NIK bukan 16 digit",IF(COUNTIF($C$4:$C$2003,$C507&amp;"*")&gt;1,"NIK ganda",IF(AND($D507&lt;&gt;"",LEN($D507)&lt;&gt;16),"No. KK bukan 16 digit",IF(AND($F507="",$I507=""),"Alamat kosong",IF($N507="","Jabatan kosong",IF($O507="","No. HP kosong",IF(AND($R507&lt;&gt;"",$R507&lt;17),"Usia di bawah 17","")))))))))</f>
        <v/>
      </c>
      <c r="Z507" s="40" t="str">
        <f aca="false">IF($B507="","",IF(AND(OR(CARI!$C$5="",ISNUMBER(SEARCH(CARI!$C$5,$B507&amp;" "&amp;$C507&amp;" "&amp;$D507&amp;" "&amp;$O507&amp;" "&amp;$I507&amp;" "&amp;$F507&amp;" "&amp;$J507&amp;" "&amp;$K507&amp;" "&amp;$L507&amp;" "&amp;$V507))),OR(CARI!$C$6="",$F507=CARI!$C$6),OR(CARI!$C$7="",$G507=CARI!$C$7),OR(CARI!$C$8="",$T507=CARI!$C$8)),MAX($Z$3:Z506)+1,""))</f>
        <v/>
      </c>
      <c r="AA507" s="40" t="str">
        <f aca="false">IF($Y507="","",MAX($AA$3:AA506)+1)</f>
        <v/>
      </c>
      <c r="AB507" s="40" t="str">
        <f aca="false">IF($F507="","",$F507&amp;"#"&amp;COUNTIF($F$4:$F507,$F507))</f>
        <v/>
      </c>
      <c r="AC507" s="40" t="str">
        <f aca="false">IF($B507="","",IF(AND(OR(CETAK!$J$10="",$F507=CETAK!$J$10),OR(CETAK!$J$11="",$G507=CETAK!$J$11),OR(CETAK!$J$12="",$P507=CETAK!$J$12),OR(CETAK!$J$13="",$N507=CETAK!$J$13),OR(CETAK!$J$14="",$T507=CETAK!$J$14)),MAX($AC$3:AC506)+1,""))</f>
        <v/>
      </c>
      <c r="AD507" s="40" t="str">
        <f aca="false">IF($B507="","",IF(AND(OR(ABSENSI!$H$10="",$F507=ABSENSI!$H$10),OR(ABSENSI!$H$11="",$G507=ABSENSI!$H$11),OR(ABSENSI!$H$12="",$P507=ABSENSI!$H$12)),MAX($AD$3:AD506)+1,""))</f>
        <v/>
      </c>
      <c r="AE507" s="40" t="str">
        <f aca="false">IF($B507="","",IF(AND(OR(KARTU!$K$6="",$F507=KARTU!$K$6),OR(KARTU!$K$7="",$G507=KARTU!$K$7),OR(KARTU!$K$8="",$P507=KARTU!$K$8)),MAX($AE$3:AE506)+1,""))</f>
        <v/>
      </c>
    </row>
    <row r="508" customFormat="false" ht="15" hidden="false" customHeight="false" outlineLevel="0" collapsed="false">
      <c r="A508" s="35" t="str">
        <f aca="false">IF($B508="","",COUNTA($B$4:$B508))</f>
        <v/>
      </c>
      <c r="B508" s="36"/>
      <c r="C508" s="37"/>
      <c r="D508" s="37"/>
      <c r="E508" s="38"/>
      <c r="F508" s="36"/>
      <c r="G508" s="39"/>
      <c r="H508" s="39"/>
      <c r="I508" s="36"/>
      <c r="J508" s="36"/>
      <c r="K508" s="36"/>
      <c r="L508" s="36"/>
      <c r="M508" s="40" t="str">
        <f aca="false">IF($F508="","",$F508&amp;IF($G508="",""," - RT "&amp;$G508&amp;IF($H508="","","/"&amp;$H508)))</f>
        <v/>
      </c>
      <c r="N508" s="36"/>
      <c r="O508" s="37"/>
      <c r="P508" s="39"/>
      <c r="Q508" s="41"/>
      <c r="R508" s="35" t="str">
        <f aca="true">IF(OR($B508="",$Q508=""),"",DATEDIF($Q508,TODAY(),"Y"))</f>
        <v/>
      </c>
      <c r="S508" s="40" t="str">
        <f aca="false">IF($R508="","",INDEX(usia_label,MATCH($R508,usia_min,1)))</f>
        <v/>
      </c>
      <c r="T508" s="36"/>
      <c r="U508" s="41"/>
      <c r="V508" s="36"/>
      <c r="W508" s="36"/>
      <c r="X508" s="40" t="str">
        <f aca="false">IF($M508="","",$M508&amp;"#"&amp;COUNTIF($M$4:$M508,$M508))</f>
        <v/>
      </c>
      <c r="Y508" s="40" t="str">
        <f aca="false">IF($B508="","",IF($C508="","NIK kosong",IF(LEN($C508)&lt;&gt;16,"NIK bukan 16 digit",IF(COUNTIF($C$4:$C$2003,$C508&amp;"*")&gt;1,"NIK ganda",IF(AND($D508&lt;&gt;"",LEN($D508)&lt;&gt;16),"No. KK bukan 16 digit",IF(AND($F508="",$I508=""),"Alamat kosong",IF($N508="","Jabatan kosong",IF($O508="","No. HP kosong",IF(AND($R508&lt;&gt;"",$R508&lt;17),"Usia di bawah 17","")))))))))</f>
        <v/>
      </c>
      <c r="Z508" s="40" t="str">
        <f aca="false">IF($B508="","",IF(AND(OR(CARI!$C$5="",ISNUMBER(SEARCH(CARI!$C$5,$B508&amp;" "&amp;$C508&amp;" "&amp;$D508&amp;" "&amp;$O508&amp;" "&amp;$I508&amp;" "&amp;$F508&amp;" "&amp;$J508&amp;" "&amp;$K508&amp;" "&amp;$L508&amp;" "&amp;$V508))),OR(CARI!$C$6="",$F508=CARI!$C$6),OR(CARI!$C$7="",$G508=CARI!$C$7),OR(CARI!$C$8="",$T508=CARI!$C$8)),MAX($Z$3:Z507)+1,""))</f>
        <v/>
      </c>
      <c r="AA508" s="40" t="str">
        <f aca="false">IF($Y508="","",MAX($AA$3:AA507)+1)</f>
        <v/>
      </c>
      <c r="AB508" s="40" t="str">
        <f aca="false">IF($F508="","",$F508&amp;"#"&amp;COUNTIF($F$4:$F508,$F508))</f>
        <v/>
      </c>
      <c r="AC508" s="40" t="str">
        <f aca="false">IF($B508="","",IF(AND(OR(CETAK!$J$10="",$F508=CETAK!$J$10),OR(CETAK!$J$11="",$G508=CETAK!$J$11),OR(CETAK!$J$12="",$P508=CETAK!$J$12),OR(CETAK!$J$13="",$N508=CETAK!$J$13),OR(CETAK!$J$14="",$T508=CETAK!$J$14)),MAX($AC$3:AC507)+1,""))</f>
        <v/>
      </c>
      <c r="AD508" s="40" t="str">
        <f aca="false">IF($B508="","",IF(AND(OR(ABSENSI!$H$10="",$F508=ABSENSI!$H$10),OR(ABSENSI!$H$11="",$G508=ABSENSI!$H$11),OR(ABSENSI!$H$12="",$P508=ABSENSI!$H$12)),MAX($AD$3:AD507)+1,""))</f>
        <v/>
      </c>
      <c r="AE508" s="40" t="str">
        <f aca="false">IF($B508="","",IF(AND(OR(KARTU!$K$6="",$F508=KARTU!$K$6),OR(KARTU!$K$7="",$G508=KARTU!$K$7),OR(KARTU!$K$8="",$P508=KARTU!$K$8)),MAX($AE$3:AE507)+1,""))</f>
        <v/>
      </c>
    </row>
    <row r="509" customFormat="false" ht="15" hidden="false" customHeight="false" outlineLevel="0" collapsed="false">
      <c r="A509" s="35" t="str">
        <f aca="false">IF($B509="","",COUNTA($B$4:$B509))</f>
        <v/>
      </c>
      <c r="B509" s="36"/>
      <c r="C509" s="37"/>
      <c r="D509" s="37"/>
      <c r="E509" s="38"/>
      <c r="F509" s="36"/>
      <c r="G509" s="39"/>
      <c r="H509" s="39"/>
      <c r="I509" s="36"/>
      <c r="J509" s="36"/>
      <c r="K509" s="36"/>
      <c r="L509" s="36"/>
      <c r="M509" s="40" t="str">
        <f aca="false">IF($F509="","",$F509&amp;IF($G509="",""," - RT "&amp;$G509&amp;IF($H509="","","/"&amp;$H509)))</f>
        <v/>
      </c>
      <c r="N509" s="36"/>
      <c r="O509" s="37"/>
      <c r="P509" s="39"/>
      <c r="Q509" s="41"/>
      <c r="R509" s="35" t="str">
        <f aca="true">IF(OR($B509="",$Q509=""),"",DATEDIF($Q509,TODAY(),"Y"))</f>
        <v/>
      </c>
      <c r="S509" s="40" t="str">
        <f aca="false">IF($R509="","",INDEX(usia_label,MATCH($R509,usia_min,1)))</f>
        <v/>
      </c>
      <c r="T509" s="36"/>
      <c r="U509" s="41"/>
      <c r="V509" s="36"/>
      <c r="W509" s="36"/>
      <c r="X509" s="40" t="str">
        <f aca="false">IF($M509="","",$M509&amp;"#"&amp;COUNTIF($M$4:$M509,$M509))</f>
        <v/>
      </c>
      <c r="Y509" s="40" t="str">
        <f aca="false">IF($B509="","",IF($C509="","NIK kosong",IF(LEN($C509)&lt;&gt;16,"NIK bukan 16 digit",IF(COUNTIF($C$4:$C$2003,$C509&amp;"*")&gt;1,"NIK ganda",IF(AND($D509&lt;&gt;"",LEN($D509)&lt;&gt;16),"No. KK bukan 16 digit",IF(AND($F509="",$I509=""),"Alamat kosong",IF($N509="","Jabatan kosong",IF($O509="","No. HP kosong",IF(AND($R509&lt;&gt;"",$R509&lt;17),"Usia di bawah 17","")))))))))</f>
        <v/>
      </c>
      <c r="Z509" s="40" t="str">
        <f aca="false">IF($B509="","",IF(AND(OR(CARI!$C$5="",ISNUMBER(SEARCH(CARI!$C$5,$B509&amp;" "&amp;$C509&amp;" "&amp;$D509&amp;" "&amp;$O509&amp;" "&amp;$I509&amp;" "&amp;$F509&amp;" "&amp;$J509&amp;" "&amp;$K509&amp;" "&amp;$L509&amp;" "&amp;$V509))),OR(CARI!$C$6="",$F509=CARI!$C$6),OR(CARI!$C$7="",$G509=CARI!$C$7),OR(CARI!$C$8="",$T509=CARI!$C$8)),MAX($Z$3:Z508)+1,""))</f>
        <v/>
      </c>
      <c r="AA509" s="40" t="str">
        <f aca="false">IF($Y509="","",MAX($AA$3:AA508)+1)</f>
        <v/>
      </c>
      <c r="AB509" s="40" t="str">
        <f aca="false">IF($F509="","",$F509&amp;"#"&amp;COUNTIF($F$4:$F509,$F509))</f>
        <v/>
      </c>
      <c r="AC509" s="40" t="str">
        <f aca="false">IF($B509="","",IF(AND(OR(CETAK!$J$10="",$F509=CETAK!$J$10),OR(CETAK!$J$11="",$G509=CETAK!$J$11),OR(CETAK!$J$12="",$P509=CETAK!$J$12),OR(CETAK!$J$13="",$N509=CETAK!$J$13),OR(CETAK!$J$14="",$T509=CETAK!$J$14)),MAX($AC$3:AC508)+1,""))</f>
        <v/>
      </c>
      <c r="AD509" s="40" t="str">
        <f aca="false">IF($B509="","",IF(AND(OR(ABSENSI!$H$10="",$F509=ABSENSI!$H$10),OR(ABSENSI!$H$11="",$G509=ABSENSI!$H$11),OR(ABSENSI!$H$12="",$P509=ABSENSI!$H$12)),MAX($AD$3:AD508)+1,""))</f>
        <v/>
      </c>
      <c r="AE509" s="40" t="str">
        <f aca="false">IF($B509="","",IF(AND(OR(KARTU!$K$6="",$F509=KARTU!$K$6),OR(KARTU!$K$7="",$G509=KARTU!$K$7),OR(KARTU!$K$8="",$P509=KARTU!$K$8)),MAX($AE$3:AE508)+1,""))</f>
        <v/>
      </c>
    </row>
    <row r="510" customFormat="false" ht="15" hidden="false" customHeight="false" outlineLevel="0" collapsed="false">
      <c r="A510" s="35" t="str">
        <f aca="false">IF($B510="","",COUNTA($B$4:$B510))</f>
        <v/>
      </c>
      <c r="B510" s="36"/>
      <c r="C510" s="37"/>
      <c r="D510" s="37"/>
      <c r="E510" s="38"/>
      <c r="F510" s="36"/>
      <c r="G510" s="39"/>
      <c r="H510" s="39"/>
      <c r="I510" s="36"/>
      <c r="J510" s="36"/>
      <c r="K510" s="36"/>
      <c r="L510" s="36"/>
      <c r="M510" s="40" t="str">
        <f aca="false">IF($F510="","",$F510&amp;IF($G510="",""," - RT "&amp;$G510&amp;IF($H510="","","/"&amp;$H510)))</f>
        <v/>
      </c>
      <c r="N510" s="36"/>
      <c r="O510" s="37"/>
      <c r="P510" s="39"/>
      <c r="Q510" s="41"/>
      <c r="R510" s="35" t="str">
        <f aca="true">IF(OR($B510="",$Q510=""),"",DATEDIF($Q510,TODAY(),"Y"))</f>
        <v/>
      </c>
      <c r="S510" s="40" t="str">
        <f aca="false">IF($R510="","",INDEX(usia_label,MATCH($R510,usia_min,1)))</f>
        <v/>
      </c>
      <c r="T510" s="36"/>
      <c r="U510" s="41"/>
      <c r="V510" s="36"/>
      <c r="W510" s="36"/>
      <c r="X510" s="40" t="str">
        <f aca="false">IF($M510="","",$M510&amp;"#"&amp;COUNTIF($M$4:$M510,$M510))</f>
        <v/>
      </c>
      <c r="Y510" s="40" t="str">
        <f aca="false">IF($B510="","",IF($C510="","NIK kosong",IF(LEN($C510)&lt;&gt;16,"NIK bukan 16 digit",IF(COUNTIF($C$4:$C$2003,$C510&amp;"*")&gt;1,"NIK ganda",IF(AND($D510&lt;&gt;"",LEN($D510)&lt;&gt;16),"No. KK bukan 16 digit",IF(AND($F510="",$I510=""),"Alamat kosong",IF($N510="","Jabatan kosong",IF($O510="","No. HP kosong",IF(AND($R510&lt;&gt;"",$R510&lt;17),"Usia di bawah 17","")))))))))</f>
        <v/>
      </c>
      <c r="Z510" s="40" t="str">
        <f aca="false">IF($B510="","",IF(AND(OR(CARI!$C$5="",ISNUMBER(SEARCH(CARI!$C$5,$B510&amp;" "&amp;$C510&amp;" "&amp;$D510&amp;" "&amp;$O510&amp;" "&amp;$I510&amp;" "&amp;$F510&amp;" "&amp;$J510&amp;" "&amp;$K510&amp;" "&amp;$L510&amp;" "&amp;$V510))),OR(CARI!$C$6="",$F510=CARI!$C$6),OR(CARI!$C$7="",$G510=CARI!$C$7),OR(CARI!$C$8="",$T510=CARI!$C$8)),MAX($Z$3:Z509)+1,""))</f>
        <v/>
      </c>
      <c r="AA510" s="40" t="str">
        <f aca="false">IF($Y510="","",MAX($AA$3:AA509)+1)</f>
        <v/>
      </c>
      <c r="AB510" s="40" t="str">
        <f aca="false">IF($F510="","",$F510&amp;"#"&amp;COUNTIF($F$4:$F510,$F510))</f>
        <v/>
      </c>
      <c r="AC510" s="40" t="str">
        <f aca="false">IF($B510="","",IF(AND(OR(CETAK!$J$10="",$F510=CETAK!$J$10),OR(CETAK!$J$11="",$G510=CETAK!$J$11),OR(CETAK!$J$12="",$P510=CETAK!$J$12),OR(CETAK!$J$13="",$N510=CETAK!$J$13),OR(CETAK!$J$14="",$T510=CETAK!$J$14)),MAX($AC$3:AC509)+1,""))</f>
        <v/>
      </c>
      <c r="AD510" s="40" t="str">
        <f aca="false">IF($B510="","",IF(AND(OR(ABSENSI!$H$10="",$F510=ABSENSI!$H$10),OR(ABSENSI!$H$11="",$G510=ABSENSI!$H$11),OR(ABSENSI!$H$12="",$P510=ABSENSI!$H$12)),MAX($AD$3:AD509)+1,""))</f>
        <v/>
      </c>
      <c r="AE510" s="40" t="str">
        <f aca="false">IF($B510="","",IF(AND(OR(KARTU!$K$6="",$F510=KARTU!$K$6),OR(KARTU!$K$7="",$G510=KARTU!$K$7),OR(KARTU!$K$8="",$P510=KARTU!$K$8)),MAX($AE$3:AE509)+1,""))</f>
        <v/>
      </c>
    </row>
    <row r="511" customFormat="false" ht="15" hidden="false" customHeight="false" outlineLevel="0" collapsed="false">
      <c r="A511" s="35" t="str">
        <f aca="false">IF($B511="","",COUNTA($B$4:$B511))</f>
        <v/>
      </c>
      <c r="B511" s="36"/>
      <c r="C511" s="37"/>
      <c r="D511" s="37"/>
      <c r="E511" s="38"/>
      <c r="F511" s="36"/>
      <c r="G511" s="39"/>
      <c r="H511" s="39"/>
      <c r="I511" s="36"/>
      <c r="J511" s="36"/>
      <c r="K511" s="36"/>
      <c r="L511" s="36"/>
      <c r="M511" s="40" t="str">
        <f aca="false">IF($F511="","",$F511&amp;IF($G511="",""," - RT "&amp;$G511&amp;IF($H511="","","/"&amp;$H511)))</f>
        <v/>
      </c>
      <c r="N511" s="36"/>
      <c r="O511" s="37"/>
      <c r="P511" s="39"/>
      <c r="Q511" s="41"/>
      <c r="R511" s="35" t="str">
        <f aca="true">IF(OR($B511="",$Q511=""),"",DATEDIF($Q511,TODAY(),"Y"))</f>
        <v/>
      </c>
      <c r="S511" s="40" t="str">
        <f aca="false">IF($R511="","",INDEX(usia_label,MATCH($R511,usia_min,1)))</f>
        <v/>
      </c>
      <c r="T511" s="36"/>
      <c r="U511" s="41"/>
      <c r="V511" s="36"/>
      <c r="W511" s="36"/>
      <c r="X511" s="40" t="str">
        <f aca="false">IF($M511="","",$M511&amp;"#"&amp;COUNTIF($M$4:$M511,$M511))</f>
        <v/>
      </c>
      <c r="Y511" s="40" t="str">
        <f aca="false">IF($B511="","",IF($C511="","NIK kosong",IF(LEN($C511)&lt;&gt;16,"NIK bukan 16 digit",IF(COUNTIF($C$4:$C$2003,$C511&amp;"*")&gt;1,"NIK ganda",IF(AND($D511&lt;&gt;"",LEN($D511)&lt;&gt;16),"No. KK bukan 16 digit",IF(AND($F511="",$I511=""),"Alamat kosong",IF($N511="","Jabatan kosong",IF($O511="","No. HP kosong",IF(AND($R511&lt;&gt;"",$R511&lt;17),"Usia di bawah 17","")))))))))</f>
        <v/>
      </c>
      <c r="Z511" s="40" t="str">
        <f aca="false">IF($B511="","",IF(AND(OR(CARI!$C$5="",ISNUMBER(SEARCH(CARI!$C$5,$B511&amp;" "&amp;$C511&amp;" "&amp;$D511&amp;" "&amp;$O511&amp;" "&amp;$I511&amp;" "&amp;$F511&amp;" "&amp;$J511&amp;" "&amp;$K511&amp;" "&amp;$L511&amp;" "&amp;$V511))),OR(CARI!$C$6="",$F511=CARI!$C$6),OR(CARI!$C$7="",$G511=CARI!$C$7),OR(CARI!$C$8="",$T511=CARI!$C$8)),MAX($Z$3:Z510)+1,""))</f>
        <v/>
      </c>
      <c r="AA511" s="40" t="str">
        <f aca="false">IF($Y511="","",MAX($AA$3:AA510)+1)</f>
        <v/>
      </c>
      <c r="AB511" s="40" t="str">
        <f aca="false">IF($F511="","",$F511&amp;"#"&amp;COUNTIF($F$4:$F511,$F511))</f>
        <v/>
      </c>
      <c r="AC511" s="40" t="str">
        <f aca="false">IF($B511="","",IF(AND(OR(CETAK!$J$10="",$F511=CETAK!$J$10),OR(CETAK!$J$11="",$G511=CETAK!$J$11),OR(CETAK!$J$12="",$P511=CETAK!$J$12),OR(CETAK!$J$13="",$N511=CETAK!$J$13),OR(CETAK!$J$14="",$T511=CETAK!$J$14)),MAX($AC$3:AC510)+1,""))</f>
        <v/>
      </c>
      <c r="AD511" s="40" t="str">
        <f aca="false">IF($B511="","",IF(AND(OR(ABSENSI!$H$10="",$F511=ABSENSI!$H$10),OR(ABSENSI!$H$11="",$G511=ABSENSI!$H$11),OR(ABSENSI!$H$12="",$P511=ABSENSI!$H$12)),MAX($AD$3:AD510)+1,""))</f>
        <v/>
      </c>
      <c r="AE511" s="40" t="str">
        <f aca="false">IF($B511="","",IF(AND(OR(KARTU!$K$6="",$F511=KARTU!$K$6),OR(KARTU!$K$7="",$G511=KARTU!$K$7),OR(KARTU!$K$8="",$P511=KARTU!$K$8)),MAX($AE$3:AE510)+1,""))</f>
        <v/>
      </c>
    </row>
    <row r="512" customFormat="false" ht="15" hidden="false" customHeight="false" outlineLevel="0" collapsed="false">
      <c r="A512" s="35" t="str">
        <f aca="false">IF($B512="","",COUNTA($B$4:$B512))</f>
        <v/>
      </c>
      <c r="B512" s="36"/>
      <c r="C512" s="37"/>
      <c r="D512" s="37"/>
      <c r="E512" s="38"/>
      <c r="F512" s="36"/>
      <c r="G512" s="39"/>
      <c r="H512" s="39"/>
      <c r="I512" s="36"/>
      <c r="J512" s="36"/>
      <c r="K512" s="36"/>
      <c r="L512" s="36"/>
      <c r="M512" s="40" t="str">
        <f aca="false">IF($F512="","",$F512&amp;IF($G512="",""," - RT "&amp;$G512&amp;IF($H512="","","/"&amp;$H512)))</f>
        <v/>
      </c>
      <c r="N512" s="36"/>
      <c r="O512" s="37"/>
      <c r="P512" s="39"/>
      <c r="Q512" s="41"/>
      <c r="R512" s="35" t="str">
        <f aca="true">IF(OR($B512="",$Q512=""),"",DATEDIF($Q512,TODAY(),"Y"))</f>
        <v/>
      </c>
      <c r="S512" s="40" t="str">
        <f aca="false">IF($R512="","",INDEX(usia_label,MATCH($R512,usia_min,1)))</f>
        <v/>
      </c>
      <c r="T512" s="36"/>
      <c r="U512" s="41"/>
      <c r="V512" s="36"/>
      <c r="W512" s="36"/>
      <c r="X512" s="40" t="str">
        <f aca="false">IF($M512="","",$M512&amp;"#"&amp;COUNTIF($M$4:$M512,$M512))</f>
        <v/>
      </c>
      <c r="Y512" s="40" t="str">
        <f aca="false">IF($B512="","",IF($C512="","NIK kosong",IF(LEN($C512)&lt;&gt;16,"NIK bukan 16 digit",IF(COUNTIF($C$4:$C$2003,$C512&amp;"*")&gt;1,"NIK ganda",IF(AND($D512&lt;&gt;"",LEN($D512)&lt;&gt;16),"No. KK bukan 16 digit",IF(AND($F512="",$I512=""),"Alamat kosong",IF($N512="","Jabatan kosong",IF($O512="","No. HP kosong",IF(AND($R512&lt;&gt;"",$R512&lt;17),"Usia di bawah 17","")))))))))</f>
        <v/>
      </c>
      <c r="Z512" s="40" t="str">
        <f aca="false">IF($B512="","",IF(AND(OR(CARI!$C$5="",ISNUMBER(SEARCH(CARI!$C$5,$B512&amp;" "&amp;$C512&amp;" "&amp;$D512&amp;" "&amp;$O512&amp;" "&amp;$I512&amp;" "&amp;$F512&amp;" "&amp;$J512&amp;" "&amp;$K512&amp;" "&amp;$L512&amp;" "&amp;$V512))),OR(CARI!$C$6="",$F512=CARI!$C$6),OR(CARI!$C$7="",$G512=CARI!$C$7),OR(CARI!$C$8="",$T512=CARI!$C$8)),MAX($Z$3:Z511)+1,""))</f>
        <v/>
      </c>
      <c r="AA512" s="40" t="str">
        <f aca="false">IF($Y512="","",MAX($AA$3:AA511)+1)</f>
        <v/>
      </c>
      <c r="AB512" s="40" t="str">
        <f aca="false">IF($F512="","",$F512&amp;"#"&amp;COUNTIF($F$4:$F512,$F512))</f>
        <v/>
      </c>
      <c r="AC512" s="40" t="str">
        <f aca="false">IF($B512="","",IF(AND(OR(CETAK!$J$10="",$F512=CETAK!$J$10),OR(CETAK!$J$11="",$G512=CETAK!$J$11),OR(CETAK!$J$12="",$P512=CETAK!$J$12),OR(CETAK!$J$13="",$N512=CETAK!$J$13),OR(CETAK!$J$14="",$T512=CETAK!$J$14)),MAX($AC$3:AC511)+1,""))</f>
        <v/>
      </c>
      <c r="AD512" s="40" t="str">
        <f aca="false">IF($B512="","",IF(AND(OR(ABSENSI!$H$10="",$F512=ABSENSI!$H$10),OR(ABSENSI!$H$11="",$G512=ABSENSI!$H$11),OR(ABSENSI!$H$12="",$P512=ABSENSI!$H$12)),MAX($AD$3:AD511)+1,""))</f>
        <v/>
      </c>
      <c r="AE512" s="40" t="str">
        <f aca="false">IF($B512="","",IF(AND(OR(KARTU!$K$6="",$F512=KARTU!$K$6),OR(KARTU!$K$7="",$G512=KARTU!$K$7),OR(KARTU!$K$8="",$P512=KARTU!$K$8)),MAX($AE$3:AE511)+1,""))</f>
        <v/>
      </c>
    </row>
    <row r="513" customFormat="false" ht="15" hidden="false" customHeight="false" outlineLevel="0" collapsed="false">
      <c r="A513" s="35" t="str">
        <f aca="false">IF($B513="","",COUNTA($B$4:$B513))</f>
        <v/>
      </c>
      <c r="B513" s="36"/>
      <c r="C513" s="37"/>
      <c r="D513" s="37"/>
      <c r="E513" s="38"/>
      <c r="F513" s="36"/>
      <c r="G513" s="39"/>
      <c r="H513" s="39"/>
      <c r="I513" s="36"/>
      <c r="J513" s="36"/>
      <c r="K513" s="36"/>
      <c r="L513" s="36"/>
      <c r="M513" s="40" t="str">
        <f aca="false">IF($F513="","",$F513&amp;IF($G513="",""," - RT "&amp;$G513&amp;IF($H513="","","/"&amp;$H513)))</f>
        <v/>
      </c>
      <c r="N513" s="36"/>
      <c r="O513" s="37"/>
      <c r="P513" s="39"/>
      <c r="Q513" s="41"/>
      <c r="R513" s="35" t="str">
        <f aca="true">IF(OR($B513="",$Q513=""),"",DATEDIF($Q513,TODAY(),"Y"))</f>
        <v/>
      </c>
      <c r="S513" s="40" t="str">
        <f aca="false">IF($R513="","",INDEX(usia_label,MATCH($R513,usia_min,1)))</f>
        <v/>
      </c>
      <c r="T513" s="36"/>
      <c r="U513" s="41"/>
      <c r="V513" s="36"/>
      <c r="W513" s="36"/>
      <c r="X513" s="40" t="str">
        <f aca="false">IF($M513="","",$M513&amp;"#"&amp;COUNTIF($M$4:$M513,$M513))</f>
        <v/>
      </c>
      <c r="Y513" s="40" t="str">
        <f aca="false">IF($B513="","",IF($C513="","NIK kosong",IF(LEN($C513)&lt;&gt;16,"NIK bukan 16 digit",IF(COUNTIF($C$4:$C$2003,$C513&amp;"*")&gt;1,"NIK ganda",IF(AND($D513&lt;&gt;"",LEN($D513)&lt;&gt;16),"No. KK bukan 16 digit",IF(AND($F513="",$I513=""),"Alamat kosong",IF($N513="","Jabatan kosong",IF($O513="","No. HP kosong",IF(AND($R513&lt;&gt;"",$R513&lt;17),"Usia di bawah 17","")))))))))</f>
        <v/>
      </c>
      <c r="Z513" s="40" t="str">
        <f aca="false">IF($B513="","",IF(AND(OR(CARI!$C$5="",ISNUMBER(SEARCH(CARI!$C$5,$B513&amp;" "&amp;$C513&amp;" "&amp;$D513&amp;" "&amp;$O513&amp;" "&amp;$I513&amp;" "&amp;$F513&amp;" "&amp;$J513&amp;" "&amp;$K513&amp;" "&amp;$L513&amp;" "&amp;$V513))),OR(CARI!$C$6="",$F513=CARI!$C$6),OR(CARI!$C$7="",$G513=CARI!$C$7),OR(CARI!$C$8="",$T513=CARI!$C$8)),MAX($Z$3:Z512)+1,""))</f>
        <v/>
      </c>
      <c r="AA513" s="40" t="str">
        <f aca="false">IF($Y513="","",MAX($AA$3:AA512)+1)</f>
        <v/>
      </c>
      <c r="AB513" s="40" t="str">
        <f aca="false">IF($F513="","",$F513&amp;"#"&amp;COUNTIF($F$4:$F513,$F513))</f>
        <v/>
      </c>
      <c r="AC513" s="40" t="str">
        <f aca="false">IF($B513="","",IF(AND(OR(CETAK!$J$10="",$F513=CETAK!$J$10),OR(CETAK!$J$11="",$G513=CETAK!$J$11),OR(CETAK!$J$12="",$P513=CETAK!$J$12),OR(CETAK!$J$13="",$N513=CETAK!$J$13),OR(CETAK!$J$14="",$T513=CETAK!$J$14)),MAX($AC$3:AC512)+1,""))</f>
        <v/>
      </c>
      <c r="AD513" s="40" t="str">
        <f aca="false">IF($B513="","",IF(AND(OR(ABSENSI!$H$10="",$F513=ABSENSI!$H$10),OR(ABSENSI!$H$11="",$G513=ABSENSI!$H$11),OR(ABSENSI!$H$12="",$P513=ABSENSI!$H$12)),MAX($AD$3:AD512)+1,""))</f>
        <v/>
      </c>
      <c r="AE513" s="40" t="str">
        <f aca="false">IF($B513="","",IF(AND(OR(KARTU!$K$6="",$F513=KARTU!$K$6),OR(KARTU!$K$7="",$G513=KARTU!$K$7),OR(KARTU!$K$8="",$P513=KARTU!$K$8)),MAX($AE$3:AE512)+1,""))</f>
        <v/>
      </c>
    </row>
    <row r="514" customFormat="false" ht="15" hidden="false" customHeight="false" outlineLevel="0" collapsed="false">
      <c r="A514" s="35" t="str">
        <f aca="false">IF($B514="","",COUNTA($B$4:$B514))</f>
        <v/>
      </c>
      <c r="B514" s="36"/>
      <c r="C514" s="37"/>
      <c r="D514" s="37"/>
      <c r="E514" s="38"/>
      <c r="F514" s="36"/>
      <c r="G514" s="39"/>
      <c r="H514" s="39"/>
      <c r="I514" s="36"/>
      <c r="J514" s="36"/>
      <c r="K514" s="36"/>
      <c r="L514" s="36"/>
      <c r="M514" s="40" t="str">
        <f aca="false">IF($F514="","",$F514&amp;IF($G514="",""," - RT "&amp;$G514&amp;IF($H514="","","/"&amp;$H514)))</f>
        <v/>
      </c>
      <c r="N514" s="36"/>
      <c r="O514" s="37"/>
      <c r="P514" s="39"/>
      <c r="Q514" s="41"/>
      <c r="R514" s="35" t="str">
        <f aca="true">IF(OR($B514="",$Q514=""),"",DATEDIF($Q514,TODAY(),"Y"))</f>
        <v/>
      </c>
      <c r="S514" s="40" t="str">
        <f aca="false">IF($R514="","",INDEX(usia_label,MATCH($R514,usia_min,1)))</f>
        <v/>
      </c>
      <c r="T514" s="36"/>
      <c r="U514" s="41"/>
      <c r="V514" s="36"/>
      <c r="W514" s="36"/>
      <c r="X514" s="40" t="str">
        <f aca="false">IF($M514="","",$M514&amp;"#"&amp;COUNTIF($M$4:$M514,$M514))</f>
        <v/>
      </c>
      <c r="Y514" s="40" t="str">
        <f aca="false">IF($B514="","",IF($C514="","NIK kosong",IF(LEN($C514)&lt;&gt;16,"NIK bukan 16 digit",IF(COUNTIF($C$4:$C$2003,$C514&amp;"*")&gt;1,"NIK ganda",IF(AND($D514&lt;&gt;"",LEN($D514)&lt;&gt;16),"No. KK bukan 16 digit",IF(AND($F514="",$I514=""),"Alamat kosong",IF($N514="","Jabatan kosong",IF($O514="","No. HP kosong",IF(AND($R514&lt;&gt;"",$R514&lt;17),"Usia di bawah 17","")))))))))</f>
        <v/>
      </c>
      <c r="Z514" s="40" t="str">
        <f aca="false">IF($B514="","",IF(AND(OR(CARI!$C$5="",ISNUMBER(SEARCH(CARI!$C$5,$B514&amp;" "&amp;$C514&amp;" "&amp;$D514&amp;" "&amp;$O514&amp;" "&amp;$I514&amp;" "&amp;$F514&amp;" "&amp;$J514&amp;" "&amp;$K514&amp;" "&amp;$L514&amp;" "&amp;$V514))),OR(CARI!$C$6="",$F514=CARI!$C$6),OR(CARI!$C$7="",$G514=CARI!$C$7),OR(CARI!$C$8="",$T514=CARI!$C$8)),MAX($Z$3:Z513)+1,""))</f>
        <v/>
      </c>
      <c r="AA514" s="40" t="str">
        <f aca="false">IF($Y514="","",MAX($AA$3:AA513)+1)</f>
        <v/>
      </c>
      <c r="AB514" s="40" t="str">
        <f aca="false">IF($F514="","",$F514&amp;"#"&amp;COUNTIF($F$4:$F514,$F514))</f>
        <v/>
      </c>
      <c r="AC514" s="40" t="str">
        <f aca="false">IF($B514="","",IF(AND(OR(CETAK!$J$10="",$F514=CETAK!$J$10),OR(CETAK!$J$11="",$G514=CETAK!$J$11),OR(CETAK!$J$12="",$P514=CETAK!$J$12),OR(CETAK!$J$13="",$N514=CETAK!$J$13),OR(CETAK!$J$14="",$T514=CETAK!$J$14)),MAX($AC$3:AC513)+1,""))</f>
        <v/>
      </c>
      <c r="AD514" s="40" t="str">
        <f aca="false">IF($B514="","",IF(AND(OR(ABSENSI!$H$10="",$F514=ABSENSI!$H$10),OR(ABSENSI!$H$11="",$G514=ABSENSI!$H$11),OR(ABSENSI!$H$12="",$P514=ABSENSI!$H$12)),MAX($AD$3:AD513)+1,""))</f>
        <v/>
      </c>
      <c r="AE514" s="40" t="str">
        <f aca="false">IF($B514="","",IF(AND(OR(KARTU!$K$6="",$F514=KARTU!$K$6),OR(KARTU!$K$7="",$G514=KARTU!$K$7),OR(KARTU!$K$8="",$P514=KARTU!$K$8)),MAX($AE$3:AE513)+1,""))</f>
        <v/>
      </c>
    </row>
    <row r="515" customFormat="false" ht="15" hidden="false" customHeight="false" outlineLevel="0" collapsed="false">
      <c r="A515" s="35" t="str">
        <f aca="false">IF($B515="","",COUNTA($B$4:$B515))</f>
        <v/>
      </c>
      <c r="B515" s="36"/>
      <c r="C515" s="37"/>
      <c r="D515" s="37"/>
      <c r="E515" s="38"/>
      <c r="F515" s="36"/>
      <c r="G515" s="39"/>
      <c r="H515" s="39"/>
      <c r="I515" s="36"/>
      <c r="J515" s="36"/>
      <c r="K515" s="36"/>
      <c r="L515" s="36"/>
      <c r="M515" s="40" t="str">
        <f aca="false">IF($F515="","",$F515&amp;IF($G515="",""," - RT "&amp;$G515&amp;IF($H515="","","/"&amp;$H515)))</f>
        <v/>
      </c>
      <c r="N515" s="36"/>
      <c r="O515" s="37"/>
      <c r="P515" s="39"/>
      <c r="Q515" s="41"/>
      <c r="R515" s="35" t="str">
        <f aca="true">IF(OR($B515="",$Q515=""),"",DATEDIF($Q515,TODAY(),"Y"))</f>
        <v/>
      </c>
      <c r="S515" s="40" t="str">
        <f aca="false">IF($R515="","",INDEX(usia_label,MATCH($R515,usia_min,1)))</f>
        <v/>
      </c>
      <c r="T515" s="36"/>
      <c r="U515" s="41"/>
      <c r="V515" s="36"/>
      <c r="W515" s="36"/>
      <c r="X515" s="40" t="str">
        <f aca="false">IF($M515="","",$M515&amp;"#"&amp;COUNTIF($M$4:$M515,$M515))</f>
        <v/>
      </c>
      <c r="Y515" s="40" t="str">
        <f aca="false">IF($B515="","",IF($C515="","NIK kosong",IF(LEN($C515)&lt;&gt;16,"NIK bukan 16 digit",IF(COUNTIF($C$4:$C$2003,$C515&amp;"*")&gt;1,"NIK ganda",IF(AND($D515&lt;&gt;"",LEN($D515)&lt;&gt;16),"No. KK bukan 16 digit",IF(AND($F515="",$I515=""),"Alamat kosong",IF($N515="","Jabatan kosong",IF($O515="","No. HP kosong",IF(AND($R515&lt;&gt;"",$R515&lt;17),"Usia di bawah 17","")))))))))</f>
        <v/>
      </c>
      <c r="Z515" s="40" t="str">
        <f aca="false">IF($B515="","",IF(AND(OR(CARI!$C$5="",ISNUMBER(SEARCH(CARI!$C$5,$B515&amp;" "&amp;$C515&amp;" "&amp;$D515&amp;" "&amp;$O515&amp;" "&amp;$I515&amp;" "&amp;$F515&amp;" "&amp;$J515&amp;" "&amp;$K515&amp;" "&amp;$L515&amp;" "&amp;$V515))),OR(CARI!$C$6="",$F515=CARI!$C$6),OR(CARI!$C$7="",$G515=CARI!$C$7),OR(CARI!$C$8="",$T515=CARI!$C$8)),MAX($Z$3:Z514)+1,""))</f>
        <v/>
      </c>
      <c r="AA515" s="40" t="str">
        <f aca="false">IF($Y515="","",MAX($AA$3:AA514)+1)</f>
        <v/>
      </c>
      <c r="AB515" s="40" t="str">
        <f aca="false">IF($F515="","",$F515&amp;"#"&amp;COUNTIF($F$4:$F515,$F515))</f>
        <v/>
      </c>
      <c r="AC515" s="40" t="str">
        <f aca="false">IF($B515="","",IF(AND(OR(CETAK!$J$10="",$F515=CETAK!$J$10),OR(CETAK!$J$11="",$G515=CETAK!$J$11),OR(CETAK!$J$12="",$P515=CETAK!$J$12),OR(CETAK!$J$13="",$N515=CETAK!$J$13),OR(CETAK!$J$14="",$T515=CETAK!$J$14)),MAX($AC$3:AC514)+1,""))</f>
        <v/>
      </c>
      <c r="AD515" s="40" t="str">
        <f aca="false">IF($B515="","",IF(AND(OR(ABSENSI!$H$10="",$F515=ABSENSI!$H$10),OR(ABSENSI!$H$11="",$G515=ABSENSI!$H$11),OR(ABSENSI!$H$12="",$P515=ABSENSI!$H$12)),MAX($AD$3:AD514)+1,""))</f>
        <v/>
      </c>
      <c r="AE515" s="40" t="str">
        <f aca="false">IF($B515="","",IF(AND(OR(KARTU!$K$6="",$F515=KARTU!$K$6),OR(KARTU!$K$7="",$G515=KARTU!$K$7),OR(KARTU!$K$8="",$P515=KARTU!$K$8)),MAX($AE$3:AE514)+1,""))</f>
        <v/>
      </c>
    </row>
    <row r="516" customFormat="false" ht="15" hidden="false" customHeight="false" outlineLevel="0" collapsed="false">
      <c r="A516" s="35" t="str">
        <f aca="false">IF($B516="","",COUNTA($B$4:$B516))</f>
        <v/>
      </c>
      <c r="B516" s="36"/>
      <c r="C516" s="37"/>
      <c r="D516" s="37"/>
      <c r="E516" s="38"/>
      <c r="F516" s="36"/>
      <c r="G516" s="39"/>
      <c r="H516" s="39"/>
      <c r="I516" s="36"/>
      <c r="J516" s="36"/>
      <c r="K516" s="36"/>
      <c r="L516" s="36"/>
      <c r="M516" s="40" t="str">
        <f aca="false">IF($F516="","",$F516&amp;IF($G516="",""," - RT "&amp;$G516&amp;IF($H516="","","/"&amp;$H516)))</f>
        <v/>
      </c>
      <c r="N516" s="36"/>
      <c r="O516" s="37"/>
      <c r="P516" s="39"/>
      <c r="Q516" s="41"/>
      <c r="R516" s="35" t="str">
        <f aca="true">IF(OR($B516="",$Q516=""),"",DATEDIF($Q516,TODAY(),"Y"))</f>
        <v/>
      </c>
      <c r="S516" s="40" t="str">
        <f aca="false">IF($R516="","",INDEX(usia_label,MATCH($R516,usia_min,1)))</f>
        <v/>
      </c>
      <c r="T516" s="36"/>
      <c r="U516" s="41"/>
      <c r="V516" s="36"/>
      <c r="W516" s="36"/>
      <c r="X516" s="40" t="str">
        <f aca="false">IF($M516="","",$M516&amp;"#"&amp;COUNTIF($M$4:$M516,$M516))</f>
        <v/>
      </c>
      <c r="Y516" s="40" t="str">
        <f aca="false">IF($B516="","",IF($C516="","NIK kosong",IF(LEN($C516)&lt;&gt;16,"NIK bukan 16 digit",IF(COUNTIF($C$4:$C$2003,$C516&amp;"*")&gt;1,"NIK ganda",IF(AND($D516&lt;&gt;"",LEN($D516)&lt;&gt;16),"No. KK bukan 16 digit",IF(AND($F516="",$I516=""),"Alamat kosong",IF($N516="","Jabatan kosong",IF($O516="","No. HP kosong",IF(AND($R516&lt;&gt;"",$R516&lt;17),"Usia di bawah 17","")))))))))</f>
        <v/>
      </c>
      <c r="Z516" s="40" t="str">
        <f aca="false">IF($B516="","",IF(AND(OR(CARI!$C$5="",ISNUMBER(SEARCH(CARI!$C$5,$B516&amp;" "&amp;$C516&amp;" "&amp;$D516&amp;" "&amp;$O516&amp;" "&amp;$I516&amp;" "&amp;$F516&amp;" "&amp;$J516&amp;" "&amp;$K516&amp;" "&amp;$L516&amp;" "&amp;$V516))),OR(CARI!$C$6="",$F516=CARI!$C$6),OR(CARI!$C$7="",$G516=CARI!$C$7),OR(CARI!$C$8="",$T516=CARI!$C$8)),MAX($Z$3:Z515)+1,""))</f>
        <v/>
      </c>
      <c r="AA516" s="40" t="str">
        <f aca="false">IF($Y516="","",MAX($AA$3:AA515)+1)</f>
        <v/>
      </c>
      <c r="AB516" s="40" t="str">
        <f aca="false">IF($F516="","",$F516&amp;"#"&amp;COUNTIF($F$4:$F516,$F516))</f>
        <v/>
      </c>
      <c r="AC516" s="40" t="str">
        <f aca="false">IF($B516="","",IF(AND(OR(CETAK!$J$10="",$F516=CETAK!$J$10),OR(CETAK!$J$11="",$G516=CETAK!$J$11),OR(CETAK!$J$12="",$P516=CETAK!$J$12),OR(CETAK!$J$13="",$N516=CETAK!$J$13),OR(CETAK!$J$14="",$T516=CETAK!$J$14)),MAX($AC$3:AC515)+1,""))</f>
        <v/>
      </c>
      <c r="AD516" s="40" t="str">
        <f aca="false">IF($B516="","",IF(AND(OR(ABSENSI!$H$10="",$F516=ABSENSI!$H$10),OR(ABSENSI!$H$11="",$G516=ABSENSI!$H$11),OR(ABSENSI!$H$12="",$P516=ABSENSI!$H$12)),MAX($AD$3:AD515)+1,""))</f>
        <v/>
      </c>
      <c r="AE516" s="40" t="str">
        <f aca="false">IF($B516="","",IF(AND(OR(KARTU!$K$6="",$F516=KARTU!$K$6),OR(KARTU!$K$7="",$G516=KARTU!$K$7),OR(KARTU!$K$8="",$P516=KARTU!$K$8)),MAX($AE$3:AE515)+1,""))</f>
        <v/>
      </c>
    </row>
    <row r="517" customFormat="false" ht="15" hidden="false" customHeight="false" outlineLevel="0" collapsed="false">
      <c r="A517" s="35" t="str">
        <f aca="false">IF($B517="","",COUNTA($B$4:$B517))</f>
        <v/>
      </c>
      <c r="B517" s="36"/>
      <c r="C517" s="37"/>
      <c r="D517" s="37"/>
      <c r="E517" s="38"/>
      <c r="F517" s="36"/>
      <c r="G517" s="39"/>
      <c r="H517" s="39"/>
      <c r="I517" s="36"/>
      <c r="J517" s="36"/>
      <c r="K517" s="36"/>
      <c r="L517" s="36"/>
      <c r="M517" s="40" t="str">
        <f aca="false">IF($F517="","",$F517&amp;IF($G517="",""," - RT "&amp;$G517&amp;IF($H517="","","/"&amp;$H517)))</f>
        <v/>
      </c>
      <c r="N517" s="36"/>
      <c r="O517" s="37"/>
      <c r="P517" s="39"/>
      <c r="Q517" s="41"/>
      <c r="R517" s="35" t="str">
        <f aca="true">IF(OR($B517="",$Q517=""),"",DATEDIF($Q517,TODAY(),"Y"))</f>
        <v/>
      </c>
      <c r="S517" s="40" t="str">
        <f aca="false">IF($R517="","",INDEX(usia_label,MATCH($R517,usia_min,1)))</f>
        <v/>
      </c>
      <c r="T517" s="36"/>
      <c r="U517" s="41"/>
      <c r="V517" s="36"/>
      <c r="W517" s="36"/>
      <c r="X517" s="40" t="str">
        <f aca="false">IF($M517="","",$M517&amp;"#"&amp;COUNTIF($M$4:$M517,$M517))</f>
        <v/>
      </c>
      <c r="Y517" s="40" t="str">
        <f aca="false">IF($B517="","",IF($C517="","NIK kosong",IF(LEN($C517)&lt;&gt;16,"NIK bukan 16 digit",IF(COUNTIF($C$4:$C$2003,$C517&amp;"*")&gt;1,"NIK ganda",IF(AND($D517&lt;&gt;"",LEN($D517)&lt;&gt;16),"No. KK bukan 16 digit",IF(AND($F517="",$I517=""),"Alamat kosong",IF($N517="","Jabatan kosong",IF($O517="","No. HP kosong",IF(AND($R517&lt;&gt;"",$R517&lt;17),"Usia di bawah 17","")))))))))</f>
        <v/>
      </c>
      <c r="Z517" s="40" t="str">
        <f aca="false">IF($B517="","",IF(AND(OR(CARI!$C$5="",ISNUMBER(SEARCH(CARI!$C$5,$B517&amp;" "&amp;$C517&amp;" "&amp;$D517&amp;" "&amp;$O517&amp;" "&amp;$I517&amp;" "&amp;$F517&amp;" "&amp;$J517&amp;" "&amp;$K517&amp;" "&amp;$L517&amp;" "&amp;$V517))),OR(CARI!$C$6="",$F517=CARI!$C$6),OR(CARI!$C$7="",$G517=CARI!$C$7),OR(CARI!$C$8="",$T517=CARI!$C$8)),MAX($Z$3:Z516)+1,""))</f>
        <v/>
      </c>
      <c r="AA517" s="40" t="str">
        <f aca="false">IF($Y517="","",MAX($AA$3:AA516)+1)</f>
        <v/>
      </c>
      <c r="AB517" s="40" t="str">
        <f aca="false">IF($F517="","",$F517&amp;"#"&amp;COUNTIF($F$4:$F517,$F517))</f>
        <v/>
      </c>
      <c r="AC517" s="40" t="str">
        <f aca="false">IF($B517="","",IF(AND(OR(CETAK!$J$10="",$F517=CETAK!$J$10),OR(CETAK!$J$11="",$G517=CETAK!$J$11),OR(CETAK!$J$12="",$P517=CETAK!$J$12),OR(CETAK!$J$13="",$N517=CETAK!$J$13),OR(CETAK!$J$14="",$T517=CETAK!$J$14)),MAX($AC$3:AC516)+1,""))</f>
        <v/>
      </c>
      <c r="AD517" s="40" t="str">
        <f aca="false">IF($B517="","",IF(AND(OR(ABSENSI!$H$10="",$F517=ABSENSI!$H$10),OR(ABSENSI!$H$11="",$G517=ABSENSI!$H$11),OR(ABSENSI!$H$12="",$P517=ABSENSI!$H$12)),MAX($AD$3:AD516)+1,""))</f>
        <v/>
      </c>
      <c r="AE517" s="40" t="str">
        <f aca="false">IF($B517="","",IF(AND(OR(KARTU!$K$6="",$F517=KARTU!$K$6),OR(KARTU!$K$7="",$G517=KARTU!$K$7),OR(KARTU!$K$8="",$P517=KARTU!$K$8)),MAX($AE$3:AE516)+1,""))</f>
        <v/>
      </c>
    </row>
    <row r="518" customFormat="false" ht="15" hidden="false" customHeight="false" outlineLevel="0" collapsed="false">
      <c r="A518" s="35" t="str">
        <f aca="false">IF($B518="","",COUNTA($B$4:$B518))</f>
        <v/>
      </c>
      <c r="B518" s="36"/>
      <c r="C518" s="37"/>
      <c r="D518" s="37"/>
      <c r="E518" s="38"/>
      <c r="F518" s="36"/>
      <c r="G518" s="39"/>
      <c r="H518" s="39"/>
      <c r="I518" s="36"/>
      <c r="J518" s="36"/>
      <c r="K518" s="36"/>
      <c r="L518" s="36"/>
      <c r="M518" s="40" t="str">
        <f aca="false">IF($F518="","",$F518&amp;IF($G518="",""," - RT "&amp;$G518&amp;IF($H518="","","/"&amp;$H518)))</f>
        <v/>
      </c>
      <c r="N518" s="36"/>
      <c r="O518" s="37"/>
      <c r="P518" s="39"/>
      <c r="Q518" s="41"/>
      <c r="R518" s="35" t="str">
        <f aca="true">IF(OR($B518="",$Q518=""),"",DATEDIF($Q518,TODAY(),"Y"))</f>
        <v/>
      </c>
      <c r="S518" s="40" t="str">
        <f aca="false">IF($R518="","",INDEX(usia_label,MATCH($R518,usia_min,1)))</f>
        <v/>
      </c>
      <c r="T518" s="36"/>
      <c r="U518" s="41"/>
      <c r="V518" s="36"/>
      <c r="W518" s="36"/>
      <c r="X518" s="40" t="str">
        <f aca="false">IF($M518="","",$M518&amp;"#"&amp;COUNTIF($M$4:$M518,$M518))</f>
        <v/>
      </c>
      <c r="Y518" s="40" t="str">
        <f aca="false">IF($B518="","",IF($C518="","NIK kosong",IF(LEN($C518)&lt;&gt;16,"NIK bukan 16 digit",IF(COUNTIF($C$4:$C$2003,$C518&amp;"*")&gt;1,"NIK ganda",IF(AND($D518&lt;&gt;"",LEN($D518)&lt;&gt;16),"No. KK bukan 16 digit",IF(AND($F518="",$I518=""),"Alamat kosong",IF($N518="","Jabatan kosong",IF($O518="","No. HP kosong",IF(AND($R518&lt;&gt;"",$R518&lt;17),"Usia di bawah 17","")))))))))</f>
        <v/>
      </c>
      <c r="Z518" s="40" t="str">
        <f aca="false">IF($B518="","",IF(AND(OR(CARI!$C$5="",ISNUMBER(SEARCH(CARI!$C$5,$B518&amp;" "&amp;$C518&amp;" "&amp;$D518&amp;" "&amp;$O518&amp;" "&amp;$I518&amp;" "&amp;$F518&amp;" "&amp;$J518&amp;" "&amp;$K518&amp;" "&amp;$L518&amp;" "&amp;$V518))),OR(CARI!$C$6="",$F518=CARI!$C$6),OR(CARI!$C$7="",$G518=CARI!$C$7),OR(CARI!$C$8="",$T518=CARI!$C$8)),MAX($Z$3:Z517)+1,""))</f>
        <v/>
      </c>
      <c r="AA518" s="40" t="str">
        <f aca="false">IF($Y518="","",MAX($AA$3:AA517)+1)</f>
        <v/>
      </c>
      <c r="AB518" s="40" t="str">
        <f aca="false">IF($F518="","",$F518&amp;"#"&amp;COUNTIF($F$4:$F518,$F518))</f>
        <v/>
      </c>
      <c r="AC518" s="40" t="str">
        <f aca="false">IF($B518="","",IF(AND(OR(CETAK!$J$10="",$F518=CETAK!$J$10),OR(CETAK!$J$11="",$G518=CETAK!$J$11),OR(CETAK!$J$12="",$P518=CETAK!$J$12),OR(CETAK!$J$13="",$N518=CETAK!$J$13),OR(CETAK!$J$14="",$T518=CETAK!$J$14)),MAX($AC$3:AC517)+1,""))</f>
        <v/>
      </c>
      <c r="AD518" s="40" t="str">
        <f aca="false">IF($B518="","",IF(AND(OR(ABSENSI!$H$10="",$F518=ABSENSI!$H$10),OR(ABSENSI!$H$11="",$G518=ABSENSI!$H$11),OR(ABSENSI!$H$12="",$P518=ABSENSI!$H$12)),MAX($AD$3:AD517)+1,""))</f>
        <v/>
      </c>
      <c r="AE518" s="40" t="str">
        <f aca="false">IF($B518="","",IF(AND(OR(KARTU!$K$6="",$F518=KARTU!$K$6),OR(KARTU!$K$7="",$G518=KARTU!$K$7),OR(KARTU!$K$8="",$P518=KARTU!$K$8)),MAX($AE$3:AE517)+1,""))</f>
        <v/>
      </c>
    </row>
    <row r="519" customFormat="false" ht="15" hidden="false" customHeight="false" outlineLevel="0" collapsed="false">
      <c r="A519" s="35" t="str">
        <f aca="false">IF($B519="","",COUNTA($B$4:$B519))</f>
        <v/>
      </c>
      <c r="B519" s="36"/>
      <c r="C519" s="37"/>
      <c r="D519" s="37"/>
      <c r="E519" s="38"/>
      <c r="F519" s="36"/>
      <c r="G519" s="39"/>
      <c r="H519" s="39"/>
      <c r="I519" s="36"/>
      <c r="J519" s="36"/>
      <c r="K519" s="36"/>
      <c r="L519" s="36"/>
      <c r="M519" s="40" t="str">
        <f aca="false">IF($F519="","",$F519&amp;IF($G519="",""," - RT "&amp;$G519&amp;IF($H519="","","/"&amp;$H519)))</f>
        <v/>
      </c>
      <c r="N519" s="36"/>
      <c r="O519" s="37"/>
      <c r="P519" s="39"/>
      <c r="Q519" s="41"/>
      <c r="R519" s="35" t="str">
        <f aca="true">IF(OR($B519="",$Q519=""),"",DATEDIF($Q519,TODAY(),"Y"))</f>
        <v/>
      </c>
      <c r="S519" s="40" t="str">
        <f aca="false">IF($R519="","",INDEX(usia_label,MATCH($R519,usia_min,1)))</f>
        <v/>
      </c>
      <c r="T519" s="36"/>
      <c r="U519" s="41"/>
      <c r="V519" s="36"/>
      <c r="W519" s="36"/>
      <c r="X519" s="40" t="str">
        <f aca="false">IF($M519="","",$M519&amp;"#"&amp;COUNTIF($M$4:$M519,$M519))</f>
        <v/>
      </c>
      <c r="Y519" s="40" t="str">
        <f aca="false">IF($B519="","",IF($C519="","NIK kosong",IF(LEN($C519)&lt;&gt;16,"NIK bukan 16 digit",IF(COUNTIF($C$4:$C$2003,$C519&amp;"*")&gt;1,"NIK ganda",IF(AND($D519&lt;&gt;"",LEN($D519)&lt;&gt;16),"No. KK bukan 16 digit",IF(AND($F519="",$I519=""),"Alamat kosong",IF($N519="","Jabatan kosong",IF($O519="","No. HP kosong",IF(AND($R519&lt;&gt;"",$R519&lt;17),"Usia di bawah 17","")))))))))</f>
        <v/>
      </c>
      <c r="Z519" s="40" t="str">
        <f aca="false">IF($B519="","",IF(AND(OR(CARI!$C$5="",ISNUMBER(SEARCH(CARI!$C$5,$B519&amp;" "&amp;$C519&amp;" "&amp;$D519&amp;" "&amp;$O519&amp;" "&amp;$I519&amp;" "&amp;$F519&amp;" "&amp;$J519&amp;" "&amp;$K519&amp;" "&amp;$L519&amp;" "&amp;$V519))),OR(CARI!$C$6="",$F519=CARI!$C$6),OR(CARI!$C$7="",$G519=CARI!$C$7),OR(CARI!$C$8="",$T519=CARI!$C$8)),MAX($Z$3:Z518)+1,""))</f>
        <v/>
      </c>
      <c r="AA519" s="40" t="str">
        <f aca="false">IF($Y519="","",MAX($AA$3:AA518)+1)</f>
        <v/>
      </c>
      <c r="AB519" s="40" t="str">
        <f aca="false">IF($F519="","",$F519&amp;"#"&amp;COUNTIF($F$4:$F519,$F519))</f>
        <v/>
      </c>
      <c r="AC519" s="40" t="str">
        <f aca="false">IF($B519="","",IF(AND(OR(CETAK!$J$10="",$F519=CETAK!$J$10),OR(CETAK!$J$11="",$G519=CETAK!$J$11),OR(CETAK!$J$12="",$P519=CETAK!$J$12),OR(CETAK!$J$13="",$N519=CETAK!$J$13),OR(CETAK!$J$14="",$T519=CETAK!$J$14)),MAX($AC$3:AC518)+1,""))</f>
        <v/>
      </c>
      <c r="AD519" s="40" t="str">
        <f aca="false">IF($B519="","",IF(AND(OR(ABSENSI!$H$10="",$F519=ABSENSI!$H$10),OR(ABSENSI!$H$11="",$G519=ABSENSI!$H$11),OR(ABSENSI!$H$12="",$P519=ABSENSI!$H$12)),MAX($AD$3:AD518)+1,""))</f>
        <v/>
      </c>
      <c r="AE519" s="40" t="str">
        <f aca="false">IF($B519="","",IF(AND(OR(KARTU!$K$6="",$F519=KARTU!$K$6),OR(KARTU!$K$7="",$G519=KARTU!$K$7),OR(KARTU!$K$8="",$P519=KARTU!$K$8)),MAX($AE$3:AE518)+1,""))</f>
        <v/>
      </c>
    </row>
    <row r="520" customFormat="false" ht="15" hidden="false" customHeight="false" outlineLevel="0" collapsed="false">
      <c r="A520" s="35" t="str">
        <f aca="false">IF($B520="","",COUNTA($B$4:$B520))</f>
        <v/>
      </c>
      <c r="B520" s="36"/>
      <c r="C520" s="37"/>
      <c r="D520" s="37"/>
      <c r="E520" s="38"/>
      <c r="F520" s="36"/>
      <c r="G520" s="39"/>
      <c r="H520" s="39"/>
      <c r="I520" s="36"/>
      <c r="J520" s="36"/>
      <c r="K520" s="36"/>
      <c r="L520" s="36"/>
      <c r="M520" s="40" t="str">
        <f aca="false">IF($F520="","",$F520&amp;IF($G520="",""," - RT "&amp;$G520&amp;IF($H520="","","/"&amp;$H520)))</f>
        <v/>
      </c>
      <c r="N520" s="36"/>
      <c r="O520" s="37"/>
      <c r="P520" s="39"/>
      <c r="Q520" s="41"/>
      <c r="R520" s="35" t="str">
        <f aca="true">IF(OR($B520="",$Q520=""),"",DATEDIF($Q520,TODAY(),"Y"))</f>
        <v/>
      </c>
      <c r="S520" s="40" t="str">
        <f aca="false">IF($R520="","",INDEX(usia_label,MATCH($R520,usia_min,1)))</f>
        <v/>
      </c>
      <c r="T520" s="36"/>
      <c r="U520" s="41"/>
      <c r="V520" s="36"/>
      <c r="W520" s="36"/>
      <c r="X520" s="40" t="str">
        <f aca="false">IF($M520="","",$M520&amp;"#"&amp;COUNTIF($M$4:$M520,$M520))</f>
        <v/>
      </c>
      <c r="Y520" s="40" t="str">
        <f aca="false">IF($B520="","",IF($C520="","NIK kosong",IF(LEN($C520)&lt;&gt;16,"NIK bukan 16 digit",IF(COUNTIF($C$4:$C$2003,$C520&amp;"*")&gt;1,"NIK ganda",IF(AND($D520&lt;&gt;"",LEN($D520)&lt;&gt;16),"No. KK bukan 16 digit",IF(AND($F520="",$I520=""),"Alamat kosong",IF($N520="","Jabatan kosong",IF($O520="","No. HP kosong",IF(AND($R520&lt;&gt;"",$R520&lt;17),"Usia di bawah 17","")))))))))</f>
        <v/>
      </c>
      <c r="Z520" s="40" t="str">
        <f aca="false">IF($B520="","",IF(AND(OR(CARI!$C$5="",ISNUMBER(SEARCH(CARI!$C$5,$B520&amp;" "&amp;$C520&amp;" "&amp;$D520&amp;" "&amp;$O520&amp;" "&amp;$I520&amp;" "&amp;$F520&amp;" "&amp;$J520&amp;" "&amp;$K520&amp;" "&amp;$L520&amp;" "&amp;$V520))),OR(CARI!$C$6="",$F520=CARI!$C$6),OR(CARI!$C$7="",$G520=CARI!$C$7),OR(CARI!$C$8="",$T520=CARI!$C$8)),MAX($Z$3:Z519)+1,""))</f>
        <v/>
      </c>
      <c r="AA520" s="40" t="str">
        <f aca="false">IF($Y520="","",MAX($AA$3:AA519)+1)</f>
        <v/>
      </c>
      <c r="AB520" s="40" t="str">
        <f aca="false">IF($F520="","",$F520&amp;"#"&amp;COUNTIF($F$4:$F520,$F520))</f>
        <v/>
      </c>
      <c r="AC520" s="40" t="str">
        <f aca="false">IF($B520="","",IF(AND(OR(CETAK!$J$10="",$F520=CETAK!$J$10),OR(CETAK!$J$11="",$G520=CETAK!$J$11),OR(CETAK!$J$12="",$P520=CETAK!$J$12),OR(CETAK!$J$13="",$N520=CETAK!$J$13),OR(CETAK!$J$14="",$T520=CETAK!$J$14)),MAX($AC$3:AC519)+1,""))</f>
        <v/>
      </c>
      <c r="AD520" s="40" t="str">
        <f aca="false">IF($B520="","",IF(AND(OR(ABSENSI!$H$10="",$F520=ABSENSI!$H$10),OR(ABSENSI!$H$11="",$G520=ABSENSI!$H$11),OR(ABSENSI!$H$12="",$P520=ABSENSI!$H$12)),MAX($AD$3:AD519)+1,""))</f>
        <v/>
      </c>
      <c r="AE520" s="40" t="str">
        <f aca="false">IF($B520="","",IF(AND(OR(KARTU!$K$6="",$F520=KARTU!$K$6),OR(KARTU!$K$7="",$G520=KARTU!$K$7),OR(KARTU!$K$8="",$P520=KARTU!$K$8)),MAX($AE$3:AE519)+1,""))</f>
        <v/>
      </c>
    </row>
    <row r="521" customFormat="false" ht="15" hidden="false" customHeight="false" outlineLevel="0" collapsed="false">
      <c r="A521" s="35" t="str">
        <f aca="false">IF($B521="","",COUNTA($B$4:$B521))</f>
        <v/>
      </c>
      <c r="B521" s="36"/>
      <c r="C521" s="37"/>
      <c r="D521" s="37"/>
      <c r="E521" s="38"/>
      <c r="F521" s="36"/>
      <c r="G521" s="39"/>
      <c r="H521" s="39"/>
      <c r="I521" s="36"/>
      <c r="J521" s="36"/>
      <c r="K521" s="36"/>
      <c r="L521" s="36"/>
      <c r="M521" s="40" t="str">
        <f aca="false">IF($F521="","",$F521&amp;IF($G521="",""," - RT "&amp;$G521&amp;IF($H521="","","/"&amp;$H521)))</f>
        <v/>
      </c>
      <c r="N521" s="36"/>
      <c r="O521" s="37"/>
      <c r="P521" s="39"/>
      <c r="Q521" s="41"/>
      <c r="R521" s="35" t="str">
        <f aca="true">IF(OR($B521="",$Q521=""),"",DATEDIF($Q521,TODAY(),"Y"))</f>
        <v/>
      </c>
      <c r="S521" s="40" t="str">
        <f aca="false">IF($R521="","",INDEX(usia_label,MATCH($R521,usia_min,1)))</f>
        <v/>
      </c>
      <c r="T521" s="36"/>
      <c r="U521" s="41"/>
      <c r="V521" s="36"/>
      <c r="W521" s="36"/>
      <c r="X521" s="40" t="str">
        <f aca="false">IF($M521="","",$M521&amp;"#"&amp;COUNTIF($M$4:$M521,$M521))</f>
        <v/>
      </c>
      <c r="Y521" s="40" t="str">
        <f aca="false">IF($B521="","",IF($C521="","NIK kosong",IF(LEN($C521)&lt;&gt;16,"NIK bukan 16 digit",IF(COUNTIF($C$4:$C$2003,$C521&amp;"*")&gt;1,"NIK ganda",IF(AND($D521&lt;&gt;"",LEN($D521)&lt;&gt;16),"No. KK bukan 16 digit",IF(AND($F521="",$I521=""),"Alamat kosong",IF($N521="","Jabatan kosong",IF($O521="","No. HP kosong",IF(AND($R521&lt;&gt;"",$R521&lt;17),"Usia di bawah 17","")))))))))</f>
        <v/>
      </c>
      <c r="Z521" s="40" t="str">
        <f aca="false">IF($B521="","",IF(AND(OR(CARI!$C$5="",ISNUMBER(SEARCH(CARI!$C$5,$B521&amp;" "&amp;$C521&amp;" "&amp;$D521&amp;" "&amp;$O521&amp;" "&amp;$I521&amp;" "&amp;$F521&amp;" "&amp;$J521&amp;" "&amp;$K521&amp;" "&amp;$L521&amp;" "&amp;$V521))),OR(CARI!$C$6="",$F521=CARI!$C$6),OR(CARI!$C$7="",$G521=CARI!$C$7),OR(CARI!$C$8="",$T521=CARI!$C$8)),MAX($Z$3:Z520)+1,""))</f>
        <v/>
      </c>
      <c r="AA521" s="40" t="str">
        <f aca="false">IF($Y521="","",MAX($AA$3:AA520)+1)</f>
        <v/>
      </c>
      <c r="AB521" s="40" t="str">
        <f aca="false">IF($F521="","",$F521&amp;"#"&amp;COUNTIF($F$4:$F521,$F521))</f>
        <v/>
      </c>
      <c r="AC521" s="40" t="str">
        <f aca="false">IF($B521="","",IF(AND(OR(CETAK!$J$10="",$F521=CETAK!$J$10),OR(CETAK!$J$11="",$G521=CETAK!$J$11),OR(CETAK!$J$12="",$P521=CETAK!$J$12),OR(CETAK!$J$13="",$N521=CETAK!$J$13),OR(CETAK!$J$14="",$T521=CETAK!$J$14)),MAX($AC$3:AC520)+1,""))</f>
        <v/>
      </c>
      <c r="AD521" s="40" t="str">
        <f aca="false">IF($B521="","",IF(AND(OR(ABSENSI!$H$10="",$F521=ABSENSI!$H$10),OR(ABSENSI!$H$11="",$G521=ABSENSI!$H$11),OR(ABSENSI!$H$12="",$P521=ABSENSI!$H$12)),MAX($AD$3:AD520)+1,""))</f>
        <v/>
      </c>
      <c r="AE521" s="40" t="str">
        <f aca="false">IF($B521="","",IF(AND(OR(KARTU!$K$6="",$F521=KARTU!$K$6),OR(KARTU!$K$7="",$G521=KARTU!$K$7),OR(KARTU!$K$8="",$P521=KARTU!$K$8)),MAX($AE$3:AE520)+1,""))</f>
        <v/>
      </c>
    </row>
    <row r="522" customFormat="false" ht="15" hidden="false" customHeight="false" outlineLevel="0" collapsed="false">
      <c r="A522" s="35" t="str">
        <f aca="false">IF($B522="","",COUNTA($B$4:$B522))</f>
        <v/>
      </c>
      <c r="B522" s="36"/>
      <c r="C522" s="37"/>
      <c r="D522" s="37"/>
      <c r="E522" s="38"/>
      <c r="F522" s="36"/>
      <c r="G522" s="39"/>
      <c r="H522" s="39"/>
      <c r="I522" s="36"/>
      <c r="J522" s="36"/>
      <c r="K522" s="36"/>
      <c r="L522" s="36"/>
      <c r="M522" s="40" t="str">
        <f aca="false">IF($F522="","",$F522&amp;IF($G522="",""," - RT "&amp;$G522&amp;IF($H522="","","/"&amp;$H522)))</f>
        <v/>
      </c>
      <c r="N522" s="36"/>
      <c r="O522" s="37"/>
      <c r="P522" s="39"/>
      <c r="Q522" s="41"/>
      <c r="R522" s="35" t="str">
        <f aca="true">IF(OR($B522="",$Q522=""),"",DATEDIF($Q522,TODAY(),"Y"))</f>
        <v/>
      </c>
      <c r="S522" s="40" t="str">
        <f aca="false">IF($R522="","",INDEX(usia_label,MATCH($R522,usia_min,1)))</f>
        <v/>
      </c>
      <c r="T522" s="36"/>
      <c r="U522" s="41"/>
      <c r="V522" s="36"/>
      <c r="W522" s="36"/>
      <c r="X522" s="40" t="str">
        <f aca="false">IF($M522="","",$M522&amp;"#"&amp;COUNTIF($M$4:$M522,$M522))</f>
        <v/>
      </c>
      <c r="Y522" s="40" t="str">
        <f aca="false">IF($B522="","",IF($C522="","NIK kosong",IF(LEN($C522)&lt;&gt;16,"NIK bukan 16 digit",IF(COUNTIF($C$4:$C$2003,$C522&amp;"*")&gt;1,"NIK ganda",IF(AND($D522&lt;&gt;"",LEN($D522)&lt;&gt;16),"No. KK bukan 16 digit",IF(AND($F522="",$I522=""),"Alamat kosong",IF($N522="","Jabatan kosong",IF($O522="","No. HP kosong",IF(AND($R522&lt;&gt;"",$R522&lt;17),"Usia di bawah 17","")))))))))</f>
        <v/>
      </c>
      <c r="Z522" s="40" t="str">
        <f aca="false">IF($B522="","",IF(AND(OR(CARI!$C$5="",ISNUMBER(SEARCH(CARI!$C$5,$B522&amp;" "&amp;$C522&amp;" "&amp;$D522&amp;" "&amp;$O522&amp;" "&amp;$I522&amp;" "&amp;$F522&amp;" "&amp;$J522&amp;" "&amp;$K522&amp;" "&amp;$L522&amp;" "&amp;$V522))),OR(CARI!$C$6="",$F522=CARI!$C$6),OR(CARI!$C$7="",$G522=CARI!$C$7),OR(CARI!$C$8="",$T522=CARI!$C$8)),MAX($Z$3:Z521)+1,""))</f>
        <v/>
      </c>
      <c r="AA522" s="40" t="str">
        <f aca="false">IF($Y522="","",MAX($AA$3:AA521)+1)</f>
        <v/>
      </c>
      <c r="AB522" s="40" t="str">
        <f aca="false">IF($F522="","",$F522&amp;"#"&amp;COUNTIF($F$4:$F522,$F522))</f>
        <v/>
      </c>
      <c r="AC522" s="40" t="str">
        <f aca="false">IF($B522="","",IF(AND(OR(CETAK!$J$10="",$F522=CETAK!$J$10),OR(CETAK!$J$11="",$G522=CETAK!$J$11),OR(CETAK!$J$12="",$P522=CETAK!$J$12),OR(CETAK!$J$13="",$N522=CETAK!$J$13),OR(CETAK!$J$14="",$T522=CETAK!$J$14)),MAX($AC$3:AC521)+1,""))</f>
        <v/>
      </c>
      <c r="AD522" s="40" t="str">
        <f aca="false">IF($B522="","",IF(AND(OR(ABSENSI!$H$10="",$F522=ABSENSI!$H$10),OR(ABSENSI!$H$11="",$G522=ABSENSI!$H$11),OR(ABSENSI!$H$12="",$P522=ABSENSI!$H$12)),MAX($AD$3:AD521)+1,""))</f>
        <v/>
      </c>
      <c r="AE522" s="40" t="str">
        <f aca="false">IF($B522="","",IF(AND(OR(KARTU!$K$6="",$F522=KARTU!$K$6),OR(KARTU!$K$7="",$G522=KARTU!$K$7),OR(KARTU!$K$8="",$P522=KARTU!$K$8)),MAX($AE$3:AE521)+1,""))</f>
        <v/>
      </c>
    </row>
    <row r="523" customFormat="false" ht="15" hidden="false" customHeight="false" outlineLevel="0" collapsed="false">
      <c r="A523" s="35" t="str">
        <f aca="false">IF($B523="","",COUNTA($B$4:$B523))</f>
        <v/>
      </c>
      <c r="B523" s="36"/>
      <c r="C523" s="37"/>
      <c r="D523" s="37"/>
      <c r="E523" s="38"/>
      <c r="F523" s="36"/>
      <c r="G523" s="39"/>
      <c r="H523" s="39"/>
      <c r="I523" s="36"/>
      <c r="J523" s="36"/>
      <c r="K523" s="36"/>
      <c r="L523" s="36"/>
      <c r="M523" s="40" t="str">
        <f aca="false">IF($F523="","",$F523&amp;IF($G523="",""," - RT "&amp;$G523&amp;IF($H523="","","/"&amp;$H523)))</f>
        <v/>
      </c>
      <c r="N523" s="36"/>
      <c r="O523" s="37"/>
      <c r="P523" s="39"/>
      <c r="Q523" s="41"/>
      <c r="R523" s="35" t="str">
        <f aca="true">IF(OR($B523="",$Q523=""),"",DATEDIF($Q523,TODAY(),"Y"))</f>
        <v/>
      </c>
      <c r="S523" s="40" t="str">
        <f aca="false">IF($R523="","",INDEX(usia_label,MATCH($R523,usia_min,1)))</f>
        <v/>
      </c>
      <c r="T523" s="36"/>
      <c r="U523" s="41"/>
      <c r="V523" s="36"/>
      <c r="W523" s="36"/>
      <c r="X523" s="40" t="str">
        <f aca="false">IF($M523="","",$M523&amp;"#"&amp;COUNTIF($M$4:$M523,$M523))</f>
        <v/>
      </c>
      <c r="Y523" s="40" t="str">
        <f aca="false">IF($B523="","",IF($C523="","NIK kosong",IF(LEN($C523)&lt;&gt;16,"NIK bukan 16 digit",IF(COUNTIF($C$4:$C$2003,$C523&amp;"*")&gt;1,"NIK ganda",IF(AND($D523&lt;&gt;"",LEN($D523)&lt;&gt;16),"No. KK bukan 16 digit",IF(AND($F523="",$I523=""),"Alamat kosong",IF($N523="","Jabatan kosong",IF($O523="","No. HP kosong",IF(AND($R523&lt;&gt;"",$R523&lt;17),"Usia di bawah 17","")))))))))</f>
        <v/>
      </c>
      <c r="Z523" s="40" t="str">
        <f aca="false">IF($B523="","",IF(AND(OR(CARI!$C$5="",ISNUMBER(SEARCH(CARI!$C$5,$B523&amp;" "&amp;$C523&amp;" "&amp;$D523&amp;" "&amp;$O523&amp;" "&amp;$I523&amp;" "&amp;$F523&amp;" "&amp;$J523&amp;" "&amp;$K523&amp;" "&amp;$L523&amp;" "&amp;$V523))),OR(CARI!$C$6="",$F523=CARI!$C$6),OR(CARI!$C$7="",$G523=CARI!$C$7),OR(CARI!$C$8="",$T523=CARI!$C$8)),MAX($Z$3:Z522)+1,""))</f>
        <v/>
      </c>
      <c r="AA523" s="40" t="str">
        <f aca="false">IF($Y523="","",MAX($AA$3:AA522)+1)</f>
        <v/>
      </c>
      <c r="AB523" s="40" t="str">
        <f aca="false">IF($F523="","",$F523&amp;"#"&amp;COUNTIF($F$4:$F523,$F523))</f>
        <v/>
      </c>
      <c r="AC523" s="40" t="str">
        <f aca="false">IF($B523="","",IF(AND(OR(CETAK!$J$10="",$F523=CETAK!$J$10),OR(CETAK!$J$11="",$G523=CETAK!$J$11),OR(CETAK!$J$12="",$P523=CETAK!$J$12),OR(CETAK!$J$13="",$N523=CETAK!$J$13),OR(CETAK!$J$14="",$T523=CETAK!$J$14)),MAX($AC$3:AC522)+1,""))</f>
        <v/>
      </c>
      <c r="AD523" s="40" t="str">
        <f aca="false">IF($B523="","",IF(AND(OR(ABSENSI!$H$10="",$F523=ABSENSI!$H$10),OR(ABSENSI!$H$11="",$G523=ABSENSI!$H$11),OR(ABSENSI!$H$12="",$P523=ABSENSI!$H$12)),MAX($AD$3:AD522)+1,""))</f>
        <v/>
      </c>
      <c r="AE523" s="40" t="str">
        <f aca="false">IF($B523="","",IF(AND(OR(KARTU!$K$6="",$F523=KARTU!$K$6),OR(KARTU!$K$7="",$G523=KARTU!$K$7),OR(KARTU!$K$8="",$P523=KARTU!$K$8)),MAX($AE$3:AE522)+1,""))</f>
        <v/>
      </c>
    </row>
    <row r="524" customFormat="false" ht="15" hidden="false" customHeight="false" outlineLevel="0" collapsed="false">
      <c r="A524" s="35" t="str">
        <f aca="false">IF($B524="","",COUNTA($B$4:$B524))</f>
        <v/>
      </c>
      <c r="B524" s="36"/>
      <c r="C524" s="37"/>
      <c r="D524" s="37"/>
      <c r="E524" s="38"/>
      <c r="F524" s="36"/>
      <c r="G524" s="39"/>
      <c r="H524" s="39"/>
      <c r="I524" s="36"/>
      <c r="J524" s="36"/>
      <c r="K524" s="36"/>
      <c r="L524" s="36"/>
      <c r="M524" s="40" t="str">
        <f aca="false">IF($F524="","",$F524&amp;IF($G524="",""," - RT "&amp;$G524&amp;IF($H524="","","/"&amp;$H524)))</f>
        <v/>
      </c>
      <c r="N524" s="36"/>
      <c r="O524" s="37"/>
      <c r="P524" s="39"/>
      <c r="Q524" s="41"/>
      <c r="R524" s="35" t="str">
        <f aca="true">IF(OR($B524="",$Q524=""),"",DATEDIF($Q524,TODAY(),"Y"))</f>
        <v/>
      </c>
      <c r="S524" s="40" t="str">
        <f aca="false">IF($R524="","",INDEX(usia_label,MATCH($R524,usia_min,1)))</f>
        <v/>
      </c>
      <c r="T524" s="36"/>
      <c r="U524" s="41"/>
      <c r="V524" s="36"/>
      <c r="W524" s="36"/>
      <c r="X524" s="40" t="str">
        <f aca="false">IF($M524="","",$M524&amp;"#"&amp;COUNTIF($M$4:$M524,$M524))</f>
        <v/>
      </c>
      <c r="Y524" s="40" t="str">
        <f aca="false">IF($B524="","",IF($C524="","NIK kosong",IF(LEN($C524)&lt;&gt;16,"NIK bukan 16 digit",IF(COUNTIF($C$4:$C$2003,$C524&amp;"*")&gt;1,"NIK ganda",IF(AND($D524&lt;&gt;"",LEN($D524)&lt;&gt;16),"No. KK bukan 16 digit",IF(AND($F524="",$I524=""),"Alamat kosong",IF($N524="","Jabatan kosong",IF($O524="","No. HP kosong",IF(AND($R524&lt;&gt;"",$R524&lt;17),"Usia di bawah 17","")))))))))</f>
        <v/>
      </c>
      <c r="Z524" s="40" t="str">
        <f aca="false">IF($B524="","",IF(AND(OR(CARI!$C$5="",ISNUMBER(SEARCH(CARI!$C$5,$B524&amp;" "&amp;$C524&amp;" "&amp;$D524&amp;" "&amp;$O524&amp;" "&amp;$I524&amp;" "&amp;$F524&amp;" "&amp;$J524&amp;" "&amp;$K524&amp;" "&amp;$L524&amp;" "&amp;$V524))),OR(CARI!$C$6="",$F524=CARI!$C$6),OR(CARI!$C$7="",$G524=CARI!$C$7),OR(CARI!$C$8="",$T524=CARI!$C$8)),MAX($Z$3:Z523)+1,""))</f>
        <v/>
      </c>
      <c r="AA524" s="40" t="str">
        <f aca="false">IF($Y524="","",MAX($AA$3:AA523)+1)</f>
        <v/>
      </c>
      <c r="AB524" s="40" t="str">
        <f aca="false">IF($F524="","",$F524&amp;"#"&amp;COUNTIF($F$4:$F524,$F524))</f>
        <v/>
      </c>
      <c r="AC524" s="40" t="str">
        <f aca="false">IF($B524="","",IF(AND(OR(CETAK!$J$10="",$F524=CETAK!$J$10),OR(CETAK!$J$11="",$G524=CETAK!$J$11),OR(CETAK!$J$12="",$P524=CETAK!$J$12),OR(CETAK!$J$13="",$N524=CETAK!$J$13),OR(CETAK!$J$14="",$T524=CETAK!$J$14)),MAX($AC$3:AC523)+1,""))</f>
        <v/>
      </c>
      <c r="AD524" s="40" t="str">
        <f aca="false">IF($B524="","",IF(AND(OR(ABSENSI!$H$10="",$F524=ABSENSI!$H$10),OR(ABSENSI!$H$11="",$G524=ABSENSI!$H$11),OR(ABSENSI!$H$12="",$P524=ABSENSI!$H$12)),MAX($AD$3:AD523)+1,""))</f>
        <v/>
      </c>
      <c r="AE524" s="40" t="str">
        <f aca="false">IF($B524="","",IF(AND(OR(KARTU!$K$6="",$F524=KARTU!$K$6),OR(KARTU!$K$7="",$G524=KARTU!$K$7),OR(KARTU!$K$8="",$P524=KARTU!$K$8)),MAX($AE$3:AE523)+1,""))</f>
        <v/>
      </c>
    </row>
    <row r="525" customFormat="false" ht="15" hidden="false" customHeight="false" outlineLevel="0" collapsed="false">
      <c r="A525" s="35" t="str">
        <f aca="false">IF($B525="","",COUNTA($B$4:$B525))</f>
        <v/>
      </c>
      <c r="B525" s="36"/>
      <c r="C525" s="37"/>
      <c r="D525" s="37"/>
      <c r="E525" s="38"/>
      <c r="F525" s="36"/>
      <c r="G525" s="39"/>
      <c r="H525" s="39"/>
      <c r="I525" s="36"/>
      <c r="J525" s="36"/>
      <c r="K525" s="36"/>
      <c r="L525" s="36"/>
      <c r="M525" s="40" t="str">
        <f aca="false">IF($F525="","",$F525&amp;IF($G525="",""," - RT "&amp;$G525&amp;IF($H525="","","/"&amp;$H525)))</f>
        <v/>
      </c>
      <c r="N525" s="36"/>
      <c r="O525" s="37"/>
      <c r="P525" s="39"/>
      <c r="Q525" s="41"/>
      <c r="R525" s="35" t="str">
        <f aca="true">IF(OR($B525="",$Q525=""),"",DATEDIF($Q525,TODAY(),"Y"))</f>
        <v/>
      </c>
      <c r="S525" s="40" t="str">
        <f aca="false">IF($R525="","",INDEX(usia_label,MATCH($R525,usia_min,1)))</f>
        <v/>
      </c>
      <c r="T525" s="36"/>
      <c r="U525" s="41"/>
      <c r="V525" s="36"/>
      <c r="W525" s="36"/>
      <c r="X525" s="40" t="str">
        <f aca="false">IF($M525="","",$M525&amp;"#"&amp;COUNTIF($M$4:$M525,$M525))</f>
        <v/>
      </c>
      <c r="Y525" s="40" t="str">
        <f aca="false">IF($B525="","",IF($C525="","NIK kosong",IF(LEN($C525)&lt;&gt;16,"NIK bukan 16 digit",IF(COUNTIF($C$4:$C$2003,$C525&amp;"*")&gt;1,"NIK ganda",IF(AND($D525&lt;&gt;"",LEN($D525)&lt;&gt;16),"No. KK bukan 16 digit",IF(AND($F525="",$I525=""),"Alamat kosong",IF($N525="","Jabatan kosong",IF($O525="","No. HP kosong",IF(AND($R525&lt;&gt;"",$R525&lt;17),"Usia di bawah 17","")))))))))</f>
        <v/>
      </c>
      <c r="Z525" s="40" t="str">
        <f aca="false">IF($B525="","",IF(AND(OR(CARI!$C$5="",ISNUMBER(SEARCH(CARI!$C$5,$B525&amp;" "&amp;$C525&amp;" "&amp;$D525&amp;" "&amp;$O525&amp;" "&amp;$I525&amp;" "&amp;$F525&amp;" "&amp;$J525&amp;" "&amp;$K525&amp;" "&amp;$L525&amp;" "&amp;$V525))),OR(CARI!$C$6="",$F525=CARI!$C$6),OR(CARI!$C$7="",$G525=CARI!$C$7),OR(CARI!$C$8="",$T525=CARI!$C$8)),MAX($Z$3:Z524)+1,""))</f>
        <v/>
      </c>
      <c r="AA525" s="40" t="str">
        <f aca="false">IF($Y525="","",MAX($AA$3:AA524)+1)</f>
        <v/>
      </c>
      <c r="AB525" s="40" t="str">
        <f aca="false">IF($F525="","",$F525&amp;"#"&amp;COUNTIF($F$4:$F525,$F525))</f>
        <v/>
      </c>
      <c r="AC525" s="40" t="str">
        <f aca="false">IF($B525="","",IF(AND(OR(CETAK!$J$10="",$F525=CETAK!$J$10),OR(CETAK!$J$11="",$G525=CETAK!$J$11),OR(CETAK!$J$12="",$P525=CETAK!$J$12),OR(CETAK!$J$13="",$N525=CETAK!$J$13),OR(CETAK!$J$14="",$T525=CETAK!$J$14)),MAX($AC$3:AC524)+1,""))</f>
        <v/>
      </c>
      <c r="AD525" s="40" t="str">
        <f aca="false">IF($B525="","",IF(AND(OR(ABSENSI!$H$10="",$F525=ABSENSI!$H$10),OR(ABSENSI!$H$11="",$G525=ABSENSI!$H$11),OR(ABSENSI!$H$12="",$P525=ABSENSI!$H$12)),MAX($AD$3:AD524)+1,""))</f>
        <v/>
      </c>
      <c r="AE525" s="40" t="str">
        <f aca="false">IF($B525="","",IF(AND(OR(KARTU!$K$6="",$F525=KARTU!$K$6),OR(KARTU!$K$7="",$G525=KARTU!$K$7),OR(KARTU!$K$8="",$P525=KARTU!$K$8)),MAX($AE$3:AE524)+1,""))</f>
        <v/>
      </c>
    </row>
    <row r="526" customFormat="false" ht="15" hidden="false" customHeight="false" outlineLevel="0" collapsed="false">
      <c r="A526" s="35" t="str">
        <f aca="false">IF($B526="","",COUNTA($B$4:$B526))</f>
        <v/>
      </c>
      <c r="B526" s="36"/>
      <c r="C526" s="37"/>
      <c r="D526" s="37"/>
      <c r="E526" s="38"/>
      <c r="F526" s="36"/>
      <c r="G526" s="39"/>
      <c r="H526" s="39"/>
      <c r="I526" s="36"/>
      <c r="J526" s="36"/>
      <c r="K526" s="36"/>
      <c r="L526" s="36"/>
      <c r="M526" s="40" t="str">
        <f aca="false">IF($F526="","",$F526&amp;IF($G526="",""," - RT "&amp;$G526&amp;IF($H526="","","/"&amp;$H526)))</f>
        <v/>
      </c>
      <c r="N526" s="36"/>
      <c r="O526" s="37"/>
      <c r="P526" s="39"/>
      <c r="Q526" s="41"/>
      <c r="R526" s="35" t="str">
        <f aca="true">IF(OR($B526="",$Q526=""),"",DATEDIF($Q526,TODAY(),"Y"))</f>
        <v/>
      </c>
      <c r="S526" s="40" t="str">
        <f aca="false">IF($R526="","",INDEX(usia_label,MATCH($R526,usia_min,1)))</f>
        <v/>
      </c>
      <c r="T526" s="36"/>
      <c r="U526" s="41"/>
      <c r="V526" s="36"/>
      <c r="W526" s="36"/>
      <c r="X526" s="40" t="str">
        <f aca="false">IF($M526="","",$M526&amp;"#"&amp;COUNTIF($M$4:$M526,$M526))</f>
        <v/>
      </c>
      <c r="Y526" s="40" t="str">
        <f aca="false">IF($B526="","",IF($C526="","NIK kosong",IF(LEN($C526)&lt;&gt;16,"NIK bukan 16 digit",IF(COUNTIF($C$4:$C$2003,$C526&amp;"*")&gt;1,"NIK ganda",IF(AND($D526&lt;&gt;"",LEN($D526)&lt;&gt;16),"No. KK bukan 16 digit",IF(AND($F526="",$I526=""),"Alamat kosong",IF($N526="","Jabatan kosong",IF($O526="","No. HP kosong",IF(AND($R526&lt;&gt;"",$R526&lt;17),"Usia di bawah 17","")))))))))</f>
        <v/>
      </c>
      <c r="Z526" s="40" t="str">
        <f aca="false">IF($B526="","",IF(AND(OR(CARI!$C$5="",ISNUMBER(SEARCH(CARI!$C$5,$B526&amp;" "&amp;$C526&amp;" "&amp;$D526&amp;" "&amp;$O526&amp;" "&amp;$I526&amp;" "&amp;$F526&amp;" "&amp;$J526&amp;" "&amp;$K526&amp;" "&amp;$L526&amp;" "&amp;$V526))),OR(CARI!$C$6="",$F526=CARI!$C$6),OR(CARI!$C$7="",$G526=CARI!$C$7),OR(CARI!$C$8="",$T526=CARI!$C$8)),MAX($Z$3:Z525)+1,""))</f>
        <v/>
      </c>
      <c r="AA526" s="40" t="str">
        <f aca="false">IF($Y526="","",MAX($AA$3:AA525)+1)</f>
        <v/>
      </c>
      <c r="AB526" s="40" t="str">
        <f aca="false">IF($F526="","",$F526&amp;"#"&amp;COUNTIF($F$4:$F526,$F526))</f>
        <v/>
      </c>
      <c r="AC526" s="40" t="str">
        <f aca="false">IF($B526="","",IF(AND(OR(CETAK!$J$10="",$F526=CETAK!$J$10),OR(CETAK!$J$11="",$G526=CETAK!$J$11),OR(CETAK!$J$12="",$P526=CETAK!$J$12),OR(CETAK!$J$13="",$N526=CETAK!$J$13),OR(CETAK!$J$14="",$T526=CETAK!$J$14)),MAX($AC$3:AC525)+1,""))</f>
        <v/>
      </c>
      <c r="AD526" s="40" t="str">
        <f aca="false">IF($B526="","",IF(AND(OR(ABSENSI!$H$10="",$F526=ABSENSI!$H$10),OR(ABSENSI!$H$11="",$G526=ABSENSI!$H$11),OR(ABSENSI!$H$12="",$P526=ABSENSI!$H$12)),MAX($AD$3:AD525)+1,""))</f>
        <v/>
      </c>
      <c r="AE526" s="40" t="str">
        <f aca="false">IF($B526="","",IF(AND(OR(KARTU!$K$6="",$F526=KARTU!$K$6),OR(KARTU!$K$7="",$G526=KARTU!$K$7),OR(KARTU!$K$8="",$P526=KARTU!$K$8)),MAX($AE$3:AE525)+1,""))</f>
        <v/>
      </c>
    </row>
    <row r="527" customFormat="false" ht="15" hidden="false" customHeight="false" outlineLevel="0" collapsed="false">
      <c r="A527" s="35" t="str">
        <f aca="false">IF($B527="","",COUNTA($B$4:$B527))</f>
        <v/>
      </c>
      <c r="B527" s="36"/>
      <c r="C527" s="37"/>
      <c r="D527" s="37"/>
      <c r="E527" s="38"/>
      <c r="F527" s="36"/>
      <c r="G527" s="39"/>
      <c r="H527" s="39"/>
      <c r="I527" s="36"/>
      <c r="J527" s="36"/>
      <c r="K527" s="36"/>
      <c r="L527" s="36"/>
      <c r="M527" s="40" t="str">
        <f aca="false">IF($F527="","",$F527&amp;IF($G527="",""," - RT "&amp;$G527&amp;IF($H527="","","/"&amp;$H527)))</f>
        <v/>
      </c>
      <c r="N527" s="36"/>
      <c r="O527" s="37"/>
      <c r="P527" s="39"/>
      <c r="Q527" s="41"/>
      <c r="R527" s="35" t="str">
        <f aca="true">IF(OR($B527="",$Q527=""),"",DATEDIF($Q527,TODAY(),"Y"))</f>
        <v/>
      </c>
      <c r="S527" s="40" t="str">
        <f aca="false">IF($R527="","",INDEX(usia_label,MATCH($R527,usia_min,1)))</f>
        <v/>
      </c>
      <c r="T527" s="36"/>
      <c r="U527" s="41"/>
      <c r="V527" s="36"/>
      <c r="W527" s="36"/>
      <c r="X527" s="40" t="str">
        <f aca="false">IF($M527="","",$M527&amp;"#"&amp;COUNTIF($M$4:$M527,$M527))</f>
        <v/>
      </c>
      <c r="Y527" s="40" t="str">
        <f aca="false">IF($B527="","",IF($C527="","NIK kosong",IF(LEN($C527)&lt;&gt;16,"NIK bukan 16 digit",IF(COUNTIF($C$4:$C$2003,$C527&amp;"*")&gt;1,"NIK ganda",IF(AND($D527&lt;&gt;"",LEN($D527)&lt;&gt;16),"No. KK bukan 16 digit",IF(AND($F527="",$I527=""),"Alamat kosong",IF($N527="","Jabatan kosong",IF($O527="","No. HP kosong",IF(AND($R527&lt;&gt;"",$R527&lt;17),"Usia di bawah 17","")))))))))</f>
        <v/>
      </c>
      <c r="Z527" s="40" t="str">
        <f aca="false">IF($B527="","",IF(AND(OR(CARI!$C$5="",ISNUMBER(SEARCH(CARI!$C$5,$B527&amp;" "&amp;$C527&amp;" "&amp;$D527&amp;" "&amp;$O527&amp;" "&amp;$I527&amp;" "&amp;$F527&amp;" "&amp;$J527&amp;" "&amp;$K527&amp;" "&amp;$L527&amp;" "&amp;$V527))),OR(CARI!$C$6="",$F527=CARI!$C$6),OR(CARI!$C$7="",$G527=CARI!$C$7),OR(CARI!$C$8="",$T527=CARI!$C$8)),MAX($Z$3:Z526)+1,""))</f>
        <v/>
      </c>
      <c r="AA527" s="40" t="str">
        <f aca="false">IF($Y527="","",MAX($AA$3:AA526)+1)</f>
        <v/>
      </c>
      <c r="AB527" s="40" t="str">
        <f aca="false">IF($F527="","",$F527&amp;"#"&amp;COUNTIF($F$4:$F527,$F527))</f>
        <v/>
      </c>
      <c r="AC527" s="40" t="str">
        <f aca="false">IF($B527="","",IF(AND(OR(CETAK!$J$10="",$F527=CETAK!$J$10),OR(CETAK!$J$11="",$G527=CETAK!$J$11),OR(CETAK!$J$12="",$P527=CETAK!$J$12),OR(CETAK!$J$13="",$N527=CETAK!$J$13),OR(CETAK!$J$14="",$T527=CETAK!$J$14)),MAX($AC$3:AC526)+1,""))</f>
        <v/>
      </c>
      <c r="AD527" s="40" t="str">
        <f aca="false">IF($B527="","",IF(AND(OR(ABSENSI!$H$10="",$F527=ABSENSI!$H$10),OR(ABSENSI!$H$11="",$G527=ABSENSI!$H$11),OR(ABSENSI!$H$12="",$P527=ABSENSI!$H$12)),MAX($AD$3:AD526)+1,""))</f>
        <v/>
      </c>
      <c r="AE527" s="40" t="str">
        <f aca="false">IF($B527="","",IF(AND(OR(KARTU!$K$6="",$F527=KARTU!$K$6),OR(KARTU!$K$7="",$G527=KARTU!$K$7),OR(KARTU!$K$8="",$P527=KARTU!$K$8)),MAX($AE$3:AE526)+1,""))</f>
        <v/>
      </c>
    </row>
    <row r="528" customFormat="false" ht="15" hidden="false" customHeight="false" outlineLevel="0" collapsed="false">
      <c r="A528" s="35" t="str">
        <f aca="false">IF($B528="","",COUNTA($B$4:$B528))</f>
        <v/>
      </c>
      <c r="B528" s="36"/>
      <c r="C528" s="37"/>
      <c r="D528" s="37"/>
      <c r="E528" s="38"/>
      <c r="F528" s="36"/>
      <c r="G528" s="39"/>
      <c r="H528" s="39"/>
      <c r="I528" s="36"/>
      <c r="J528" s="36"/>
      <c r="K528" s="36"/>
      <c r="L528" s="36"/>
      <c r="M528" s="40" t="str">
        <f aca="false">IF($F528="","",$F528&amp;IF($G528="",""," - RT "&amp;$G528&amp;IF($H528="","","/"&amp;$H528)))</f>
        <v/>
      </c>
      <c r="N528" s="36"/>
      <c r="O528" s="37"/>
      <c r="P528" s="39"/>
      <c r="Q528" s="41"/>
      <c r="R528" s="35" t="str">
        <f aca="true">IF(OR($B528="",$Q528=""),"",DATEDIF($Q528,TODAY(),"Y"))</f>
        <v/>
      </c>
      <c r="S528" s="40" t="str">
        <f aca="false">IF($R528="","",INDEX(usia_label,MATCH($R528,usia_min,1)))</f>
        <v/>
      </c>
      <c r="T528" s="36"/>
      <c r="U528" s="41"/>
      <c r="V528" s="36"/>
      <c r="W528" s="36"/>
      <c r="X528" s="40" t="str">
        <f aca="false">IF($M528="","",$M528&amp;"#"&amp;COUNTIF($M$4:$M528,$M528))</f>
        <v/>
      </c>
      <c r="Y528" s="40" t="str">
        <f aca="false">IF($B528="","",IF($C528="","NIK kosong",IF(LEN($C528)&lt;&gt;16,"NIK bukan 16 digit",IF(COUNTIF($C$4:$C$2003,$C528&amp;"*")&gt;1,"NIK ganda",IF(AND($D528&lt;&gt;"",LEN($D528)&lt;&gt;16),"No. KK bukan 16 digit",IF(AND($F528="",$I528=""),"Alamat kosong",IF($N528="","Jabatan kosong",IF($O528="","No. HP kosong",IF(AND($R528&lt;&gt;"",$R528&lt;17),"Usia di bawah 17","")))))))))</f>
        <v/>
      </c>
      <c r="Z528" s="40" t="str">
        <f aca="false">IF($B528="","",IF(AND(OR(CARI!$C$5="",ISNUMBER(SEARCH(CARI!$C$5,$B528&amp;" "&amp;$C528&amp;" "&amp;$D528&amp;" "&amp;$O528&amp;" "&amp;$I528&amp;" "&amp;$F528&amp;" "&amp;$J528&amp;" "&amp;$K528&amp;" "&amp;$L528&amp;" "&amp;$V528))),OR(CARI!$C$6="",$F528=CARI!$C$6),OR(CARI!$C$7="",$G528=CARI!$C$7),OR(CARI!$C$8="",$T528=CARI!$C$8)),MAX($Z$3:Z527)+1,""))</f>
        <v/>
      </c>
      <c r="AA528" s="40" t="str">
        <f aca="false">IF($Y528="","",MAX($AA$3:AA527)+1)</f>
        <v/>
      </c>
      <c r="AB528" s="40" t="str">
        <f aca="false">IF($F528="","",$F528&amp;"#"&amp;COUNTIF($F$4:$F528,$F528))</f>
        <v/>
      </c>
      <c r="AC528" s="40" t="str">
        <f aca="false">IF($B528="","",IF(AND(OR(CETAK!$J$10="",$F528=CETAK!$J$10),OR(CETAK!$J$11="",$G528=CETAK!$J$11),OR(CETAK!$J$12="",$P528=CETAK!$J$12),OR(CETAK!$J$13="",$N528=CETAK!$J$13),OR(CETAK!$J$14="",$T528=CETAK!$J$14)),MAX($AC$3:AC527)+1,""))</f>
        <v/>
      </c>
      <c r="AD528" s="40" t="str">
        <f aca="false">IF($B528="","",IF(AND(OR(ABSENSI!$H$10="",$F528=ABSENSI!$H$10),OR(ABSENSI!$H$11="",$G528=ABSENSI!$H$11),OR(ABSENSI!$H$12="",$P528=ABSENSI!$H$12)),MAX($AD$3:AD527)+1,""))</f>
        <v/>
      </c>
      <c r="AE528" s="40" t="str">
        <f aca="false">IF($B528="","",IF(AND(OR(KARTU!$K$6="",$F528=KARTU!$K$6),OR(KARTU!$K$7="",$G528=KARTU!$K$7),OR(KARTU!$K$8="",$P528=KARTU!$K$8)),MAX($AE$3:AE527)+1,""))</f>
        <v/>
      </c>
    </row>
    <row r="529" customFormat="false" ht="15" hidden="false" customHeight="false" outlineLevel="0" collapsed="false">
      <c r="A529" s="35" t="str">
        <f aca="false">IF($B529="","",COUNTA($B$4:$B529))</f>
        <v/>
      </c>
      <c r="B529" s="36"/>
      <c r="C529" s="37"/>
      <c r="D529" s="37"/>
      <c r="E529" s="38"/>
      <c r="F529" s="36"/>
      <c r="G529" s="39"/>
      <c r="H529" s="39"/>
      <c r="I529" s="36"/>
      <c r="J529" s="36"/>
      <c r="K529" s="36"/>
      <c r="L529" s="36"/>
      <c r="M529" s="40" t="str">
        <f aca="false">IF($F529="","",$F529&amp;IF($G529="",""," - RT "&amp;$G529&amp;IF($H529="","","/"&amp;$H529)))</f>
        <v/>
      </c>
      <c r="N529" s="36"/>
      <c r="O529" s="37"/>
      <c r="P529" s="39"/>
      <c r="Q529" s="41"/>
      <c r="R529" s="35" t="str">
        <f aca="true">IF(OR($B529="",$Q529=""),"",DATEDIF($Q529,TODAY(),"Y"))</f>
        <v/>
      </c>
      <c r="S529" s="40" t="str">
        <f aca="false">IF($R529="","",INDEX(usia_label,MATCH($R529,usia_min,1)))</f>
        <v/>
      </c>
      <c r="T529" s="36"/>
      <c r="U529" s="41"/>
      <c r="V529" s="36"/>
      <c r="W529" s="36"/>
      <c r="X529" s="40" t="str">
        <f aca="false">IF($M529="","",$M529&amp;"#"&amp;COUNTIF($M$4:$M529,$M529))</f>
        <v/>
      </c>
      <c r="Y529" s="40" t="str">
        <f aca="false">IF($B529="","",IF($C529="","NIK kosong",IF(LEN($C529)&lt;&gt;16,"NIK bukan 16 digit",IF(COUNTIF($C$4:$C$2003,$C529&amp;"*")&gt;1,"NIK ganda",IF(AND($D529&lt;&gt;"",LEN($D529)&lt;&gt;16),"No. KK bukan 16 digit",IF(AND($F529="",$I529=""),"Alamat kosong",IF($N529="","Jabatan kosong",IF($O529="","No. HP kosong",IF(AND($R529&lt;&gt;"",$R529&lt;17),"Usia di bawah 17","")))))))))</f>
        <v/>
      </c>
      <c r="Z529" s="40" t="str">
        <f aca="false">IF($B529="","",IF(AND(OR(CARI!$C$5="",ISNUMBER(SEARCH(CARI!$C$5,$B529&amp;" "&amp;$C529&amp;" "&amp;$D529&amp;" "&amp;$O529&amp;" "&amp;$I529&amp;" "&amp;$F529&amp;" "&amp;$J529&amp;" "&amp;$K529&amp;" "&amp;$L529&amp;" "&amp;$V529))),OR(CARI!$C$6="",$F529=CARI!$C$6),OR(CARI!$C$7="",$G529=CARI!$C$7),OR(CARI!$C$8="",$T529=CARI!$C$8)),MAX($Z$3:Z528)+1,""))</f>
        <v/>
      </c>
      <c r="AA529" s="40" t="str">
        <f aca="false">IF($Y529="","",MAX($AA$3:AA528)+1)</f>
        <v/>
      </c>
      <c r="AB529" s="40" t="str">
        <f aca="false">IF($F529="","",$F529&amp;"#"&amp;COUNTIF($F$4:$F529,$F529))</f>
        <v/>
      </c>
      <c r="AC529" s="40" t="str">
        <f aca="false">IF($B529="","",IF(AND(OR(CETAK!$J$10="",$F529=CETAK!$J$10),OR(CETAK!$J$11="",$G529=CETAK!$J$11),OR(CETAK!$J$12="",$P529=CETAK!$J$12),OR(CETAK!$J$13="",$N529=CETAK!$J$13),OR(CETAK!$J$14="",$T529=CETAK!$J$14)),MAX($AC$3:AC528)+1,""))</f>
        <v/>
      </c>
      <c r="AD529" s="40" t="str">
        <f aca="false">IF($B529="","",IF(AND(OR(ABSENSI!$H$10="",$F529=ABSENSI!$H$10),OR(ABSENSI!$H$11="",$G529=ABSENSI!$H$11),OR(ABSENSI!$H$12="",$P529=ABSENSI!$H$12)),MAX($AD$3:AD528)+1,""))</f>
        <v/>
      </c>
      <c r="AE529" s="40" t="str">
        <f aca="false">IF($B529="","",IF(AND(OR(KARTU!$K$6="",$F529=KARTU!$K$6),OR(KARTU!$K$7="",$G529=KARTU!$K$7),OR(KARTU!$K$8="",$P529=KARTU!$K$8)),MAX($AE$3:AE528)+1,""))</f>
        <v/>
      </c>
    </row>
    <row r="530" customFormat="false" ht="15" hidden="false" customHeight="false" outlineLevel="0" collapsed="false">
      <c r="A530" s="35" t="str">
        <f aca="false">IF($B530="","",COUNTA($B$4:$B530))</f>
        <v/>
      </c>
      <c r="B530" s="36"/>
      <c r="C530" s="37"/>
      <c r="D530" s="37"/>
      <c r="E530" s="38"/>
      <c r="F530" s="36"/>
      <c r="G530" s="39"/>
      <c r="H530" s="39"/>
      <c r="I530" s="36"/>
      <c r="J530" s="36"/>
      <c r="K530" s="36"/>
      <c r="L530" s="36"/>
      <c r="M530" s="40" t="str">
        <f aca="false">IF($F530="","",$F530&amp;IF($G530="",""," - RT "&amp;$G530&amp;IF($H530="","","/"&amp;$H530)))</f>
        <v/>
      </c>
      <c r="N530" s="36"/>
      <c r="O530" s="37"/>
      <c r="P530" s="39"/>
      <c r="Q530" s="41"/>
      <c r="R530" s="35" t="str">
        <f aca="true">IF(OR($B530="",$Q530=""),"",DATEDIF($Q530,TODAY(),"Y"))</f>
        <v/>
      </c>
      <c r="S530" s="40" t="str">
        <f aca="false">IF($R530="","",INDEX(usia_label,MATCH($R530,usia_min,1)))</f>
        <v/>
      </c>
      <c r="T530" s="36"/>
      <c r="U530" s="41"/>
      <c r="V530" s="36"/>
      <c r="W530" s="36"/>
      <c r="X530" s="40" t="str">
        <f aca="false">IF($M530="","",$M530&amp;"#"&amp;COUNTIF($M$4:$M530,$M530))</f>
        <v/>
      </c>
      <c r="Y530" s="40" t="str">
        <f aca="false">IF($B530="","",IF($C530="","NIK kosong",IF(LEN($C530)&lt;&gt;16,"NIK bukan 16 digit",IF(COUNTIF($C$4:$C$2003,$C530&amp;"*")&gt;1,"NIK ganda",IF(AND($D530&lt;&gt;"",LEN($D530)&lt;&gt;16),"No. KK bukan 16 digit",IF(AND($F530="",$I530=""),"Alamat kosong",IF($N530="","Jabatan kosong",IF($O530="","No. HP kosong",IF(AND($R530&lt;&gt;"",$R530&lt;17),"Usia di bawah 17","")))))))))</f>
        <v/>
      </c>
      <c r="Z530" s="40" t="str">
        <f aca="false">IF($B530="","",IF(AND(OR(CARI!$C$5="",ISNUMBER(SEARCH(CARI!$C$5,$B530&amp;" "&amp;$C530&amp;" "&amp;$D530&amp;" "&amp;$O530&amp;" "&amp;$I530&amp;" "&amp;$F530&amp;" "&amp;$J530&amp;" "&amp;$K530&amp;" "&amp;$L530&amp;" "&amp;$V530))),OR(CARI!$C$6="",$F530=CARI!$C$6),OR(CARI!$C$7="",$G530=CARI!$C$7),OR(CARI!$C$8="",$T530=CARI!$C$8)),MAX($Z$3:Z529)+1,""))</f>
        <v/>
      </c>
      <c r="AA530" s="40" t="str">
        <f aca="false">IF($Y530="","",MAX($AA$3:AA529)+1)</f>
        <v/>
      </c>
      <c r="AB530" s="40" t="str">
        <f aca="false">IF($F530="","",$F530&amp;"#"&amp;COUNTIF($F$4:$F530,$F530))</f>
        <v/>
      </c>
      <c r="AC530" s="40" t="str">
        <f aca="false">IF($B530="","",IF(AND(OR(CETAK!$J$10="",$F530=CETAK!$J$10),OR(CETAK!$J$11="",$G530=CETAK!$J$11),OR(CETAK!$J$12="",$P530=CETAK!$J$12),OR(CETAK!$J$13="",$N530=CETAK!$J$13),OR(CETAK!$J$14="",$T530=CETAK!$J$14)),MAX($AC$3:AC529)+1,""))</f>
        <v/>
      </c>
      <c r="AD530" s="40" t="str">
        <f aca="false">IF($B530="","",IF(AND(OR(ABSENSI!$H$10="",$F530=ABSENSI!$H$10),OR(ABSENSI!$H$11="",$G530=ABSENSI!$H$11),OR(ABSENSI!$H$12="",$P530=ABSENSI!$H$12)),MAX($AD$3:AD529)+1,""))</f>
        <v/>
      </c>
      <c r="AE530" s="40" t="str">
        <f aca="false">IF($B530="","",IF(AND(OR(KARTU!$K$6="",$F530=KARTU!$K$6),OR(KARTU!$K$7="",$G530=KARTU!$K$7),OR(KARTU!$K$8="",$P530=KARTU!$K$8)),MAX($AE$3:AE529)+1,""))</f>
        <v/>
      </c>
    </row>
    <row r="531" customFormat="false" ht="15" hidden="false" customHeight="false" outlineLevel="0" collapsed="false">
      <c r="A531" s="35" t="str">
        <f aca="false">IF($B531="","",COUNTA($B$4:$B531))</f>
        <v/>
      </c>
      <c r="B531" s="36"/>
      <c r="C531" s="37"/>
      <c r="D531" s="37"/>
      <c r="E531" s="38"/>
      <c r="F531" s="36"/>
      <c r="G531" s="39"/>
      <c r="H531" s="39"/>
      <c r="I531" s="36"/>
      <c r="J531" s="36"/>
      <c r="K531" s="36"/>
      <c r="L531" s="36"/>
      <c r="M531" s="40" t="str">
        <f aca="false">IF($F531="","",$F531&amp;IF($G531="",""," - RT "&amp;$G531&amp;IF($H531="","","/"&amp;$H531)))</f>
        <v/>
      </c>
      <c r="N531" s="36"/>
      <c r="O531" s="37"/>
      <c r="P531" s="39"/>
      <c r="Q531" s="41"/>
      <c r="R531" s="35" t="str">
        <f aca="true">IF(OR($B531="",$Q531=""),"",DATEDIF($Q531,TODAY(),"Y"))</f>
        <v/>
      </c>
      <c r="S531" s="40" t="str">
        <f aca="false">IF($R531="","",INDEX(usia_label,MATCH($R531,usia_min,1)))</f>
        <v/>
      </c>
      <c r="T531" s="36"/>
      <c r="U531" s="41"/>
      <c r="V531" s="36"/>
      <c r="W531" s="36"/>
      <c r="X531" s="40" t="str">
        <f aca="false">IF($M531="","",$M531&amp;"#"&amp;COUNTIF($M$4:$M531,$M531))</f>
        <v/>
      </c>
      <c r="Y531" s="40" t="str">
        <f aca="false">IF($B531="","",IF($C531="","NIK kosong",IF(LEN($C531)&lt;&gt;16,"NIK bukan 16 digit",IF(COUNTIF($C$4:$C$2003,$C531&amp;"*")&gt;1,"NIK ganda",IF(AND($D531&lt;&gt;"",LEN($D531)&lt;&gt;16),"No. KK bukan 16 digit",IF(AND($F531="",$I531=""),"Alamat kosong",IF($N531="","Jabatan kosong",IF($O531="","No. HP kosong",IF(AND($R531&lt;&gt;"",$R531&lt;17),"Usia di bawah 17","")))))))))</f>
        <v/>
      </c>
      <c r="Z531" s="40" t="str">
        <f aca="false">IF($B531="","",IF(AND(OR(CARI!$C$5="",ISNUMBER(SEARCH(CARI!$C$5,$B531&amp;" "&amp;$C531&amp;" "&amp;$D531&amp;" "&amp;$O531&amp;" "&amp;$I531&amp;" "&amp;$F531&amp;" "&amp;$J531&amp;" "&amp;$K531&amp;" "&amp;$L531&amp;" "&amp;$V531))),OR(CARI!$C$6="",$F531=CARI!$C$6),OR(CARI!$C$7="",$G531=CARI!$C$7),OR(CARI!$C$8="",$T531=CARI!$C$8)),MAX($Z$3:Z530)+1,""))</f>
        <v/>
      </c>
      <c r="AA531" s="40" t="str">
        <f aca="false">IF($Y531="","",MAX($AA$3:AA530)+1)</f>
        <v/>
      </c>
      <c r="AB531" s="40" t="str">
        <f aca="false">IF($F531="","",$F531&amp;"#"&amp;COUNTIF($F$4:$F531,$F531))</f>
        <v/>
      </c>
      <c r="AC531" s="40" t="str">
        <f aca="false">IF($B531="","",IF(AND(OR(CETAK!$J$10="",$F531=CETAK!$J$10),OR(CETAK!$J$11="",$G531=CETAK!$J$11),OR(CETAK!$J$12="",$P531=CETAK!$J$12),OR(CETAK!$J$13="",$N531=CETAK!$J$13),OR(CETAK!$J$14="",$T531=CETAK!$J$14)),MAX($AC$3:AC530)+1,""))</f>
        <v/>
      </c>
      <c r="AD531" s="40" t="str">
        <f aca="false">IF($B531="","",IF(AND(OR(ABSENSI!$H$10="",$F531=ABSENSI!$H$10),OR(ABSENSI!$H$11="",$G531=ABSENSI!$H$11),OR(ABSENSI!$H$12="",$P531=ABSENSI!$H$12)),MAX($AD$3:AD530)+1,""))</f>
        <v/>
      </c>
      <c r="AE531" s="40" t="str">
        <f aca="false">IF($B531="","",IF(AND(OR(KARTU!$K$6="",$F531=KARTU!$K$6),OR(KARTU!$K$7="",$G531=KARTU!$K$7),OR(KARTU!$K$8="",$P531=KARTU!$K$8)),MAX($AE$3:AE530)+1,""))</f>
        <v/>
      </c>
    </row>
    <row r="532" customFormat="false" ht="15" hidden="false" customHeight="false" outlineLevel="0" collapsed="false">
      <c r="A532" s="35" t="str">
        <f aca="false">IF($B532="","",COUNTA($B$4:$B532))</f>
        <v/>
      </c>
      <c r="B532" s="36"/>
      <c r="C532" s="37"/>
      <c r="D532" s="37"/>
      <c r="E532" s="38"/>
      <c r="F532" s="36"/>
      <c r="G532" s="39"/>
      <c r="H532" s="39"/>
      <c r="I532" s="36"/>
      <c r="J532" s="36"/>
      <c r="K532" s="36"/>
      <c r="L532" s="36"/>
      <c r="M532" s="40" t="str">
        <f aca="false">IF($F532="","",$F532&amp;IF($G532="",""," - RT "&amp;$G532&amp;IF($H532="","","/"&amp;$H532)))</f>
        <v/>
      </c>
      <c r="N532" s="36"/>
      <c r="O532" s="37"/>
      <c r="P532" s="39"/>
      <c r="Q532" s="41"/>
      <c r="R532" s="35" t="str">
        <f aca="true">IF(OR($B532="",$Q532=""),"",DATEDIF($Q532,TODAY(),"Y"))</f>
        <v/>
      </c>
      <c r="S532" s="40" t="str">
        <f aca="false">IF($R532="","",INDEX(usia_label,MATCH($R532,usia_min,1)))</f>
        <v/>
      </c>
      <c r="T532" s="36"/>
      <c r="U532" s="41"/>
      <c r="V532" s="36"/>
      <c r="W532" s="36"/>
      <c r="X532" s="40" t="str">
        <f aca="false">IF($M532="","",$M532&amp;"#"&amp;COUNTIF($M$4:$M532,$M532))</f>
        <v/>
      </c>
      <c r="Y532" s="40" t="str">
        <f aca="false">IF($B532="","",IF($C532="","NIK kosong",IF(LEN($C532)&lt;&gt;16,"NIK bukan 16 digit",IF(COUNTIF($C$4:$C$2003,$C532&amp;"*")&gt;1,"NIK ganda",IF(AND($D532&lt;&gt;"",LEN($D532)&lt;&gt;16),"No. KK bukan 16 digit",IF(AND($F532="",$I532=""),"Alamat kosong",IF($N532="","Jabatan kosong",IF($O532="","No. HP kosong",IF(AND($R532&lt;&gt;"",$R532&lt;17),"Usia di bawah 17","")))))))))</f>
        <v/>
      </c>
      <c r="Z532" s="40" t="str">
        <f aca="false">IF($B532="","",IF(AND(OR(CARI!$C$5="",ISNUMBER(SEARCH(CARI!$C$5,$B532&amp;" "&amp;$C532&amp;" "&amp;$D532&amp;" "&amp;$O532&amp;" "&amp;$I532&amp;" "&amp;$F532&amp;" "&amp;$J532&amp;" "&amp;$K532&amp;" "&amp;$L532&amp;" "&amp;$V532))),OR(CARI!$C$6="",$F532=CARI!$C$6),OR(CARI!$C$7="",$G532=CARI!$C$7),OR(CARI!$C$8="",$T532=CARI!$C$8)),MAX($Z$3:Z531)+1,""))</f>
        <v/>
      </c>
      <c r="AA532" s="40" t="str">
        <f aca="false">IF($Y532="","",MAX($AA$3:AA531)+1)</f>
        <v/>
      </c>
      <c r="AB532" s="40" t="str">
        <f aca="false">IF($F532="","",$F532&amp;"#"&amp;COUNTIF($F$4:$F532,$F532))</f>
        <v/>
      </c>
      <c r="AC532" s="40" t="str">
        <f aca="false">IF($B532="","",IF(AND(OR(CETAK!$J$10="",$F532=CETAK!$J$10),OR(CETAK!$J$11="",$G532=CETAK!$J$11),OR(CETAK!$J$12="",$P532=CETAK!$J$12),OR(CETAK!$J$13="",$N532=CETAK!$J$13),OR(CETAK!$J$14="",$T532=CETAK!$J$14)),MAX($AC$3:AC531)+1,""))</f>
        <v/>
      </c>
      <c r="AD532" s="40" t="str">
        <f aca="false">IF($B532="","",IF(AND(OR(ABSENSI!$H$10="",$F532=ABSENSI!$H$10),OR(ABSENSI!$H$11="",$G532=ABSENSI!$H$11),OR(ABSENSI!$H$12="",$P532=ABSENSI!$H$12)),MAX($AD$3:AD531)+1,""))</f>
        <v/>
      </c>
      <c r="AE532" s="40" t="str">
        <f aca="false">IF($B532="","",IF(AND(OR(KARTU!$K$6="",$F532=KARTU!$K$6),OR(KARTU!$K$7="",$G532=KARTU!$K$7),OR(KARTU!$K$8="",$P532=KARTU!$K$8)),MAX($AE$3:AE531)+1,""))</f>
        <v/>
      </c>
    </row>
    <row r="533" customFormat="false" ht="15" hidden="false" customHeight="false" outlineLevel="0" collapsed="false">
      <c r="A533" s="35" t="str">
        <f aca="false">IF($B533="","",COUNTA($B$4:$B533))</f>
        <v/>
      </c>
      <c r="B533" s="36"/>
      <c r="C533" s="37"/>
      <c r="D533" s="37"/>
      <c r="E533" s="38"/>
      <c r="F533" s="36"/>
      <c r="G533" s="39"/>
      <c r="H533" s="39"/>
      <c r="I533" s="36"/>
      <c r="J533" s="36"/>
      <c r="K533" s="36"/>
      <c r="L533" s="36"/>
      <c r="M533" s="40" t="str">
        <f aca="false">IF($F533="","",$F533&amp;IF($G533="",""," - RT "&amp;$G533&amp;IF($H533="","","/"&amp;$H533)))</f>
        <v/>
      </c>
      <c r="N533" s="36"/>
      <c r="O533" s="37"/>
      <c r="P533" s="39"/>
      <c r="Q533" s="41"/>
      <c r="R533" s="35" t="str">
        <f aca="true">IF(OR($B533="",$Q533=""),"",DATEDIF($Q533,TODAY(),"Y"))</f>
        <v/>
      </c>
      <c r="S533" s="40" t="str">
        <f aca="false">IF($R533="","",INDEX(usia_label,MATCH($R533,usia_min,1)))</f>
        <v/>
      </c>
      <c r="T533" s="36"/>
      <c r="U533" s="41"/>
      <c r="V533" s="36"/>
      <c r="W533" s="36"/>
      <c r="X533" s="40" t="str">
        <f aca="false">IF($M533="","",$M533&amp;"#"&amp;COUNTIF($M$4:$M533,$M533))</f>
        <v/>
      </c>
      <c r="Y533" s="40" t="str">
        <f aca="false">IF($B533="","",IF($C533="","NIK kosong",IF(LEN($C533)&lt;&gt;16,"NIK bukan 16 digit",IF(COUNTIF($C$4:$C$2003,$C533&amp;"*")&gt;1,"NIK ganda",IF(AND($D533&lt;&gt;"",LEN($D533)&lt;&gt;16),"No. KK bukan 16 digit",IF(AND($F533="",$I533=""),"Alamat kosong",IF($N533="","Jabatan kosong",IF($O533="","No. HP kosong",IF(AND($R533&lt;&gt;"",$R533&lt;17),"Usia di bawah 17","")))))))))</f>
        <v/>
      </c>
      <c r="Z533" s="40" t="str">
        <f aca="false">IF($B533="","",IF(AND(OR(CARI!$C$5="",ISNUMBER(SEARCH(CARI!$C$5,$B533&amp;" "&amp;$C533&amp;" "&amp;$D533&amp;" "&amp;$O533&amp;" "&amp;$I533&amp;" "&amp;$F533&amp;" "&amp;$J533&amp;" "&amp;$K533&amp;" "&amp;$L533&amp;" "&amp;$V533))),OR(CARI!$C$6="",$F533=CARI!$C$6),OR(CARI!$C$7="",$G533=CARI!$C$7),OR(CARI!$C$8="",$T533=CARI!$C$8)),MAX($Z$3:Z532)+1,""))</f>
        <v/>
      </c>
      <c r="AA533" s="40" t="str">
        <f aca="false">IF($Y533="","",MAX($AA$3:AA532)+1)</f>
        <v/>
      </c>
      <c r="AB533" s="40" t="str">
        <f aca="false">IF($F533="","",$F533&amp;"#"&amp;COUNTIF($F$4:$F533,$F533))</f>
        <v/>
      </c>
      <c r="AC533" s="40" t="str">
        <f aca="false">IF($B533="","",IF(AND(OR(CETAK!$J$10="",$F533=CETAK!$J$10),OR(CETAK!$J$11="",$G533=CETAK!$J$11),OR(CETAK!$J$12="",$P533=CETAK!$J$12),OR(CETAK!$J$13="",$N533=CETAK!$J$13),OR(CETAK!$J$14="",$T533=CETAK!$J$14)),MAX($AC$3:AC532)+1,""))</f>
        <v/>
      </c>
      <c r="AD533" s="40" t="str">
        <f aca="false">IF($B533="","",IF(AND(OR(ABSENSI!$H$10="",$F533=ABSENSI!$H$10),OR(ABSENSI!$H$11="",$G533=ABSENSI!$H$11),OR(ABSENSI!$H$12="",$P533=ABSENSI!$H$12)),MAX($AD$3:AD532)+1,""))</f>
        <v/>
      </c>
      <c r="AE533" s="40" t="str">
        <f aca="false">IF($B533="","",IF(AND(OR(KARTU!$K$6="",$F533=KARTU!$K$6),OR(KARTU!$K$7="",$G533=KARTU!$K$7),OR(KARTU!$K$8="",$P533=KARTU!$K$8)),MAX($AE$3:AE532)+1,""))</f>
        <v/>
      </c>
    </row>
    <row r="534" customFormat="false" ht="15" hidden="false" customHeight="false" outlineLevel="0" collapsed="false">
      <c r="A534" s="35" t="str">
        <f aca="false">IF($B534="","",COUNTA($B$4:$B534))</f>
        <v/>
      </c>
      <c r="B534" s="36"/>
      <c r="C534" s="37"/>
      <c r="D534" s="37"/>
      <c r="E534" s="38"/>
      <c r="F534" s="36"/>
      <c r="G534" s="39"/>
      <c r="H534" s="39"/>
      <c r="I534" s="36"/>
      <c r="J534" s="36"/>
      <c r="K534" s="36"/>
      <c r="L534" s="36"/>
      <c r="M534" s="40" t="str">
        <f aca="false">IF($F534="","",$F534&amp;IF($G534="",""," - RT "&amp;$G534&amp;IF($H534="","","/"&amp;$H534)))</f>
        <v/>
      </c>
      <c r="N534" s="36"/>
      <c r="O534" s="37"/>
      <c r="P534" s="39"/>
      <c r="Q534" s="41"/>
      <c r="R534" s="35" t="str">
        <f aca="true">IF(OR($B534="",$Q534=""),"",DATEDIF($Q534,TODAY(),"Y"))</f>
        <v/>
      </c>
      <c r="S534" s="40" t="str">
        <f aca="false">IF($R534="","",INDEX(usia_label,MATCH($R534,usia_min,1)))</f>
        <v/>
      </c>
      <c r="T534" s="36"/>
      <c r="U534" s="41"/>
      <c r="V534" s="36"/>
      <c r="W534" s="36"/>
      <c r="X534" s="40" t="str">
        <f aca="false">IF($M534="","",$M534&amp;"#"&amp;COUNTIF($M$4:$M534,$M534))</f>
        <v/>
      </c>
      <c r="Y534" s="40" t="str">
        <f aca="false">IF($B534="","",IF($C534="","NIK kosong",IF(LEN($C534)&lt;&gt;16,"NIK bukan 16 digit",IF(COUNTIF($C$4:$C$2003,$C534&amp;"*")&gt;1,"NIK ganda",IF(AND($D534&lt;&gt;"",LEN($D534)&lt;&gt;16),"No. KK bukan 16 digit",IF(AND($F534="",$I534=""),"Alamat kosong",IF($N534="","Jabatan kosong",IF($O534="","No. HP kosong",IF(AND($R534&lt;&gt;"",$R534&lt;17),"Usia di bawah 17","")))))))))</f>
        <v/>
      </c>
      <c r="Z534" s="40" t="str">
        <f aca="false">IF($B534="","",IF(AND(OR(CARI!$C$5="",ISNUMBER(SEARCH(CARI!$C$5,$B534&amp;" "&amp;$C534&amp;" "&amp;$D534&amp;" "&amp;$O534&amp;" "&amp;$I534&amp;" "&amp;$F534&amp;" "&amp;$J534&amp;" "&amp;$K534&amp;" "&amp;$L534&amp;" "&amp;$V534))),OR(CARI!$C$6="",$F534=CARI!$C$6),OR(CARI!$C$7="",$G534=CARI!$C$7),OR(CARI!$C$8="",$T534=CARI!$C$8)),MAX($Z$3:Z533)+1,""))</f>
        <v/>
      </c>
      <c r="AA534" s="40" t="str">
        <f aca="false">IF($Y534="","",MAX($AA$3:AA533)+1)</f>
        <v/>
      </c>
      <c r="AB534" s="40" t="str">
        <f aca="false">IF($F534="","",$F534&amp;"#"&amp;COUNTIF($F$4:$F534,$F534))</f>
        <v/>
      </c>
      <c r="AC534" s="40" t="str">
        <f aca="false">IF($B534="","",IF(AND(OR(CETAK!$J$10="",$F534=CETAK!$J$10),OR(CETAK!$J$11="",$G534=CETAK!$J$11),OR(CETAK!$J$12="",$P534=CETAK!$J$12),OR(CETAK!$J$13="",$N534=CETAK!$J$13),OR(CETAK!$J$14="",$T534=CETAK!$J$14)),MAX($AC$3:AC533)+1,""))</f>
        <v/>
      </c>
      <c r="AD534" s="40" t="str">
        <f aca="false">IF($B534="","",IF(AND(OR(ABSENSI!$H$10="",$F534=ABSENSI!$H$10),OR(ABSENSI!$H$11="",$G534=ABSENSI!$H$11),OR(ABSENSI!$H$12="",$P534=ABSENSI!$H$12)),MAX($AD$3:AD533)+1,""))</f>
        <v/>
      </c>
      <c r="AE534" s="40" t="str">
        <f aca="false">IF($B534="","",IF(AND(OR(KARTU!$K$6="",$F534=KARTU!$K$6),OR(KARTU!$K$7="",$G534=KARTU!$K$7),OR(KARTU!$K$8="",$P534=KARTU!$K$8)),MAX($AE$3:AE533)+1,""))</f>
        <v/>
      </c>
    </row>
    <row r="535" customFormat="false" ht="15" hidden="false" customHeight="false" outlineLevel="0" collapsed="false">
      <c r="A535" s="35" t="str">
        <f aca="false">IF($B535="","",COUNTA($B$4:$B535))</f>
        <v/>
      </c>
      <c r="B535" s="36"/>
      <c r="C535" s="37"/>
      <c r="D535" s="37"/>
      <c r="E535" s="38"/>
      <c r="F535" s="36"/>
      <c r="G535" s="39"/>
      <c r="H535" s="39"/>
      <c r="I535" s="36"/>
      <c r="J535" s="36"/>
      <c r="K535" s="36"/>
      <c r="L535" s="36"/>
      <c r="M535" s="40" t="str">
        <f aca="false">IF($F535="","",$F535&amp;IF($G535="",""," - RT "&amp;$G535&amp;IF($H535="","","/"&amp;$H535)))</f>
        <v/>
      </c>
      <c r="N535" s="36"/>
      <c r="O535" s="37"/>
      <c r="P535" s="39"/>
      <c r="Q535" s="41"/>
      <c r="R535" s="35" t="str">
        <f aca="true">IF(OR($B535="",$Q535=""),"",DATEDIF($Q535,TODAY(),"Y"))</f>
        <v/>
      </c>
      <c r="S535" s="40" t="str">
        <f aca="false">IF($R535="","",INDEX(usia_label,MATCH($R535,usia_min,1)))</f>
        <v/>
      </c>
      <c r="T535" s="36"/>
      <c r="U535" s="41"/>
      <c r="V535" s="36"/>
      <c r="W535" s="36"/>
      <c r="X535" s="40" t="str">
        <f aca="false">IF($M535="","",$M535&amp;"#"&amp;COUNTIF($M$4:$M535,$M535))</f>
        <v/>
      </c>
      <c r="Y535" s="40" t="str">
        <f aca="false">IF($B535="","",IF($C535="","NIK kosong",IF(LEN($C535)&lt;&gt;16,"NIK bukan 16 digit",IF(COUNTIF($C$4:$C$2003,$C535&amp;"*")&gt;1,"NIK ganda",IF(AND($D535&lt;&gt;"",LEN($D535)&lt;&gt;16),"No. KK bukan 16 digit",IF(AND($F535="",$I535=""),"Alamat kosong",IF($N535="","Jabatan kosong",IF($O535="","No. HP kosong",IF(AND($R535&lt;&gt;"",$R535&lt;17),"Usia di bawah 17","")))))))))</f>
        <v/>
      </c>
      <c r="Z535" s="40" t="str">
        <f aca="false">IF($B535="","",IF(AND(OR(CARI!$C$5="",ISNUMBER(SEARCH(CARI!$C$5,$B535&amp;" "&amp;$C535&amp;" "&amp;$D535&amp;" "&amp;$O535&amp;" "&amp;$I535&amp;" "&amp;$F535&amp;" "&amp;$J535&amp;" "&amp;$K535&amp;" "&amp;$L535&amp;" "&amp;$V535))),OR(CARI!$C$6="",$F535=CARI!$C$6),OR(CARI!$C$7="",$G535=CARI!$C$7),OR(CARI!$C$8="",$T535=CARI!$C$8)),MAX($Z$3:Z534)+1,""))</f>
        <v/>
      </c>
      <c r="AA535" s="40" t="str">
        <f aca="false">IF($Y535="","",MAX($AA$3:AA534)+1)</f>
        <v/>
      </c>
      <c r="AB535" s="40" t="str">
        <f aca="false">IF($F535="","",$F535&amp;"#"&amp;COUNTIF($F$4:$F535,$F535))</f>
        <v/>
      </c>
      <c r="AC535" s="40" t="str">
        <f aca="false">IF($B535="","",IF(AND(OR(CETAK!$J$10="",$F535=CETAK!$J$10),OR(CETAK!$J$11="",$G535=CETAK!$J$11),OR(CETAK!$J$12="",$P535=CETAK!$J$12),OR(CETAK!$J$13="",$N535=CETAK!$J$13),OR(CETAK!$J$14="",$T535=CETAK!$J$14)),MAX($AC$3:AC534)+1,""))</f>
        <v/>
      </c>
      <c r="AD535" s="40" t="str">
        <f aca="false">IF($B535="","",IF(AND(OR(ABSENSI!$H$10="",$F535=ABSENSI!$H$10),OR(ABSENSI!$H$11="",$G535=ABSENSI!$H$11),OR(ABSENSI!$H$12="",$P535=ABSENSI!$H$12)),MAX($AD$3:AD534)+1,""))</f>
        <v/>
      </c>
      <c r="AE535" s="40" t="str">
        <f aca="false">IF($B535="","",IF(AND(OR(KARTU!$K$6="",$F535=KARTU!$K$6),OR(KARTU!$K$7="",$G535=KARTU!$K$7),OR(KARTU!$K$8="",$P535=KARTU!$K$8)),MAX($AE$3:AE534)+1,""))</f>
        <v/>
      </c>
    </row>
    <row r="536" customFormat="false" ht="15" hidden="false" customHeight="false" outlineLevel="0" collapsed="false">
      <c r="A536" s="35" t="str">
        <f aca="false">IF($B536="","",COUNTA($B$4:$B536))</f>
        <v/>
      </c>
      <c r="B536" s="36"/>
      <c r="C536" s="37"/>
      <c r="D536" s="37"/>
      <c r="E536" s="38"/>
      <c r="F536" s="36"/>
      <c r="G536" s="39"/>
      <c r="H536" s="39"/>
      <c r="I536" s="36"/>
      <c r="J536" s="36"/>
      <c r="K536" s="36"/>
      <c r="L536" s="36"/>
      <c r="M536" s="40" t="str">
        <f aca="false">IF($F536="","",$F536&amp;IF($G536="",""," - RT "&amp;$G536&amp;IF($H536="","","/"&amp;$H536)))</f>
        <v/>
      </c>
      <c r="N536" s="36"/>
      <c r="O536" s="37"/>
      <c r="P536" s="39"/>
      <c r="Q536" s="41"/>
      <c r="R536" s="35" t="str">
        <f aca="true">IF(OR($B536="",$Q536=""),"",DATEDIF($Q536,TODAY(),"Y"))</f>
        <v/>
      </c>
      <c r="S536" s="40" t="str">
        <f aca="false">IF($R536="","",INDEX(usia_label,MATCH($R536,usia_min,1)))</f>
        <v/>
      </c>
      <c r="T536" s="36"/>
      <c r="U536" s="41"/>
      <c r="V536" s="36"/>
      <c r="W536" s="36"/>
      <c r="X536" s="40" t="str">
        <f aca="false">IF($M536="","",$M536&amp;"#"&amp;COUNTIF($M$4:$M536,$M536))</f>
        <v/>
      </c>
      <c r="Y536" s="40" t="str">
        <f aca="false">IF($B536="","",IF($C536="","NIK kosong",IF(LEN($C536)&lt;&gt;16,"NIK bukan 16 digit",IF(COUNTIF($C$4:$C$2003,$C536&amp;"*")&gt;1,"NIK ganda",IF(AND($D536&lt;&gt;"",LEN($D536)&lt;&gt;16),"No. KK bukan 16 digit",IF(AND($F536="",$I536=""),"Alamat kosong",IF($N536="","Jabatan kosong",IF($O536="","No. HP kosong",IF(AND($R536&lt;&gt;"",$R536&lt;17),"Usia di bawah 17","")))))))))</f>
        <v/>
      </c>
      <c r="Z536" s="40" t="str">
        <f aca="false">IF($B536="","",IF(AND(OR(CARI!$C$5="",ISNUMBER(SEARCH(CARI!$C$5,$B536&amp;" "&amp;$C536&amp;" "&amp;$D536&amp;" "&amp;$O536&amp;" "&amp;$I536&amp;" "&amp;$F536&amp;" "&amp;$J536&amp;" "&amp;$K536&amp;" "&amp;$L536&amp;" "&amp;$V536))),OR(CARI!$C$6="",$F536=CARI!$C$6),OR(CARI!$C$7="",$G536=CARI!$C$7),OR(CARI!$C$8="",$T536=CARI!$C$8)),MAX($Z$3:Z535)+1,""))</f>
        <v/>
      </c>
      <c r="AA536" s="40" t="str">
        <f aca="false">IF($Y536="","",MAX($AA$3:AA535)+1)</f>
        <v/>
      </c>
      <c r="AB536" s="40" t="str">
        <f aca="false">IF($F536="","",$F536&amp;"#"&amp;COUNTIF($F$4:$F536,$F536))</f>
        <v/>
      </c>
      <c r="AC536" s="40" t="str">
        <f aca="false">IF($B536="","",IF(AND(OR(CETAK!$J$10="",$F536=CETAK!$J$10),OR(CETAK!$J$11="",$G536=CETAK!$J$11),OR(CETAK!$J$12="",$P536=CETAK!$J$12),OR(CETAK!$J$13="",$N536=CETAK!$J$13),OR(CETAK!$J$14="",$T536=CETAK!$J$14)),MAX($AC$3:AC535)+1,""))</f>
        <v/>
      </c>
      <c r="AD536" s="40" t="str">
        <f aca="false">IF($B536="","",IF(AND(OR(ABSENSI!$H$10="",$F536=ABSENSI!$H$10),OR(ABSENSI!$H$11="",$G536=ABSENSI!$H$11),OR(ABSENSI!$H$12="",$P536=ABSENSI!$H$12)),MAX($AD$3:AD535)+1,""))</f>
        <v/>
      </c>
      <c r="AE536" s="40" t="str">
        <f aca="false">IF($B536="","",IF(AND(OR(KARTU!$K$6="",$F536=KARTU!$K$6),OR(KARTU!$K$7="",$G536=KARTU!$K$7),OR(KARTU!$K$8="",$P536=KARTU!$K$8)),MAX($AE$3:AE535)+1,""))</f>
        <v/>
      </c>
    </row>
    <row r="537" customFormat="false" ht="15" hidden="false" customHeight="false" outlineLevel="0" collapsed="false">
      <c r="A537" s="35" t="str">
        <f aca="false">IF($B537="","",COUNTA($B$4:$B537))</f>
        <v/>
      </c>
      <c r="B537" s="36"/>
      <c r="C537" s="37"/>
      <c r="D537" s="37"/>
      <c r="E537" s="38"/>
      <c r="F537" s="36"/>
      <c r="G537" s="39"/>
      <c r="H537" s="39"/>
      <c r="I537" s="36"/>
      <c r="J537" s="36"/>
      <c r="K537" s="36"/>
      <c r="L537" s="36"/>
      <c r="M537" s="40" t="str">
        <f aca="false">IF($F537="","",$F537&amp;IF($G537="",""," - RT "&amp;$G537&amp;IF($H537="","","/"&amp;$H537)))</f>
        <v/>
      </c>
      <c r="N537" s="36"/>
      <c r="O537" s="37"/>
      <c r="P537" s="39"/>
      <c r="Q537" s="41"/>
      <c r="R537" s="35" t="str">
        <f aca="true">IF(OR($B537="",$Q537=""),"",DATEDIF($Q537,TODAY(),"Y"))</f>
        <v/>
      </c>
      <c r="S537" s="40" t="str">
        <f aca="false">IF($R537="","",INDEX(usia_label,MATCH($R537,usia_min,1)))</f>
        <v/>
      </c>
      <c r="T537" s="36"/>
      <c r="U537" s="41"/>
      <c r="V537" s="36"/>
      <c r="W537" s="36"/>
      <c r="X537" s="40" t="str">
        <f aca="false">IF($M537="","",$M537&amp;"#"&amp;COUNTIF($M$4:$M537,$M537))</f>
        <v/>
      </c>
      <c r="Y537" s="40" t="str">
        <f aca="false">IF($B537="","",IF($C537="","NIK kosong",IF(LEN($C537)&lt;&gt;16,"NIK bukan 16 digit",IF(COUNTIF($C$4:$C$2003,$C537&amp;"*")&gt;1,"NIK ganda",IF(AND($D537&lt;&gt;"",LEN($D537)&lt;&gt;16),"No. KK bukan 16 digit",IF(AND($F537="",$I537=""),"Alamat kosong",IF($N537="","Jabatan kosong",IF($O537="","No. HP kosong",IF(AND($R537&lt;&gt;"",$R537&lt;17),"Usia di bawah 17","")))))))))</f>
        <v/>
      </c>
      <c r="Z537" s="40" t="str">
        <f aca="false">IF($B537="","",IF(AND(OR(CARI!$C$5="",ISNUMBER(SEARCH(CARI!$C$5,$B537&amp;" "&amp;$C537&amp;" "&amp;$D537&amp;" "&amp;$O537&amp;" "&amp;$I537&amp;" "&amp;$F537&amp;" "&amp;$J537&amp;" "&amp;$K537&amp;" "&amp;$L537&amp;" "&amp;$V537))),OR(CARI!$C$6="",$F537=CARI!$C$6),OR(CARI!$C$7="",$G537=CARI!$C$7),OR(CARI!$C$8="",$T537=CARI!$C$8)),MAX($Z$3:Z536)+1,""))</f>
        <v/>
      </c>
      <c r="AA537" s="40" t="str">
        <f aca="false">IF($Y537="","",MAX($AA$3:AA536)+1)</f>
        <v/>
      </c>
      <c r="AB537" s="40" t="str">
        <f aca="false">IF($F537="","",$F537&amp;"#"&amp;COUNTIF($F$4:$F537,$F537))</f>
        <v/>
      </c>
      <c r="AC537" s="40" t="str">
        <f aca="false">IF($B537="","",IF(AND(OR(CETAK!$J$10="",$F537=CETAK!$J$10),OR(CETAK!$J$11="",$G537=CETAK!$J$11),OR(CETAK!$J$12="",$P537=CETAK!$J$12),OR(CETAK!$J$13="",$N537=CETAK!$J$13),OR(CETAK!$J$14="",$T537=CETAK!$J$14)),MAX($AC$3:AC536)+1,""))</f>
        <v/>
      </c>
      <c r="AD537" s="40" t="str">
        <f aca="false">IF($B537="","",IF(AND(OR(ABSENSI!$H$10="",$F537=ABSENSI!$H$10),OR(ABSENSI!$H$11="",$G537=ABSENSI!$H$11),OR(ABSENSI!$H$12="",$P537=ABSENSI!$H$12)),MAX($AD$3:AD536)+1,""))</f>
        <v/>
      </c>
      <c r="AE537" s="40" t="str">
        <f aca="false">IF($B537="","",IF(AND(OR(KARTU!$K$6="",$F537=KARTU!$K$6),OR(KARTU!$K$7="",$G537=KARTU!$K$7),OR(KARTU!$K$8="",$P537=KARTU!$K$8)),MAX($AE$3:AE536)+1,""))</f>
        <v/>
      </c>
    </row>
    <row r="538" customFormat="false" ht="15" hidden="false" customHeight="false" outlineLevel="0" collapsed="false">
      <c r="A538" s="35" t="str">
        <f aca="false">IF($B538="","",COUNTA($B$4:$B538))</f>
        <v/>
      </c>
      <c r="B538" s="36"/>
      <c r="C538" s="37"/>
      <c r="D538" s="37"/>
      <c r="E538" s="38"/>
      <c r="F538" s="36"/>
      <c r="G538" s="39"/>
      <c r="H538" s="39"/>
      <c r="I538" s="36"/>
      <c r="J538" s="36"/>
      <c r="K538" s="36"/>
      <c r="L538" s="36"/>
      <c r="M538" s="40" t="str">
        <f aca="false">IF($F538="","",$F538&amp;IF($G538="",""," - RT "&amp;$G538&amp;IF($H538="","","/"&amp;$H538)))</f>
        <v/>
      </c>
      <c r="N538" s="36"/>
      <c r="O538" s="37"/>
      <c r="P538" s="39"/>
      <c r="Q538" s="41"/>
      <c r="R538" s="35" t="str">
        <f aca="true">IF(OR($B538="",$Q538=""),"",DATEDIF($Q538,TODAY(),"Y"))</f>
        <v/>
      </c>
      <c r="S538" s="40" t="str">
        <f aca="false">IF($R538="","",INDEX(usia_label,MATCH($R538,usia_min,1)))</f>
        <v/>
      </c>
      <c r="T538" s="36"/>
      <c r="U538" s="41"/>
      <c r="V538" s="36"/>
      <c r="W538" s="36"/>
      <c r="X538" s="40" t="str">
        <f aca="false">IF($M538="","",$M538&amp;"#"&amp;COUNTIF($M$4:$M538,$M538))</f>
        <v/>
      </c>
      <c r="Y538" s="40" t="str">
        <f aca="false">IF($B538="","",IF($C538="","NIK kosong",IF(LEN($C538)&lt;&gt;16,"NIK bukan 16 digit",IF(COUNTIF($C$4:$C$2003,$C538&amp;"*")&gt;1,"NIK ganda",IF(AND($D538&lt;&gt;"",LEN($D538)&lt;&gt;16),"No. KK bukan 16 digit",IF(AND($F538="",$I538=""),"Alamat kosong",IF($N538="","Jabatan kosong",IF($O538="","No. HP kosong",IF(AND($R538&lt;&gt;"",$R538&lt;17),"Usia di bawah 17","")))))))))</f>
        <v/>
      </c>
      <c r="Z538" s="40" t="str">
        <f aca="false">IF($B538="","",IF(AND(OR(CARI!$C$5="",ISNUMBER(SEARCH(CARI!$C$5,$B538&amp;" "&amp;$C538&amp;" "&amp;$D538&amp;" "&amp;$O538&amp;" "&amp;$I538&amp;" "&amp;$F538&amp;" "&amp;$J538&amp;" "&amp;$K538&amp;" "&amp;$L538&amp;" "&amp;$V538))),OR(CARI!$C$6="",$F538=CARI!$C$6),OR(CARI!$C$7="",$G538=CARI!$C$7),OR(CARI!$C$8="",$T538=CARI!$C$8)),MAX($Z$3:Z537)+1,""))</f>
        <v/>
      </c>
      <c r="AA538" s="40" t="str">
        <f aca="false">IF($Y538="","",MAX($AA$3:AA537)+1)</f>
        <v/>
      </c>
      <c r="AB538" s="40" t="str">
        <f aca="false">IF($F538="","",$F538&amp;"#"&amp;COUNTIF($F$4:$F538,$F538))</f>
        <v/>
      </c>
      <c r="AC538" s="40" t="str">
        <f aca="false">IF($B538="","",IF(AND(OR(CETAK!$J$10="",$F538=CETAK!$J$10),OR(CETAK!$J$11="",$G538=CETAK!$J$11),OR(CETAK!$J$12="",$P538=CETAK!$J$12),OR(CETAK!$J$13="",$N538=CETAK!$J$13),OR(CETAK!$J$14="",$T538=CETAK!$J$14)),MAX($AC$3:AC537)+1,""))</f>
        <v/>
      </c>
      <c r="AD538" s="40" t="str">
        <f aca="false">IF($B538="","",IF(AND(OR(ABSENSI!$H$10="",$F538=ABSENSI!$H$10),OR(ABSENSI!$H$11="",$G538=ABSENSI!$H$11),OR(ABSENSI!$H$12="",$P538=ABSENSI!$H$12)),MAX($AD$3:AD537)+1,""))</f>
        <v/>
      </c>
      <c r="AE538" s="40" t="str">
        <f aca="false">IF($B538="","",IF(AND(OR(KARTU!$K$6="",$F538=KARTU!$K$6),OR(KARTU!$K$7="",$G538=KARTU!$K$7),OR(KARTU!$K$8="",$P538=KARTU!$K$8)),MAX($AE$3:AE537)+1,""))</f>
        <v/>
      </c>
    </row>
    <row r="539" customFormat="false" ht="15" hidden="false" customHeight="false" outlineLevel="0" collapsed="false">
      <c r="A539" s="35" t="str">
        <f aca="false">IF($B539="","",COUNTA($B$4:$B539))</f>
        <v/>
      </c>
      <c r="B539" s="36"/>
      <c r="C539" s="37"/>
      <c r="D539" s="37"/>
      <c r="E539" s="38"/>
      <c r="F539" s="36"/>
      <c r="G539" s="39"/>
      <c r="H539" s="39"/>
      <c r="I539" s="36"/>
      <c r="J539" s="36"/>
      <c r="K539" s="36"/>
      <c r="L539" s="36"/>
      <c r="M539" s="40" t="str">
        <f aca="false">IF($F539="","",$F539&amp;IF($G539="",""," - RT "&amp;$G539&amp;IF($H539="","","/"&amp;$H539)))</f>
        <v/>
      </c>
      <c r="N539" s="36"/>
      <c r="O539" s="37"/>
      <c r="P539" s="39"/>
      <c r="Q539" s="41"/>
      <c r="R539" s="35" t="str">
        <f aca="true">IF(OR($B539="",$Q539=""),"",DATEDIF($Q539,TODAY(),"Y"))</f>
        <v/>
      </c>
      <c r="S539" s="40" t="str">
        <f aca="false">IF($R539="","",INDEX(usia_label,MATCH($R539,usia_min,1)))</f>
        <v/>
      </c>
      <c r="T539" s="36"/>
      <c r="U539" s="41"/>
      <c r="V539" s="36"/>
      <c r="W539" s="36"/>
      <c r="X539" s="40" t="str">
        <f aca="false">IF($M539="","",$M539&amp;"#"&amp;COUNTIF($M$4:$M539,$M539))</f>
        <v/>
      </c>
      <c r="Y539" s="40" t="str">
        <f aca="false">IF($B539="","",IF($C539="","NIK kosong",IF(LEN($C539)&lt;&gt;16,"NIK bukan 16 digit",IF(COUNTIF($C$4:$C$2003,$C539&amp;"*")&gt;1,"NIK ganda",IF(AND($D539&lt;&gt;"",LEN($D539)&lt;&gt;16),"No. KK bukan 16 digit",IF(AND($F539="",$I539=""),"Alamat kosong",IF($N539="","Jabatan kosong",IF($O539="","No. HP kosong",IF(AND($R539&lt;&gt;"",$R539&lt;17),"Usia di bawah 17","")))))))))</f>
        <v/>
      </c>
      <c r="Z539" s="40" t="str">
        <f aca="false">IF($B539="","",IF(AND(OR(CARI!$C$5="",ISNUMBER(SEARCH(CARI!$C$5,$B539&amp;" "&amp;$C539&amp;" "&amp;$D539&amp;" "&amp;$O539&amp;" "&amp;$I539&amp;" "&amp;$F539&amp;" "&amp;$J539&amp;" "&amp;$K539&amp;" "&amp;$L539&amp;" "&amp;$V539))),OR(CARI!$C$6="",$F539=CARI!$C$6),OR(CARI!$C$7="",$G539=CARI!$C$7),OR(CARI!$C$8="",$T539=CARI!$C$8)),MAX($Z$3:Z538)+1,""))</f>
        <v/>
      </c>
      <c r="AA539" s="40" t="str">
        <f aca="false">IF($Y539="","",MAX($AA$3:AA538)+1)</f>
        <v/>
      </c>
      <c r="AB539" s="40" t="str">
        <f aca="false">IF($F539="","",$F539&amp;"#"&amp;COUNTIF($F$4:$F539,$F539))</f>
        <v/>
      </c>
      <c r="AC539" s="40" t="str">
        <f aca="false">IF($B539="","",IF(AND(OR(CETAK!$J$10="",$F539=CETAK!$J$10),OR(CETAK!$J$11="",$G539=CETAK!$J$11),OR(CETAK!$J$12="",$P539=CETAK!$J$12),OR(CETAK!$J$13="",$N539=CETAK!$J$13),OR(CETAK!$J$14="",$T539=CETAK!$J$14)),MAX($AC$3:AC538)+1,""))</f>
        <v/>
      </c>
      <c r="AD539" s="40" t="str">
        <f aca="false">IF($B539="","",IF(AND(OR(ABSENSI!$H$10="",$F539=ABSENSI!$H$10),OR(ABSENSI!$H$11="",$G539=ABSENSI!$H$11),OR(ABSENSI!$H$12="",$P539=ABSENSI!$H$12)),MAX($AD$3:AD538)+1,""))</f>
        <v/>
      </c>
      <c r="AE539" s="40" t="str">
        <f aca="false">IF($B539="","",IF(AND(OR(KARTU!$K$6="",$F539=KARTU!$K$6),OR(KARTU!$K$7="",$G539=KARTU!$K$7),OR(KARTU!$K$8="",$P539=KARTU!$K$8)),MAX($AE$3:AE538)+1,""))</f>
        <v/>
      </c>
    </row>
    <row r="540" customFormat="false" ht="15" hidden="false" customHeight="false" outlineLevel="0" collapsed="false">
      <c r="A540" s="35" t="str">
        <f aca="false">IF($B540="","",COUNTA($B$4:$B540))</f>
        <v/>
      </c>
      <c r="B540" s="36"/>
      <c r="C540" s="37"/>
      <c r="D540" s="37"/>
      <c r="E540" s="38"/>
      <c r="F540" s="36"/>
      <c r="G540" s="39"/>
      <c r="H540" s="39"/>
      <c r="I540" s="36"/>
      <c r="J540" s="36"/>
      <c r="K540" s="36"/>
      <c r="L540" s="36"/>
      <c r="M540" s="40" t="str">
        <f aca="false">IF($F540="","",$F540&amp;IF($G540="",""," - RT "&amp;$G540&amp;IF($H540="","","/"&amp;$H540)))</f>
        <v/>
      </c>
      <c r="N540" s="36"/>
      <c r="O540" s="37"/>
      <c r="P540" s="39"/>
      <c r="Q540" s="41"/>
      <c r="R540" s="35" t="str">
        <f aca="true">IF(OR($B540="",$Q540=""),"",DATEDIF($Q540,TODAY(),"Y"))</f>
        <v/>
      </c>
      <c r="S540" s="40" t="str">
        <f aca="false">IF($R540="","",INDEX(usia_label,MATCH($R540,usia_min,1)))</f>
        <v/>
      </c>
      <c r="T540" s="36"/>
      <c r="U540" s="41"/>
      <c r="V540" s="36"/>
      <c r="W540" s="36"/>
      <c r="X540" s="40" t="str">
        <f aca="false">IF($M540="","",$M540&amp;"#"&amp;COUNTIF($M$4:$M540,$M540))</f>
        <v/>
      </c>
      <c r="Y540" s="40" t="str">
        <f aca="false">IF($B540="","",IF($C540="","NIK kosong",IF(LEN($C540)&lt;&gt;16,"NIK bukan 16 digit",IF(COUNTIF($C$4:$C$2003,$C540&amp;"*")&gt;1,"NIK ganda",IF(AND($D540&lt;&gt;"",LEN($D540)&lt;&gt;16),"No. KK bukan 16 digit",IF(AND($F540="",$I540=""),"Alamat kosong",IF($N540="","Jabatan kosong",IF($O540="","No. HP kosong",IF(AND($R540&lt;&gt;"",$R540&lt;17),"Usia di bawah 17","")))))))))</f>
        <v/>
      </c>
      <c r="Z540" s="40" t="str">
        <f aca="false">IF($B540="","",IF(AND(OR(CARI!$C$5="",ISNUMBER(SEARCH(CARI!$C$5,$B540&amp;" "&amp;$C540&amp;" "&amp;$D540&amp;" "&amp;$O540&amp;" "&amp;$I540&amp;" "&amp;$F540&amp;" "&amp;$J540&amp;" "&amp;$K540&amp;" "&amp;$L540&amp;" "&amp;$V540))),OR(CARI!$C$6="",$F540=CARI!$C$6),OR(CARI!$C$7="",$G540=CARI!$C$7),OR(CARI!$C$8="",$T540=CARI!$C$8)),MAX($Z$3:Z539)+1,""))</f>
        <v/>
      </c>
      <c r="AA540" s="40" t="str">
        <f aca="false">IF($Y540="","",MAX($AA$3:AA539)+1)</f>
        <v/>
      </c>
      <c r="AB540" s="40" t="str">
        <f aca="false">IF($F540="","",$F540&amp;"#"&amp;COUNTIF($F$4:$F540,$F540))</f>
        <v/>
      </c>
      <c r="AC540" s="40" t="str">
        <f aca="false">IF($B540="","",IF(AND(OR(CETAK!$J$10="",$F540=CETAK!$J$10),OR(CETAK!$J$11="",$G540=CETAK!$J$11),OR(CETAK!$J$12="",$P540=CETAK!$J$12),OR(CETAK!$J$13="",$N540=CETAK!$J$13),OR(CETAK!$J$14="",$T540=CETAK!$J$14)),MAX($AC$3:AC539)+1,""))</f>
        <v/>
      </c>
      <c r="AD540" s="40" t="str">
        <f aca="false">IF($B540="","",IF(AND(OR(ABSENSI!$H$10="",$F540=ABSENSI!$H$10),OR(ABSENSI!$H$11="",$G540=ABSENSI!$H$11),OR(ABSENSI!$H$12="",$P540=ABSENSI!$H$12)),MAX($AD$3:AD539)+1,""))</f>
        <v/>
      </c>
      <c r="AE540" s="40" t="str">
        <f aca="false">IF($B540="","",IF(AND(OR(KARTU!$K$6="",$F540=KARTU!$K$6),OR(KARTU!$K$7="",$G540=KARTU!$K$7),OR(KARTU!$K$8="",$P540=KARTU!$K$8)),MAX($AE$3:AE539)+1,""))</f>
        <v/>
      </c>
    </row>
    <row r="541" customFormat="false" ht="15" hidden="false" customHeight="false" outlineLevel="0" collapsed="false">
      <c r="A541" s="35" t="str">
        <f aca="false">IF($B541="","",COUNTA($B$4:$B541))</f>
        <v/>
      </c>
      <c r="B541" s="36"/>
      <c r="C541" s="37"/>
      <c r="D541" s="37"/>
      <c r="E541" s="38"/>
      <c r="F541" s="36"/>
      <c r="G541" s="39"/>
      <c r="H541" s="39"/>
      <c r="I541" s="36"/>
      <c r="J541" s="36"/>
      <c r="K541" s="36"/>
      <c r="L541" s="36"/>
      <c r="M541" s="40" t="str">
        <f aca="false">IF($F541="","",$F541&amp;IF($G541="",""," - RT "&amp;$G541&amp;IF($H541="","","/"&amp;$H541)))</f>
        <v/>
      </c>
      <c r="N541" s="36"/>
      <c r="O541" s="37"/>
      <c r="P541" s="39"/>
      <c r="Q541" s="41"/>
      <c r="R541" s="35" t="str">
        <f aca="true">IF(OR($B541="",$Q541=""),"",DATEDIF($Q541,TODAY(),"Y"))</f>
        <v/>
      </c>
      <c r="S541" s="40" t="str">
        <f aca="false">IF($R541="","",INDEX(usia_label,MATCH($R541,usia_min,1)))</f>
        <v/>
      </c>
      <c r="T541" s="36"/>
      <c r="U541" s="41"/>
      <c r="V541" s="36"/>
      <c r="W541" s="36"/>
      <c r="X541" s="40" t="str">
        <f aca="false">IF($M541="","",$M541&amp;"#"&amp;COUNTIF($M$4:$M541,$M541))</f>
        <v/>
      </c>
      <c r="Y541" s="40" t="str">
        <f aca="false">IF($B541="","",IF($C541="","NIK kosong",IF(LEN($C541)&lt;&gt;16,"NIK bukan 16 digit",IF(COUNTIF($C$4:$C$2003,$C541&amp;"*")&gt;1,"NIK ganda",IF(AND($D541&lt;&gt;"",LEN($D541)&lt;&gt;16),"No. KK bukan 16 digit",IF(AND($F541="",$I541=""),"Alamat kosong",IF($N541="","Jabatan kosong",IF($O541="","No. HP kosong",IF(AND($R541&lt;&gt;"",$R541&lt;17),"Usia di bawah 17","")))))))))</f>
        <v/>
      </c>
      <c r="Z541" s="40" t="str">
        <f aca="false">IF($B541="","",IF(AND(OR(CARI!$C$5="",ISNUMBER(SEARCH(CARI!$C$5,$B541&amp;" "&amp;$C541&amp;" "&amp;$D541&amp;" "&amp;$O541&amp;" "&amp;$I541&amp;" "&amp;$F541&amp;" "&amp;$J541&amp;" "&amp;$K541&amp;" "&amp;$L541&amp;" "&amp;$V541))),OR(CARI!$C$6="",$F541=CARI!$C$6),OR(CARI!$C$7="",$G541=CARI!$C$7),OR(CARI!$C$8="",$T541=CARI!$C$8)),MAX($Z$3:Z540)+1,""))</f>
        <v/>
      </c>
      <c r="AA541" s="40" t="str">
        <f aca="false">IF($Y541="","",MAX($AA$3:AA540)+1)</f>
        <v/>
      </c>
      <c r="AB541" s="40" t="str">
        <f aca="false">IF($F541="","",$F541&amp;"#"&amp;COUNTIF($F$4:$F541,$F541))</f>
        <v/>
      </c>
      <c r="AC541" s="40" t="str">
        <f aca="false">IF($B541="","",IF(AND(OR(CETAK!$J$10="",$F541=CETAK!$J$10),OR(CETAK!$J$11="",$G541=CETAK!$J$11),OR(CETAK!$J$12="",$P541=CETAK!$J$12),OR(CETAK!$J$13="",$N541=CETAK!$J$13),OR(CETAK!$J$14="",$T541=CETAK!$J$14)),MAX($AC$3:AC540)+1,""))</f>
        <v/>
      </c>
      <c r="AD541" s="40" t="str">
        <f aca="false">IF($B541="","",IF(AND(OR(ABSENSI!$H$10="",$F541=ABSENSI!$H$10),OR(ABSENSI!$H$11="",$G541=ABSENSI!$H$11),OR(ABSENSI!$H$12="",$P541=ABSENSI!$H$12)),MAX($AD$3:AD540)+1,""))</f>
        <v/>
      </c>
      <c r="AE541" s="40" t="str">
        <f aca="false">IF($B541="","",IF(AND(OR(KARTU!$K$6="",$F541=KARTU!$K$6),OR(KARTU!$K$7="",$G541=KARTU!$K$7),OR(KARTU!$K$8="",$P541=KARTU!$K$8)),MAX($AE$3:AE540)+1,""))</f>
        <v/>
      </c>
    </row>
    <row r="542" customFormat="false" ht="15" hidden="false" customHeight="false" outlineLevel="0" collapsed="false">
      <c r="A542" s="35" t="str">
        <f aca="false">IF($B542="","",COUNTA($B$4:$B542))</f>
        <v/>
      </c>
      <c r="B542" s="36"/>
      <c r="C542" s="37"/>
      <c r="D542" s="37"/>
      <c r="E542" s="38"/>
      <c r="F542" s="36"/>
      <c r="G542" s="39"/>
      <c r="H542" s="39"/>
      <c r="I542" s="36"/>
      <c r="J542" s="36"/>
      <c r="K542" s="36"/>
      <c r="L542" s="36"/>
      <c r="M542" s="40" t="str">
        <f aca="false">IF($F542="","",$F542&amp;IF($G542="",""," - RT "&amp;$G542&amp;IF($H542="","","/"&amp;$H542)))</f>
        <v/>
      </c>
      <c r="N542" s="36"/>
      <c r="O542" s="37"/>
      <c r="P542" s="39"/>
      <c r="Q542" s="41"/>
      <c r="R542" s="35" t="str">
        <f aca="true">IF(OR($B542="",$Q542=""),"",DATEDIF($Q542,TODAY(),"Y"))</f>
        <v/>
      </c>
      <c r="S542" s="40" t="str">
        <f aca="false">IF($R542="","",INDEX(usia_label,MATCH($R542,usia_min,1)))</f>
        <v/>
      </c>
      <c r="T542" s="36"/>
      <c r="U542" s="41"/>
      <c r="V542" s="36"/>
      <c r="W542" s="36"/>
      <c r="X542" s="40" t="str">
        <f aca="false">IF($M542="","",$M542&amp;"#"&amp;COUNTIF($M$4:$M542,$M542))</f>
        <v/>
      </c>
      <c r="Y542" s="40" t="str">
        <f aca="false">IF($B542="","",IF($C542="","NIK kosong",IF(LEN($C542)&lt;&gt;16,"NIK bukan 16 digit",IF(COUNTIF($C$4:$C$2003,$C542&amp;"*")&gt;1,"NIK ganda",IF(AND($D542&lt;&gt;"",LEN($D542)&lt;&gt;16),"No. KK bukan 16 digit",IF(AND($F542="",$I542=""),"Alamat kosong",IF($N542="","Jabatan kosong",IF($O542="","No. HP kosong",IF(AND($R542&lt;&gt;"",$R542&lt;17),"Usia di bawah 17","")))))))))</f>
        <v/>
      </c>
      <c r="Z542" s="40" t="str">
        <f aca="false">IF($B542="","",IF(AND(OR(CARI!$C$5="",ISNUMBER(SEARCH(CARI!$C$5,$B542&amp;" "&amp;$C542&amp;" "&amp;$D542&amp;" "&amp;$O542&amp;" "&amp;$I542&amp;" "&amp;$F542&amp;" "&amp;$J542&amp;" "&amp;$K542&amp;" "&amp;$L542&amp;" "&amp;$V542))),OR(CARI!$C$6="",$F542=CARI!$C$6),OR(CARI!$C$7="",$G542=CARI!$C$7),OR(CARI!$C$8="",$T542=CARI!$C$8)),MAX($Z$3:Z541)+1,""))</f>
        <v/>
      </c>
      <c r="AA542" s="40" t="str">
        <f aca="false">IF($Y542="","",MAX($AA$3:AA541)+1)</f>
        <v/>
      </c>
      <c r="AB542" s="40" t="str">
        <f aca="false">IF($F542="","",$F542&amp;"#"&amp;COUNTIF($F$4:$F542,$F542))</f>
        <v/>
      </c>
      <c r="AC542" s="40" t="str">
        <f aca="false">IF($B542="","",IF(AND(OR(CETAK!$J$10="",$F542=CETAK!$J$10),OR(CETAK!$J$11="",$G542=CETAK!$J$11),OR(CETAK!$J$12="",$P542=CETAK!$J$12),OR(CETAK!$J$13="",$N542=CETAK!$J$13),OR(CETAK!$J$14="",$T542=CETAK!$J$14)),MAX($AC$3:AC541)+1,""))</f>
        <v/>
      </c>
      <c r="AD542" s="40" t="str">
        <f aca="false">IF($B542="","",IF(AND(OR(ABSENSI!$H$10="",$F542=ABSENSI!$H$10),OR(ABSENSI!$H$11="",$G542=ABSENSI!$H$11),OR(ABSENSI!$H$12="",$P542=ABSENSI!$H$12)),MAX($AD$3:AD541)+1,""))</f>
        <v/>
      </c>
      <c r="AE542" s="40" t="str">
        <f aca="false">IF($B542="","",IF(AND(OR(KARTU!$K$6="",$F542=KARTU!$K$6),OR(KARTU!$K$7="",$G542=KARTU!$K$7),OR(KARTU!$K$8="",$P542=KARTU!$K$8)),MAX($AE$3:AE541)+1,""))</f>
        <v/>
      </c>
    </row>
    <row r="543" customFormat="false" ht="15" hidden="false" customHeight="false" outlineLevel="0" collapsed="false">
      <c r="A543" s="35" t="str">
        <f aca="false">IF($B543="","",COUNTA($B$4:$B543))</f>
        <v/>
      </c>
      <c r="B543" s="36"/>
      <c r="C543" s="37"/>
      <c r="D543" s="37"/>
      <c r="E543" s="38"/>
      <c r="F543" s="36"/>
      <c r="G543" s="39"/>
      <c r="H543" s="39"/>
      <c r="I543" s="36"/>
      <c r="J543" s="36"/>
      <c r="K543" s="36"/>
      <c r="L543" s="36"/>
      <c r="M543" s="40" t="str">
        <f aca="false">IF($F543="","",$F543&amp;IF($G543="",""," - RT "&amp;$G543&amp;IF($H543="","","/"&amp;$H543)))</f>
        <v/>
      </c>
      <c r="N543" s="36"/>
      <c r="O543" s="37"/>
      <c r="P543" s="39"/>
      <c r="Q543" s="41"/>
      <c r="R543" s="35" t="str">
        <f aca="true">IF(OR($B543="",$Q543=""),"",DATEDIF($Q543,TODAY(),"Y"))</f>
        <v/>
      </c>
      <c r="S543" s="40" t="str">
        <f aca="false">IF($R543="","",INDEX(usia_label,MATCH($R543,usia_min,1)))</f>
        <v/>
      </c>
      <c r="T543" s="36"/>
      <c r="U543" s="41"/>
      <c r="V543" s="36"/>
      <c r="W543" s="36"/>
      <c r="X543" s="40" t="str">
        <f aca="false">IF($M543="","",$M543&amp;"#"&amp;COUNTIF($M$4:$M543,$M543))</f>
        <v/>
      </c>
      <c r="Y543" s="40" t="str">
        <f aca="false">IF($B543="","",IF($C543="","NIK kosong",IF(LEN($C543)&lt;&gt;16,"NIK bukan 16 digit",IF(COUNTIF($C$4:$C$2003,$C543&amp;"*")&gt;1,"NIK ganda",IF(AND($D543&lt;&gt;"",LEN($D543)&lt;&gt;16),"No. KK bukan 16 digit",IF(AND($F543="",$I543=""),"Alamat kosong",IF($N543="","Jabatan kosong",IF($O543="","No. HP kosong",IF(AND($R543&lt;&gt;"",$R543&lt;17),"Usia di bawah 17","")))))))))</f>
        <v/>
      </c>
      <c r="Z543" s="40" t="str">
        <f aca="false">IF($B543="","",IF(AND(OR(CARI!$C$5="",ISNUMBER(SEARCH(CARI!$C$5,$B543&amp;" "&amp;$C543&amp;" "&amp;$D543&amp;" "&amp;$O543&amp;" "&amp;$I543&amp;" "&amp;$F543&amp;" "&amp;$J543&amp;" "&amp;$K543&amp;" "&amp;$L543&amp;" "&amp;$V543))),OR(CARI!$C$6="",$F543=CARI!$C$6),OR(CARI!$C$7="",$G543=CARI!$C$7),OR(CARI!$C$8="",$T543=CARI!$C$8)),MAX($Z$3:Z542)+1,""))</f>
        <v/>
      </c>
      <c r="AA543" s="40" t="str">
        <f aca="false">IF($Y543="","",MAX($AA$3:AA542)+1)</f>
        <v/>
      </c>
      <c r="AB543" s="40" t="str">
        <f aca="false">IF($F543="","",$F543&amp;"#"&amp;COUNTIF($F$4:$F543,$F543))</f>
        <v/>
      </c>
      <c r="AC543" s="40" t="str">
        <f aca="false">IF($B543="","",IF(AND(OR(CETAK!$J$10="",$F543=CETAK!$J$10),OR(CETAK!$J$11="",$G543=CETAK!$J$11),OR(CETAK!$J$12="",$P543=CETAK!$J$12),OR(CETAK!$J$13="",$N543=CETAK!$J$13),OR(CETAK!$J$14="",$T543=CETAK!$J$14)),MAX($AC$3:AC542)+1,""))</f>
        <v/>
      </c>
      <c r="AD543" s="40" t="str">
        <f aca="false">IF($B543="","",IF(AND(OR(ABSENSI!$H$10="",$F543=ABSENSI!$H$10),OR(ABSENSI!$H$11="",$G543=ABSENSI!$H$11),OR(ABSENSI!$H$12="",$P543=ABSENSI!$H$12)),MAX($AD$3:AD542)+1,""))</f>
        <v/>
      </c>
      <c r="AE543" s="40" t="str">
        <f aca="false">IF($B543="","",IF(AND(OR(KARTU!$K$6="",$F543=KARTU!$K$6),OR(KARTU!$K$7="",$G543=KARTU!$K$7),OR(KARTU!$K$8="",$P543=KARTU!$K$8)),MAX($AE$3:AE542)+1,""))</f>
        <v/>
      </c>
    </row>
    <row r="544" customFormat="false" ht="15" hidden="false" customHeight="false" outlineLevel="0" collapsed="false">
      <c r="A544" s="35" t="str">
        <f aca="false">IF($B544="","",COUNTA($B$4:$B544))</f>
        <v/>
      </c>
      <c r="B544" s="36"/>
      <c r="C544" s="37"/>
      <c r="D544" s="37"/>
      <c r="E544" s="38"/>
      <c r="F544" s="36"/>
      <c r="G544" s="39"/>
      <c r="H544" s="39"/>
      <c r="I544" s="36"/>
      <c r="J544" s="36"/>
      <c r="K544" s="36"/>
      <c r="L544" s="36"/>
      <c r="M544" s="40" t="str">
        <f aca="false">IF($F544="","",$F544&amp;IF($G544="",""," - RT "&amp;$G544&amp;IF($H544="","","/"&amp;$H544)))</f>
        <v/>
      </c>
      <c r="N544" s="36"/>
      <c r="O544" s="37"/>
      <c r="P544" s="39"/>
      <c r="Q544" s="41"/>
      <c r="R544" s="35" t="str">
        <f aca="true">IF(OR($B544="",$Q544=""),"",DATEDIF($Q544,TODAY(),"Y"))</f>
        <v/>
      </c>
      <c r="S544" s="40" t="str">
        <f aca="false">IF($R544="","",INDEX(usia_label,MATCH($R544,usia_min,1)))</f>
        <v/>
      </c>
      <c r="T544" s="36"/>
      <c r="U544" s="41"/>
      <c r="V544" s="36"/>
      <c r="W544" s="36"/>
      <c r="X544" s="40" t="str">
        <f aca="false">IF($M544="","",$M544&amp;"#"&amp;COUNTIF($M$4:$M544,$M544))</f>
        <v/>
      </c>
      <c r="Y544" s="40" t="str">
        <f aca="false">IF($B544="","",IF($C544="","NIK kosong",IF(LEN($C544)&lt;&gt;16,"NIK bukan 16 digit",IF(COUNTIF($C$4:$C$2003,$C544&amp;"*")&gt;1,"NIK ganda",IF(AND($D544&lt;&gt;"",LEN($D544)&lt;&gt;16),"No. KK bukan 16 digit",IF(AND($F544="",$I544=""),"Alamat kosong",IF($N544="","Jabatan kosong",IF($O544="","No. HP kosong",IF(AND($R544&lt;&gt;"",$R544&lt;17),"Usia di bawah 17","")))))))))</f>
        <v/>
      </c>
      <c r="Z544" s="40" t="str">
        <f aca="false">IF($B544="","",IF(AND(OR(CARI!$C$5="",ISNUMBER(SEARCH(CARI!$C$5,$B544&amp;" "&amp;$C544&amp;" "&amp;$D544&amp;" "&amp;$O544&amp;" "&amp;$I544&amp;" "&amp;$F544&amp;" "&amp;$J544&amp;" "&amp;$K544&amp;" "&amp;$L544&amp;" "&amp;$V544))),OR(CARI!$C$6="",$F544=CARI!$C$6),OR(CARI!$C$7="",$G544=CARI!$C$7),OR(CARI!$C$8="",$T544=CARI!$C$8)),MAX($Z$3:Z543)+1,""))</f>
        <v/>
      </c>
      <c r="AA544" s="40" t="str">
        <f aca="false">IF($Y544="","",MAX($AA$3:AA543)+1)</f>
        <v/>
      </c>
      <c r="AB544" s="40" t="str">
        <f aca="false">IF($F544="","",$F544&amp;"#"&amp;COUNTIF($F$4:$F544,$F544))</f>
        <v/>
      </c>
      <c r="AC544" s="40" t="str">
        <f aca="false">IF($B544="","",IF(AND(OR(CETAK!$J$10="",$F544=CETAK!$J$10),OR(CETAK!$J$11="",$G544=CETAK!$J$11),OR(CETAK!$J$12="",$P544=CETAK!$J$12),OR(CETAK!$J$13="",$N544=CETAK!$J$13),OR(CETAK!$J$14="",$T544=CETAK!$J$14)),MAX($AC$3:AC543)+1,""))</f>
        <v/>
      </c>
      <c r="AD544" s="40" t="str">
        <f aca="false">IF($B544="","",IF(AND(OR(ABSENSI!$H$10="",$F544=ABSENSI!$H$10),OR(ABSENSI!$H$11="",$G544=ABSENSI!$H$11),OR(ABSENSI!$H$12="",$P544=ABSENSI!$H$12)),MAX($AD$3:AD543)+1,""))</f>
        <v/>
      </c>
      <c r="AE544" s="40" t="str">
        <f aca="false">IF($B544="","",IF(AND(OR(KARTU!$K$6="",$F544=KARTU!$K$6),OR(KARTU!$K$7="",$G544=KARTU!$K$7),OR(KARTU!$K$8="",$P544=KARTU!$K$8)),MAX($AE$3:AE543)+1,""))</f>
        <v/>
      </c>
    </row>
    <row r="545" customFormat="false" ht="15" hidden="false" customHeight="false" outlineLevel="0" collapsed="false">
      <c r="A545" s="35" t="str">
        <f aca="false">IF($B545="","",COUNTA($B$4:$B545))</f>
        <v/>
      </c>
      <c r="B545" s="36"/>
      <c r="C545" s="37"/>
      <c r="D545" s="37"/>
      <c r="E545" s="38"/>
      <c r="F545" s="36"/>
      <c r="G545" s="39"/>
      <c r="H545" s="39"/>
      <c r="I545" s="36"/>
      <c r="J545" s="36"/>
      <c r="K545" s="36"/>
      <c r="L545" s="36"/>
      <c r="M545" s="40" t="str">
        <f aca="false">IF($F545="","",$F545&amp;IF($G545="",""," - RT "&amp;$G545&amp;IF($H545="","","/"&amp;$H545)))</f>
        <v/>
      </c>
      <c r="N545" s="36"/>
      <c r="O545" s="37"/>
      <c r="P545" s="39"/>
      <c r="Q545" s="41"/>
      <c r="R545" s="35" t="str">
        <f aca="true">IF(OR($B545="",$Q545=""),"",DATEDIF($Q545,TODAY(),"Y"))</f>
        <v/>
      </c>
      <c r="S545" s="40" t="str">
        <f aca="false">IF($R545="","",INDEX(usia_label,MATCH($R545,usia_min,1)))</f>
        <v/>
      </c>
      <c r="T545" s="36"/>
      <c r="U545" s="41"/>
      <c r="V545" s="36"/>
      <c r="W545" s="36"/>
      <c r="X545" s="40" t="str">
        <f aca="false">IF($M545="","",$M545&amp;"#"&amp;COUNTIF($M$4:$M545,$M545))</f>
        <v/>
      </c>
      <c r="Y545" s="40" t="str">
        <f aca="false">IF($B545="","",IF($C545="","NIK kosong",IF(LEN($C545)&lt;&gt;16,"NIK bukan 16 digit",IF(COUNTIF($C$4:$C$2003,$C545&amp;"*")&gt;1,"NIK ganda",IF(AND($D545&lt;&gt;"",LEN($D545)&lt;&gt;16),"No. KK bukan 16 digit",IF(AND($F545="",$I545=""),"Alamat kosong",IF($N545="","Jabatan kosong",IF($O545="","No. HP kosong",IF(AND($R545&lt;&gt;"",$R545&lt;17),"Usia di bawah 17","")))))))))</f>
        <v/>
      </c>
      <c r="Z545" s="40" t="str">
        <f aca="false">IF($B545="","",IF(AND(OR(CARI!$C$5="",ISNUMBER(SEARCH(CARI!$C$5,$B545&amp;" "&amp;$C545&amp;" "&amp;$D545&amp;" "&amp;$O545&amp;" "&amp;$I545&amp;" "&amp;$F545&amp;" "&amp;$J545&amp;" "&amp;$K545&amp;" "&amp;$L545&amp;" "&amp;$V545))),OR(CARI!$C$6="",$F545=CARI!$C$6),OR(CARI!$C$7="",$G545=CARI!$C$7),OR(CARI!$C$8="",$T545=CARI!$C$8)),MAX($Z$3:Z544)+1,""))</f>
        <v/>
      </c>
      <c r="AA545" s="40" t="str">
        <f aca="false">IF($Y545="","",MAX($AA$3:AA544)+1)</f>
        <v/>
      </c>
      <c r="AB545" s="40" t="str">
        <f aca="false">IF($F545="","",$F545&amp;"#"&amp;COUNTIF($F$4:$F545,$F545))</f>
        <v/>
      </c>
      <c r="AC545" s="40" t="str">
        <f aca="false">IF($B545="","",IF(AND(OR(CETAK!$J$10="",$F545=CETAK!$J$10),OR(CETAK!$J$11="",$G545=CETAK!$J$11),OR(CETAK!$J$12="",$P545=CETAK!$J$12),OR(CETAK!$J$13="",$N545=CETAK!$J$13),OR(CETAK!$J$14="",$T545=CETAK!$J$14)),MAX($AC$3:AC544)+1,""))</f>
        <v/>
      </c>
      <c r="AD545" s="40" t="str">
        <f aca="false">IF($B545="","",IF(AND(OR(ABSENSI!$H$10="",$F545=ABSENSI!$H$10),OR(ABSENSI!$H$11="",$G545=ABSENSI!$H$11),OR(ABSENSI!$H$12="",$P545=ABSENSI!$H$12)),MAX($AD$3:AD544)+1,""))</f>
        <v/>
      </c>
      <c r="AE545" s="40" t="str">
        <f aca="false">IF($B545="","",IF(AND(OR(KARTU!$K$6="",$F545=KARTU!$K$6),OR(KARTU!$K$7="",$G545=KARTU!$K$7),OR(KARTU!$K$8="",$P545=KARTU!$K$8)),MAX($AE$3:AE544)+1,""))</f>
        <v/>
      </c>
    </row>
    <row r="546" customFormat="false" ht="15" hidden="false" customHeight="false" outlineLevel="0" collapsed="false">
      <c r="A546" s="35" t="str">
        <f aca="false">IF($B546="","",COUNTA($B$4:$B546))</f>
        <v/>
      </c>
      <c r="B546" s="36"/>
      <c r="C546" s="37"/>
      <c r="D546" s="37"/>
      <c r="E546" s="38"/>
      <c r="F546" s="36"/>
      <c r="G546" s="39"/>
      <c r="H546" s="39"/>
      <c r="I546" s="36"/>
      <c r="J546" s="36"/>
      <c r="K546" s="36"/>
      <c r="L546" s="36"/>
      <c r="M546" s="40" t="str">
        <f aca="false">IF($F546="","",$F546&amp;IF($G546="",""," - RT "&amp;$G546&amp;IF($H546="","","/"&amp;$H546)))</f>
        <v/>
      </c>
      <c r="N546" s="36"/>
      <c r="O546" s="37"/>
      <c r="P546" s="39"/>
      <c r="Q546" s="41"/>
      <c r="R546" s="35" t="str">
        <f aca="true">IF(OR($B546="",$Q546=""),"",DATEDIF($Q546,TODAY(),"Y"))</f>
        <v/>
      </c>
      <c r="S546" s="40" t="str">
        <f aca="false">IF($R546="","",INDEX(usia_label,MATCH($R546,usia_min,1)))</f>
        <v/>
      </c>
      <c r="T546" s="36"/>
      <c r="U546" s="41"/>
      <c r="V546" s="36"/>
      <c r="W546" s="36"/>
      <c r="X546" s="40" t="str">
        <f aca="false">IF($M546="","",$M546&amp;"#"&amp;COUNTIF($M$4:$M546,$M546))</f>
        <v/>
      </c>
      <c r="Y546" s="40" t="str">
        <f aca="false">IF($B546="","",IF($C546="","NIK kosong",IF(LEN($C546)&lt;&gt;16,"NIK bukan 16 digit",IF(COUNTIF($C$4:$C$2003,$C546&amp;"*")&gt;1,"NIK ganda",IF(AND($D546&lt;&gt;"",LEN($D546)&lt;&gt;16),"No. KK bukan 16 digit",IF(AND($F546="",$I546=""),"Alamat kosong",IF($N546="","Jabatan kosong",IF($O546="","No. HP kosong",IF(AND($R546&lt;&gt;"",$R546&lt;17),"Usia di bawah 17","")))))))))</f>
        <v/>
      </c>
      <c r="Z546" s="40" t="str">
        <f aca="false">IF($B546="","",IF(AND(OR(CARI!$C$5="",ISNUMBER(SEARCH(CARI!$C$5,$B546&amp;" "&amp;$C546&amp;" "&amp;$D546&amp;" "&amp;$O546&amp;" "&amp;$I546&amp;" "&amp;$F546&amp;" "&amp;$J546&amp;" "&amp;$K546&amp;" "&amp;$L546&amp;" "&amp;$V546))),OR(CARI!$C$6="",$F546=CARI!$C$6),OR(CARI!$C$7="",$G546=CARI!$C$7),OR(CARI!$C$8="",$T546=CARI!$C$8)),MAX($Z$3:Z545)+1,""))</f>
        <v/>
      </c>
      <c r="AA546" s="40" t="str">
        <f aca="false">IF($Y546="","",MAX($AA$3:AA545)+1)</f>
        <v/>
      </c>
      <c r="AB546" s="40" t="str">
        <f aca="false">IF($F546="","",$F546&amp;"#"&amp;COUNTIF($F$4:$F546,$F546))</f>
        <v/>
      </c>
      <c r="AC546" s="40" t="str">
        <f aca="false">IF($B546="","",IF(AND(OR(CETAK!$J$10="",$F546=CETAK!$J$10),OR(CETAK!$J$11="",$G546=CETAK!$J$11),OR(CETAK!$J$12="",$P546=CETAK!$J$12),OR(CETAK!$J$13="",$N546=CETAK!$J$13),OR(CETAK!$J$14="",$T546=CETAK!$J$14)),MAX($AC$3:AC545)+1,""))</f>
        <v/>
      </c>
      <c r="AD546" s="40" t="str">
        <f aca="false">IF($B546="","",IF(AND(OR(ABSENSI!$H$10="",$F546=ABSENSI!$H$10),OR(ABSENSI!$H$11="",$G546=ABSENSI!$H$11),OR(ABSENSI!$H$12="",$P546=ABSENSI!$H$12)),MAX($AD$3:AD545)+1,""))</f>
        <v/>
      </c>
      <c r="AE546" s="40" t="str">
        <f aca="false">IF($B546="","",IF(AND(OR(KARTU!$K$6="",$F546=KARTU!$K$6),OR(KARTU!$K$7="",$G546=KARTU!$K$7),OR(KARTU!$K$8="",$P546=KARTU!$K$8)),MAX($AE$3:AE545)+1,""))</f>
        <v/>
      </c>
    </row>
    <row r="547" customFormat="false" ht="15" hidden="false" customHeight="false" outlineLevel="0" collapsed="false">
      <c r="A547" s="35" t="str">
        <f aca="false">IF($B547="","",COUNTA($B$4:$B547))</f>
        <v/>
      </c>
      <c r="B547" s="36"/>
      <c r="C547" s="37"/>
      <c r="D547" s="37"/>
      <c r="E547" s="38"/>
      <c r="F547" s="36"/>
      <c r="G547" s="39"/>
      <c r="H547" s="39"/>
      <c r="I547" s="36"/>
      <c r="J547" s="36"/>
      <c r="K547" s="36"/>
      <c r="L547" s="36"/>
      <c r="M547" s="40" t="str">
        <f aca="false">IF($F547="","",$F547&amp;IF($G547="",""," - RT "&amp;$G547&amp;IF($H547="","","/"&amp;$H547)))</f>
        <v/>
      </c>
      <c r="N547" s="36"/>
      <c r="O547" s="37"/>
      <c r="P547" s="39"/>
      <c r="Q547" s="41"/>
      <c r="R547" s="35" t="str">
        <f aca="true">IF(OR($B547="",$Q547=""),"",DATEDIF($Q547,TODAY(),"Y"))</f>
        <v/>
      </c>
      <c r="S547" s="40" t="str">
        <f aca="false">IF($R547="","",INDEX(usia_label,MATCH($R547,usia_min,1)))</f>
        <v/>
      </c>
      <c r="T547" s="36"/>
      <c r="U547" s="41"/>
      <c r="V547" s="36"/>
      <c r="W547" s="36"/>
      <c r="X547" s="40" t="str">
        <f aca="false">IF($M547="","",$M547&amp;"#"&amp;COUNTIF($M$4:$M547,$M547))</f>
        <v/>
      </c>
      <c r="Y547" s="40" t="str">
        <f aca="false">IF($B547="","",IF($C547="","NIK kosong",IF(LEN($C547)&lt;&gt;16,"NIK bukan 16 digit",IF(COUNTIF($C$4:$C$2003,$C547&amp;"*")&gt;1,"NIK ganda",IF(AND($D547&lt;&gt;"",LEN($D547)&lt;&gt;16),"No. KK bukan 16 digit",IF(AND($F547="",$I547=""),"Alamat kosong",IF($N547="","Jabatan kosong",IF($O547="","No. HP kosong",IF(AND($R547&lt;&gt;"",$R547&lt;17),"Usia di bawah 17","")))))))))</f>
        <v/>
      </c>
      <c r="Z547" s="40" t="str">
        <f aca="false">IF($B547="","",IF(AND(OR(CARI!$C$5="",ISNUMBER(SEARCH(CARI!$C$5,$B547&amp;" "&amp;$C547&amp;" "&amp;$D547&amp;" "&amp;$O547&amp;" "&amp;$I547&amp;" "&amp;$F547&amp;" "&amp;$J547&amp;" "&amp;$K547&amp;" "&amp;$L547&amp;" "&amp;$V547))),OR(CARI!$C$6="",$F547=CARI!$C$6),OR(CARI!$C$7="",$G547=CARI!$C$7),OR(CARI!$C$8="",$T547=CARI!$C$8)),MAX($Z$3:Z546)+1,""))</f>
        <v/>
      </c>
      <c r="AA547" s="40" t="str">
        <f aca="false">IF($Y547="","",MAX($AA$3:AA546)+1)</f>
        <v/>
      </c>
      <c r="AB547" s="40" t="str">
        <f aca="false">IF($F547="","",$F547&amp;"#"&amp;COUNTIF($F$4:$F547,$F547))</f>
        <v/>
      </c>
      <c r="AC547" s="40" t="str">
        <f aca="false">IF($B547="","",IF(AND(OR(CETAK!$J$10="",$F547=CETAK!$J$10),OR(CETAK!$J$11="",$G547=CETAK!$J$11),OR(CETAK!$J$12="",$P547=CETAK!$J$12),OR(CETAK!$J$13="",$N547=CETAK!$J$13),OR(CETAK!$J$14="",$T547=CETAK!$J$14)),MAX($AC$3:AC546)+1,""))</f>
        <v/>
      </c>
      <c r="AD547" s="40" t="str">
        <f aca="false">IF($B547="","",IF(AND(OR(ABSENSI!$H$10="",$F547=ABSENSI!$H$10),OR(ABSENSI!$H$11="",$G547=ABSENSI!$H$11),OR(ABSENSI!$H$12="",$P547=ABSENSI!$H$12)),MAX($AD$3:AD546)+1,""))</f>
        <v/>
      </c>
      <c r="AE547" s="40" t="str">
        <f aca="false">IF($B547="","",IF(AND(OR(KARTU!$K$6="",$F547=KARTU!$K$6),OR(KARTU!$K$7="",$G547=KARTU!$K$7),OR(KARTU!$K$8="",$P547=KARTU!$K$8)),MAX($AE$3:AE546)+1,""))</f>
        <v/>
      </c>
    </row>
    <row r="548" customFormat="false" ht="15" hidden="false" customHeight="false" outlineLevel="0" collapsed="false">
      <c r="A548" s="35" t="str">
        <f aca="false">IF($B548="","",COUNTA($B$4:$B548))</f>
        <v/>
      </c>
      <c r="B548" s="36"/>
      <c r="C548" s="37"/>
      <c r="D548" s="37"/>
      <c r="E548" s="38"/>
      <c r="F548" s="36"/>
      <c r="G548" s="39"/>
      <c r="H548" s="39"/>
      <c r="I548" s="36"/>
      <c r="J548" s="36"/>
      <c r="K548" s="36"/>
      <c r="L548" s="36"/>
      <c r="M548" s="40" t="str">
        <f aca="false">IF($F548="","",$F548&amp;IF($G548="",""," - RT "&amp;$G548&amp;IF($H548="","","/"&amp;$H548)))</f>
        <v/>
      </c>
      <c r="N548" s="36"/>
      <c r="O548" s="37"/>
      <c r="P548" s="39"/>
      <c r="Q548" s="41"/>
      <c r="R548" s="35" t="str">
        <f aca="true">IF(OR($B548="",$Q548=""),"",DATEDIF($Q548,TODAY(),"Y"))</f>
        <v/>
      </c>
      <c r="S548" s="40" t="str">
        <f aca="false">IF($R548="","",INDEX(usia_label,MATCH($R548,usia_min,1)))</f>
        <v/>
      </c>
      <c r="T548" s="36"/>
      <c r="U548" s="41"/>
      <c r="V548" s="36"/>
      <c r="W548" s="36"/>
      <c r="X548" s="40" t="str">
        <f aca="false">IF($M548="","",$M548&amp;"#"&amp;COUNTIF($M$4:$M548,$M548))</f>
        <v/>
      </c>
      <c r="Y548" s="40" t="str">
        <f aca="false">IF($B548="","",IF($C548="","NIK kosong",IF(LEN($C548)&lt;&gt;16,"NIK bukan 16 digit",IF(COUNTIF($C$4:$C$2003,$C548&amp;"*")&gt;1,"NIK ganda",IF(AND($D548&lt;&gt;"",LEN($D548)&lt;&gt;16),"No. KK bukan 16 digit",IF(AND($F548="",$I548=""),"Alamat kosong",IF($N548="","Jabatan kosong",IF($O548="","No. HP kosong",IF(AND($R548&lt;&gt;"",$R548&lt;17),"Usia di bawah 17","")))))))))</f>
        <v/>
      </c>
      <c r="Z548" s="40" t="str">
        <f aca="false">IF($B548="","",IF(AND(OR(CARI!$C$5="",ISNUMBER(SEARCH(CARI!$C$5,$B548&amp;" "&amp;$C548&amp;" "&amp;$D548&amp;" "&amp;$O548&amp;" "&amp;$I548&amp;" "&amp;$F548&amp;" "&amp;$J548&amp;" "&amp;$K548&amp;" "&amp;$L548&amp;" "&amp;$V548))),OR(CARI!$C$6="",$F548=CARI!$C$6),OR(CARI!$C$7="",$G548=CARI!$C$7),OR(CARI!$C$8="",$T548=CARI!$C$8)),MAX($Z$3:Z547)+1,""))</f>
        <v/>
      </c>
      <c r="AA548" s="40" t="str">
        <f aca="false">IF($Y548="","",MAX($AA$3:AA547)+1)</f>
        <v/>
      </c>
      <c r="AB548" s="40" t="str">
        <f aca="false">IF($F548="","",$F548&amp;"#"&amp;COUNTIF($F$4:$F548,$F548))</f>
        <v/>
      </c>
      <c r="AC548" s="40" t="str">
        <f aca="false">IF($B548="","",IF(AND(OR(CETAK!$J$10="",$F548=CETAK!$J$10),OR(CETAK!$J$11="",$G548=CETAK!$J$11),OR(CETAK!$J$12="",$P548=CETAK!$J$12),OR(CETAK!$J$13="",$N548=CETAK!$J$13),OR(CETAK!$J$14="",$T548=CETAK!$J$14)),MAX($AC$3:AC547)+1,""))</f>
        <v/>
      </c>
      <c r="AD548" s="40" t="str">
        <f aca="false">IF($B548="","",IF(AND(OR(ABSENSI!$H$10="",$F548=ABSENSI!$H$10),OR(ABSENSI!$H$11="",$G548=ABSENSI!$H$11),OR(ABSENSI!$H$12="",$P548=ABSENSI!$H$12)),MAX($AD$3:AD547)+1,""))</f>
        <v/>
      </c>
      <c r="AE548" s="40" t="str">
        <f aca="false">IF($B548="","",IF(AND(OR(KARTU!$K$6="",$F548=KARTU!$K$6),OR(KARTU!$K$7="",$G548=KARTU!$K$7),OR(KARTU!$K$8="",$P548=KARTU!$K$8)),MAX($AE$3:AE547)+1,""))</f>
        <v/>
      </c>
    </row>
    <row r="549" customFormat="false" ht="15" hidden="false" customHeight="false" outlineLevel="0" collapsed="false">
      <c r="A549" s="35" t="str">
        <f aca="false">IF($B549="","",COUNTA($B$4:$B549))</f>
        <v/>
      </c>
      <c r="B549" s="36"/>
      <c r="C549" s="37"/>
      <c r="D549" s="37"/>
      <c r="E549" s="38"/>
      <c r="F549" s="36"/>
      <c r="G549" s="39"/>
      <c r="H549" s="39"/>
      <c r="I549" s="36"/>
      <c r="J549" s="36"/>
      <c r="K549" s="36"/>
      <c r="L549" s="36"/>
      <c r="M549" s="40" t="str">
        <f aca="false">IF($F549="","",$F549&amp;IF($G549="",""," - RT "&amp;$G549&amp;IF($H549="","","/"&amp;$H549)))</f>
        <v/>
      </c>
      <c r="N549" s="36"/>
      <c r="O549" s="37"/>
      <c r="P549" s="39"/>
      <c r="Q549" s="41"/>
      <c r="R549" s="35" t="str">
        <f aca="true">IF(OR($B549="",$Q549=""),"",DATEDIF($Q549,TODAY(),"Y"))</f>
        <v/>
      </c>
      <c r="S549" s="40" t="str">
        <f aca="false">IF($R549="","",INDEX(usia_label,MATCH($R549,usia_min,1)))</f>
        <v/>
      </c>
      <c r="T549" s="36"/>
      <c r="U549" s="41"/>
      <c r="V549" s="36"/>
      <c r="W549" s="36"/>
      <c r="X549" s="40" t="str">
        <f aca="false">IF($M549="","",$M549&amp;"#"&amp;COUNTIF($M$4:$M549,$M549))</f>
        <v/>
      </c>
      <c r="Y549" s="40" t="str">
        <f aca="false">IF($B549="","",IF($C549="","NIK kosong",IF(LEN($C549)&lt;&gt;16,"NIK bukan 16 digit",IF(COUNTIF($C$4:$C$2003,$C549&amp;"*")&gt;1,"NIK ganda",IF(AND($D549&lt;&gt;"",LEN($D549)&lt;&gt;16),"No. KK bukan 16 digit",IF(AND($F549="",$I549=""),"Alamat kosong",IF($N549="","Jabatan kosong",IF($O549="","No. HP kosong",IF(AND($R549&lt;&gt;"",$R549&lt;17),"Usia di bawah 17","")))))))))</f>
        <v/>
      </c>
      <c r="Z549" s="40" t="str">
        <f aca="false">IF($B549="","",IF(AND(OR(CARI!$C$5="",ISNUMBER(SEARCH(CARI!$C$5,$B549&amp;" "&amp;$C549&amp;" "&amp;$D549&amp;" "&amp;$O549&amp;" "&amp;$I549&amp;" "&amp;$F549&amp;" "&amp;$J549&amp;" "&amp;$K549&amp;" "&amp;$L549&amp;" "&amp;$V549))),OR(CARI!$C$6="",$F549=CARI!$C$6),OR(CARI!$C$7="",$G549=CARI!$C$7),OR(CARI!$C$8="",$T549=CARI!$C$8)),MAX($Z$3:Z548)+1,""))</f>
        <v/>
      </c>
      <c r="AA549" s="40" t="str">
        <f aca="false">IF($Y549="","",MAX($AA$3:AA548)+1)</f>
        <v/>
      </c>
      <c r="AB549" s="40" t="str">
        <f aca="false">IF($F549="","",$F549&amp;"#"&amp;COUNTIF($F$4:$F549,$F549))</f>
        <v/>
      </c>
      <c r="AC549" s="40" t="str">
        <f aca="false">IF($B549="","",IF(AND(OR(CETAK!$J$10="",$F549=CETAK!$J$10),OR(CETAK!$J$11="",$G549=CETAK!$J$11),OR(CETAK!$J$12="",$P549=CETAK!$J$12),OR(CETAK!$J$13="",$N549=CETAK!$J$13),OR(CETAK!$J$14="",$T549=CETAK!$J$14)),MAX($AC$3:AC548)+1,""))</f>
        <v/>
      </c>
      <c r="AD549" s="40" t="str">
        <f aca="false">IF($B549="","",IF(AND(OR(ABSENSI!$H$10="",$F549=ABSENSI!$H$10),OR(ABSENSI!$H$11="",$G549=ABSENSI!$H$11),OR(ABSENSI!$H$12="",$P549=ABSENSI!$H$12)),MAX($AD$3:AD548)+1,""))</f>
        <v/>
      </c>
      <c r="AE549" s="40" t="str">
        <f aca="false">IF($B549="","",IF(AND(OR(KARTU!$K$6="",$F549=KARTU!$K$6),OR(KARTU!$K$7="",$G549=KARTU!$K$7),OR(KARTU!$K$8="",$P549=KARTU!$K$8)),MAX($AE$3:AE548)+1,""))</f>
        <v/>
      </c>
    </row>
    <row r="550" customFormat="false" ht="15" hidden="false" customHeight="false" outlineLevel="0" collapsed="false">
      <c r="A550" s="35" t="str">
        <f aca="false">IF($B550="","",COUNTA($B$4:$B550))</f>
        <v/>
      </c>
      <c r="B550" s="36"/>
      <c r="C550" s="37"/>
      <c r="D550" s="37"/>
      <c r="E550" s="38"/>
      <c r="F550" s="36"/>
      <c r="G550" s="39"/>
      <c r="H550" s="39"/>
      <c r="I550" s="36"/>
      <c r="J550" s="36"/>
      <c r="K550" s="36"/>
      <c r="L550" s="36"/>
      <c r="M550" s="40" t="str">
        <f aca="false">IF($F550="","",$F550&amp;IF($G550="",""," - RT "&amp;$G550&amp;IF($H550="","","/"&amp;$H550)))</f>
        <v/>
      </c>
      <c r="N550" s="36"/>
      <c r="O550" s="37"/>
      <c r="P550" s="39"/>
      <c r="Q550" s="41"/>
      <c r="R550" s="35" t="str">
        <f aca="true">IF(OR($B550="",$Q550=""),"",DATEDIF($Q550,TODAY(),"Y"))</f>
        <v/>
      </c>
      <c r="S550" s="40" t="str">
        <f aca="false">IF($R550="","",INDEX(usia_label,MATCH($R550,usia_min,1)))</f>
        <v/>
      </c>
      <c r="T550" s="36"/>
      <c r="U550" s="41"/>
      <c r="V550" s="36"/>
      <c r="W550" s="36"/>
      <c r="X550" s="40" t="str">
        <f aca="false">IF($M550="","",$M550&amp;"#"&amp;COUNTIF($M$4:$M550,$M550))</f>
        <v/>
      </c>
      <c r="Y550" s="40" t="str">
        <f aca="false">IF($B550="","",IF($C550="","NIK kosong",IF(LEN($C550)&lt;&gt;16,"NIK bukan 16 digit",IF(COUNTIF($C$4:$C$2003,$C550&amp;"*")&gt;1,"NIK ganda",IF(AND($D550&lt;&gt;"",LEN($D550)&lt;&gt;16),"No. KK bukan 16 digit",IF(AND($F550="",$I550=""),"Alamat kosong",IF($N550="","Jabatan kosong",IF($O550="","No. HP kosong",IF(AND($R550&lt;&gt;"",$R550&lt;17),"Usia di bawah 17","")))))))))</f>
        <v/>
      </c>
      <c r="Z550" s="40" t="str">
        <f aca="false">IF($B550="","",IF(AND(OR(CARI!$C$5="",ISNUMBER(SEARCH(CARI!$C$5,$B550&amp;" "&amp;$C550&amp;" "&amp;$D550&amp;" "&amp;$O550&amp;" "&amp;$I550&amp;" "&amp;$F550&amp;" "&amp;$J550&amp;" "&amp;$K550&amp;" "&amp;$L550&amp;" "&amp;$V550))),OR(CARI!$C$6="",$F550=CARI!$C$6),OR(CARI!$C$7="",$G550=CARI!$C$7),OR(CARI!$C$8="",$T550=CARI!$C$8)),MAX($Z$3:Z549)+1,""))</f>
        <v/>
      </c>
      <c r="AA550" s="40" t="str">
        <f aca="false">IF($Y550="","",MAX($AA$3:AA549)+1)</f>
        <v/>
      </c>
      <c r="AB550" s="40" t="str">
        <f aca="false">IF($F550="","",$F550&amp;"#"&amp;COUNTIF($F$4:$F550,$F550))</f>
        <v/>
      </c>
      <c r="AC550" s="40" t="str">
        <f aca="false">IF($B550="","",IF(AND(OR(CETAK!$J$10="",$F550=CETAK!$J$10),OR(CETAK!$J$11="",$G550=CETAK!$J$11),OR(CETAK!$J$12="",$P550=CETAK!$J$12),OR(CETAK!$J$13="",$N550=CETAK!$J$13),OR(CETAK!$J$14="",$T550=CETAK!$J$14)),MAX($AC$3:AC549)+1,""))</f>
        <v/>
      </c>
      <c r="AD550" s="40" t="str">
        <f aca="false">IF($B550="","",IF(AND(OR(ABSENSI!$H$10="",$F550=ABSENSI!$H$10),OR(ABSENSI!$H$11="",$G550=ABSENSI!$H$11),OR(ABSENSI!$H$12="",$P550=ABSENSI!$H$12)),MAX($AD$3:AD549)+1,""))</f>
        <v/>
      </c>
      <c r="AE550" s="40" t="str">
        <f aca="false">IF($B550="","",IF(AND(OR(KARTU!$K$6="",$F550=KARTU!$K$6),OR(KARTU!$K$7="",$G550=KARTU!$K$7),OR(KARTU!$K$8="",$P550=KARTU!$K$8)),MAX($AE$3:AE549)+1,""))</f>
        <v/>
      </c>
    </row>
    <row r="551" customFormat="false" ht="15" hidden="false" customHeight="false" outlineLevel="0" collapsed="false">
      <c r="A551" s="35" t="str">
        <f aca="false">IF($B551="","",COUNTA($B$4:$B551))</f>
        <v/>
      </c>
      <c r="B551" s="36"/>
      <c r="C551" s="37"/>
      <c r="D551" s="37"/>
      <c r="E551" s="38"/>
      <c r="F551" s="36"/>
      <c r="G551" s="39"/>
      <c r="H551" s="39"/>
      <c r="I551" s="36"/>
      <c r="J551" s="36"/>
      <c r="K551" s="36"/>
      <c r="L551" s="36"/>
      <c r="M551" s="40" t="str">
        <f aca="false">IF($F551="","",$F551&amp;IF($G551="",""," - RT "&amp;$G551&amp;IF($H551="","","/"&amp;$H551)))</f>
        <v/>
      </c>
      <c r="N551" s="36"/>
      <c r="O551" s="37"/>
      <c r="P551" s="39"/>
      <c r="Q551" s="41"/>
      <c r="R551" s="35" t="str">
        <f aca="true">IF(OR($B551="",$Q551=""),"",DATEDIF($Q551,TODAY(),"Y"))</f>
        <v/>
      </c>
      <c r="S551" s="40" t="str">
        <f aca="false">IF($R551="","",INDEX(usia_label,MATCH($R551,usia_min,1)))</f>
        <v/>
      </c>
      <c r="T551" s="36"/>
      <c r="U551" s="41"/>
      <c r="V551" s="36"/>
      <c r="W551" s="36"/>
      <c r="X551" s="40" t="str">
        <f aca="false">IF($M551="","",$M551&amp;"#"&amp;COUNTIF($M$4:$M551,$M551))</f>
        <v/>
      </c>
      <c r="Y551" s="40" t="str">
        <f aca="false">IF($B551="","",IF($C551="","NIK kosong",IF(LEN($C551)&lt;&gt;16,"NIK bukan 16 digit",IF(COUNTIF($C$4:$C$2003,$C551&amp;"*")&gt;1,"NIK ganda",IF(AND($D551&lt;&gt;"",LEN($D551)&lt;&gt;16),"No. KK bukan 16 digit",IF(AND($F551="",$I551=""),"Alamat kosong",IF($N551="","Jabatan kosong",IF($O551="","No. HP kosong",IF(AND($R551&lt;&gt;"",$R551&lt;17),"Usia di bawah 17","")))))))))</f>
        <v/>
      </c>
      <c r="Z551" s="40" t="str">
        <f aca="false">IF($B551="","",IF(AND(OR(CARI!$C$5="",ISNUMBER(SEARCH(CARI!$C$5,$B551&amp;" "&amp;$C551&amp;" "&amp;$D551&amp;" "&amp;$O551&amp;" "&amp;$I551&amp;" "&amp;$F551&amp;" "&amp;$J551&amp;" "&amp;$K551&amp;" "&amp;$L551&amp;" "&amp;$V551))),OR(CARI!$C$6="",$F551=CARI!$C$6),OR(CARI!$C$7="",$G551=CARI!$C$7),OR(CARI!$C$8="",$T551=CARI!$C$8)),MAX($Z$3:Z550)+1,""))</f>
        <v/>
      </c>
      <c r="AA551" s="40" t="str">
        <f aca="false">IF($Y551="","",MAX($AA$3:AA550)+1)</f>
        <v/>
      </c>
      <c r="AB551" s="40" t="str">
        <f aca="false">IF($F551="","",$F551&amp;"#"&amp;COUNTIF($F$4:$F551,$F551))</f>
        <v/>
      </c>
      <c r="AC551" s="40" t="str">
        <f aca="false">IF($B551="","",IF(AND(OR(CETAK!$J$10="",$F551=CETAK!$J$10),OR(CETAK!$J$11="",$G551=CETAK!$J$11),OR(CETAK!$J$12="",$P551=CETAK!$J$12),OR(CETAK!$J$13="",$N551=CETAK!$J$13),OR(CETAK!$J$14="",$T551=CETAK!$J$14)),MAX($AC$3:AC550)+1,""))</f>
        <v/>
      </c>
      <c r="AD551" s="40" t="str">
        <f aca="false">IF($B551="","",IF(AND(OR(ABSENSI!$H$10="",$F551=ABSENSI!$H$10),OR(ABSENSI!$H$11="",$G551=ABSENSI!$H$11),OR(ABSENSI!$H$12="",$P551=ABSENSI!$H$12)),MAX($AD$3:AD550)+1,""))</f>
        <v/>
      </c>
      <c r="AE551" s="40" t="str">
        <f aca="false">IF($B551="","",IF(AND(OR(KARTU!$K$6="",$F551=KARTU!$K$6),OR(KARTU!$K$7="",$G551=KARTU!$K$7),OR(KARTU!$K$8="",$P551=KARTU!$K$8)),MAX($AE$3:AE550)+1,""))</f>
        <v/>
      </c>
    </row>
    <row r="552" customFormat="false" ht="15" hidden="false" customHeight="false" outlineLevel="0" collapsed="false">
      <c r="A552" s="35" t="str">
        <f aca="false">IF($B552="","",COUNTA($B$4:$B552))</f>
        <v/>
      </c>
      <c r="B552" s="36"/>
      <c r="C552" s="37"/>
      <c r="D552" s="37"/>
      <c r="E552" s="38"/>
      <c r="F552" s="36"/>
      <c r="G552" s="39"/>
      <c r="H552" s="39"/>
      <c r="I552" s="36"/>
      <c r="J552" s="36"/>
      <c r="K552" s="36"/>
      <c r="L552" s="36"/>
      <c r="M552" s="40" t="str">
        <f aca="false">IF($F552="","",$F552&amp;IF($G552="",""," - RT "&amp;$G552&amp;IF($H552="","","/"&amp;$H552)))</f>
        <v/>
      </c>
      <c r="N552" s="36"/>
      <c r="O552" s="37"/>
      <c r="P552" s="39"/>
      <c r="Q552" s="41"/>
      <c r="R552" s="35" t="str">
        <f aca="true">IF(OR($B552="",$Q552=""),"",DATEDIF($Q552,TODAY(),"Y"))</f>
        <v/>
      </c>
      <c r="S552" s="40" t="str">
        <f aca="false">IF($R552="","",INDEX(usia_label,MATCH($R552,usia_min,1)))</f>
        <v/>
      </c>
      <c r="T552" s="36"/>
      <c r="U552" s="41"/>
      <c r="V552" s="36"/>
      <c r="W552" s="36"/>
      <c r="X552" s="40" t="str">
        <f aca="false">IF($M552="","",$M552&amp;"#"&amp;COUNTIF($M$4:$M552,$M552))</f>
        <v/>
      </c>
      <c r="Y552" s="40" t="str">
        <f aca="false">IF($B552="","",IF($C552="","NIK kosong",IF(LEN($C552)&lt;&gt;16,"NIK bukan 16 digit",IF(COUNTIF($C$4:$C$2003,$C552&amp;"*")&gt;1,"NIK ganda",IF(AND($D552&lt;&gt;"",LEN($D552)&lt;&gt;16),"No. KK bukan 16 digit",IF(AND($F552="",$I552=""),"Alamat kosong",IF($N552="","Jabatan kosong",IF($O552="","No. HP kosong",IF(AND($R552&lt;&gt;"",$R552&lt;17),"Usia di bawah 17","")))))))))</f>
        <v/>
      </c>
      <c r="Z552" s="40" t="str">
        <f aca="false">IF($B552="","",IF(AND(OR(CARI!$C$5="",ISNUMBER(SEARCH(CARI!$C$5,$B552&amp;" "&amp;$C552&amp;" "&amp;$D552&amp;" "&amp;$O552&amp;" "&amp;$I552&amp;" "&amp;$F552&amp;" "&amp;$J552&amp;" "&amp;$K552&amp;" "&amp;$L552&amp;" "&amp;$V552))),OR(CARI!$C$6="",$F552=CARI!$C$6),OR(CARI!$C$7="",$G552=CARI!$C$7),OR(CARI!$C$8="",$T552=CARI!$C$8)),MAX($Z$3:Z551)+1,""))</f>
        <v/>
      </c>
      <c r="AA552" s="40" t="str">
        <f aca="false">IF($Y552="","",MAX($AA$3:AA551)+1)</f>
        <v/>
      </c>
      <c r="AB552" s="40" t="str">
        <f aca="false">IF($F552="","",$F552&amp;"#"&amp;COUNTIF($F$4:$F552,$F552))</f>
        <v/>
      </c>
      <c r="AC552" s="40" t="str">
        <f aca="false">IF($B552="","",IF(AND(OR(CETAK!$J$10="",$F552=CETAK!$J$10),OR(CETAK!$J$11="",$G552=CETAK!$J$11),OR(CETAK!$J$12="",$P552=CETAK!$J$12),OR(CETAK!$J$13="",$N552=CETAK!$J$13),OR(CETAK!$J$14="",$T552=CETAK!$J$14)),MAX($AC$3:AC551)+1,""))</f>
        <v/>
      </c>
      <c r="AD552" s="40" t="str">
        <f aca="false">IF($B552="","",IF(AND(OR(ABSENSI!$H$10="",$F552=ABSENSI!$H$10),OR(ABSENSI!$H$11="",$G552=ABSENSI!$H$11),OR(ABSENSI!$H$12="",$P552=ABSENSI!$H$12)),MAX($AD$3:AD551)+1,""))</f>
        <v/>
      </c>
      <c r="AE552" s="40" t="str">
        <f aca="false">IF($B552="","",IF(AND(OR(KARTU!$K$6="",$F552=KARTU!$K$6),OR(KARTU!$K$7="",$G552=KARTU!$K$7),OR(KARTU!$K$8="",$P552=KARTU!$K$8)),MAX($AE$3:AE551)+1,""))</f>
        <v/>
      </c>
    </row>
    <row r="553" customFormat="false" ht="15" hidden="false" customHeight="false" outlineLevel="0" collapsed="false">
      <c r="A553" s="35" t="str">
        <f aca="false">IF($B553="","",COUNTA($B$4:$B553))</f>
        <v/>
      </c>
      <c r="B553" s="36"/>
      <c r="C553" s="37"/>
      <c r="D553" s="37"/>
      <c r="E553" s="38"/>
      <c r="F553" s="36"/>
      <c r="G553" s="39"/>
      <c r="H553" s="39"/>
      <c r="I553" s="36"/>
      <c r="J553" s="36"/>
      <c r="K553" s="36"/>
      <c r="L553" s="36"/>
      <c r="M553" s="40" t="str">
        <f aca="false">IF($F553="","",$F553&amp;IF($G553="",""," - RT "&amp;$G553&amp;IF($H553="","","/"&amp;$H553)))</f>
        <v/>
      </c>
      <c r="N553" s="36"/>
      <c r="O553" s="37"/>
      <c r="P553" s="39"/>
      <c r="Q553" s="41"/>
      <c r="R553" s="35" t="str">
        <f aca="true">IF(OR($B553="",$Q553=""),"",DATEDIF($Q553,TODAY(),"Y"))</f>
        <v/>
      </c>
      <c r="S553" s="40" t="str">
        <f aca="false">IF($R553="","",INDEX(usia_label,MATCH($R553,usia_min,1)))</f>
        <v/>
      </c>
      <c r="T553" s="36"/>
      <c r="U553" s="41"/>
      <c r="V553" s="36"/>
      <c r="W553" s="36"/>
      <c r="X553" s="40" t="str">
        <f aca="false">IF($M553="","",$M553&amp;"#"&amp;COUNTIF($M$4:$M553,$M553))</f>
        <v/>
      </c>
      <c r="Y553" s="40" t="str">
        <f aca="false">IF($B553="","",IF($C553="","NIK kosong",IF(LEN($C553)&lt;&gt;16,"NIK bukan 16 digit",IF(COUNTIF($C$4:$C$2003,$C553&amp;"*")&gt;1,"NIK ganda",IF(AND($D553&lt;&gt;"",LEN($D553)&lt;&gt;16),"No. KK bukan 16 digit",IF(AND($F553="",$I553=""),"Alamat kosong",IF($N553="","Jabatan kosong",IF($O553="","No. HP kosong",IF(AND($R553&lt;&gt;"",$R553&lt;17),"Usia di bawah 17","")))))))))</f>
        <v/>
      </c>
      <c r="Z553" s="40" t="str">
        <f aca="false">IF($B553="","",IF(AND(OR(CARI!$C$5="",ISNUMBER(SEARCH(CARI!$C$5,$B553&amp;" "&amp;$C553&amp;" "&amp;$D553&amp;" "&amp;$O553&amp;" "&amp;$I553&amp;" "&amp;$F553&amp;" "&amp;$J553&amp;" "&amp;$K553&amp;" "&amp;$L553&amp;" "&amp;$V553))),OR(CARI!$C$6="",$F553=CARI!$C$6),OR(CARI!$C$7="",$G553=CARI!$C$7),OR(CARI!$C$8="",$T553=CARI!$C$8)),MAX($Z$3:Z552)+1,""))</f>
        <v/>
      </c>
      <c r="AA553" s="40" t="str">
        <f aca="false">IF($Y553="","",MAX($AA$3:AA552)+1)</f>
        <v/>
      </c>
      <c r="AB553" s="40" t="str">
        <f aca="false">IF($F553="","",$F553&amp;"#"&amp;COUNTIF($F$4:$F553,$F553))</f>
        <v/>
      </c>
      <c r="AC553" s="40" t="str">
        <f aca="false">IF($B553="","",IF(AND(OR(CETAK!$J$10="",$F553=CETAK!$J$10),OR(CETAK!$J$11="",$G553=CETAK!$J$11),OR(CETAK!$J$12="",$P553=CETAK!$J$12),OR(CETAK!$J$13="",$N553=CETAK!$J$13),OR(CETAK!$J$14="",$T553=CETAK!$J$14)),MAX($AC$3:AC552)+1,""))</f>
        <v/>
      </c>
      <c r="AD553" s="40" t="str">
        <f aca="false">IF($B553="","",IF(AND(OR(ABSENSI!$H$10="",$F553=ABSENSI!$H$10),OR(ABSENSI!$H$11="",$G553=ABSENSI!$H$11),OR(ABSENSI!$H$12="",$P553=ABSENSI!$H$12)),MAX($AD$3:AD552)+1,""))</f>
        <v/>
      </c>
      <c r="AE553" s="40" t="str">
        <f aca="false">IF($B553="","",IF(AND(OR(KARTU!$K$6="",$F553=KARTU!$K$6),OR(KARTU!$K$7="",$G553=KARTU!$K$7),OR(KARTU!$K$8="",$P553=KARTU!$K$8)),MAX($AE$3:AE552)+1,""))</f>
        <v/>
      </c>
    </row>
    <row r="554" customFormat="false" ht="15" hidden="false" customHeight="false" outlineLevel="0" collapsed="false">
      <c r="A554" s="35" t="str">
        <f aca="false">IF($B554="","",COUNTA($B$4:$B554))</f>
        <v/>
      </c>
      <c r="B554" s="36"/>
      <c r="C554" s="37"/>
      <c r="D554" s="37"/>
      <c r="E554" s="38"/>
      <c r="F554" s="36"/>
      <c r="G554" s="39"/>
      <c r="H554" s="39"/>
      <c r="I554" s="36"/>
      <c r="J554" s="36"/>
      <c r="K554" s="36"/>
      <c r="L554" s="36"/>
      <c r="M554" s="40" t="str">
        <f aca="false">IF($F554="","",$F554&amp;IF($G554="",""," - RT "&amp;$G554&amp;IF($H554="","","/"&amp;$H554)))</f>
        <v/>
      </c>
      <c r="N554" s="36"/>
      <c r="O554" s="37"/>
      <c r="P554" s="39"/>
      <c r="Q554" s="41"/>
      <c r="R554" s="35" t="str">
        <f aca="true">IF(OR($B554="",$Q554=""),"",DATEDIF($Q554,TODAY(),"Y"))</f>
        <v/>
      </c>
      <c r="S554" s="40" t="str">
        <f aca="false">IF($R554="","",INDEX(usia_label,MATCH($R554,usia_min,1)))</f>
        <v/>
      </c>
      <c r="T554" s="36"/>
      <c r="U554" s="41"/>
      <c r="V554" s="36"/>
      <c r="W554" s="36"/>
      <c r="X554" s="40" t="str">
        <f aca="false">IF($M554="","",$M554&amp;"#"&amp;COUNTIF($M$4:$M554,$M554))</f>
        <v/>
      </c>
      <c r="Y554" s="40" t="str">
        <f aca="false">IF($B554="","",IF($C554="","NIK kosong",IF(LEN($C554)&lt;&gt;16,"NIK bukan 16 digit",IF(COUNTIF($C$4:$C$2003,$C554&amp;"*")&gt;1,"NIK ganda",IF(AND($D554&lt;&gt;"",LEN($D554)&lt;&gt;16),"No. KK bukan 16 digit",IF(AND($F554="",$I554=""),"Alamat kosong",IF($N554="","Jabatan kosong",IF($O554="","No. HP kosong",IF(AND($R554&lt;&gt;"",$R554&lt;17),"Usia di bawah 17","")))))))))</f>
        <v/>
      </c>
      <c r="Z554" s="40" t="str">
        <f aca="false">IF($B554="","",IF(AND(OR(CARI!$C$5="",ISNUMBER(SEARCH(CARI!$C$5,$B554&amp;" "&amp;$C554&amp;" "&amp;$D554&amp;" "&amp;$O554&amp;" "&amp;$I554&amp;" "&amp;$F554&amp;" "&amp;$J554&amp;" "&amp;$K554&amp;" "&amp;$L554&amp;" "&amp;$V554))),OR(CARI!$C$6="",$F554=CARI!$C$6),OR(CARI!$C$7="",$G554=CARI!$C$7),OR(CARI!$C$8="",$T554=CARI!$C$8)),MAX($Z$3:Z553)+1,""))</f>
        <v/>
      </c>
      <c r="AA554" s="40" t="str">
        <f aca="false">IF($Y554="","",MAX($AA$3:AA553)+1)</f>
        <v/>
      </c>
      <c r="AB554" s="40" t="str">
        <f aca="false">IF($F554="","",$F554&amp;"#"&amp;COUNTIF($F$4:$F554,$F554))</f>
        <v/>
      </c>
      <c r="AC554" s="40" t="str">
        <f aca="false">IF($B554="","",IF(AND(OR(CETAK!$J$10="",$F554=CETAK!$J$10),OR(CETAK!$J$11="",$G554=CETAK!$J$11),OR(CETAK!$J$12="",$P554=CETAK!$J$12),OR(CETAK!$J$13="",$N554=CETAK!$J$13),OR(CETAK!$J$14="",$T554=CETAK!$J$14)),MAX($AC$3:AC553)+1,""))</f>
        <v/>
      </c>
      <c r="AD554" s="40" t="str">
        <f aca="false">IF($B554="","",IF(AND(OR(ABSENSI!$H$10="",$F554=ABSENSI!$H$10),OR(ABSENSI!$H$11="",$G554=ABSENSI!$H$11),OR(ABSENSI!$H$12="",$P554=ABSENSI!$H$12)),MAX($AD$3:AD553)+1,""))</f>
        <v/>
      </c>
      <c r="AE554" s="40" t="str">
        <f aca="false">IF($B554="","",IF(AND(OR(KARTU!$K$6="",$F554=KARTU!$K$6),OR(KARTU!$K$7="",$G554=KARTU!$K$7),OR(KARTU!$K$8="",$P554=KARTU!$K$8)),MAX($AE$3:AE553)+1,""))</f>
        <v/>
      </c>
    </row>
    <row r="555" customFormat="false" ht="15" hidden="false" customHeight="false" outlineLevel="0" collapsed="false">
      <c r="A555" s="35" t="str">
        <f aca="false">IF($B555="","",COUNTA($B$4:$B555))</f>
        <v/>
      </c>
      <c r="B555" s="36"/>
      <c r="C555" s="37"/>
      <c r="D555" s="37"/>
      <c r="E555" s="38"/>
      <c r="F555" s="36"/>
      <c r="G555" s="39"/>
      <c r="H555" s="39"/>
      <c r="I555" s="36"/>
      <c r="J555" s="36"/>
      <c r="K555" s="36"/>
      <c r="L555" s="36"/>
      <c r="M555" s="40" t="str">
        <f aca="false">IF($F555="","",$F555&amp;IF($G555="",""," - RT "&amp;$G555&amp;IF($H555="","","/"&amp;$H555)))</f>
        <v/>
      </c>
      <c r="N555" s="36"/>
      <c r="O555" s="37"/>
      <c r="P555" s="39"/>
      <c r="Q555" s="41"/>
      <c r="R555" s="35" t="str">
        <f aca="true">IF(OR($B555="",$Q555=""),"",DATEDIF($Q555,TODAY(),"Y"))</f>
        <v/>
      </c>
      <c r="S555" s="40" t="str">
        <f aca="false">IF($R555="","",INDEX(usia_label,MATCH($R555,usia_min,1)))</f>
        <v/>
      </c>
      <c r="T555" s="36"/>
      <c r="U555" s="41"/>
      <c r="V555" s="36"/>
      <c r="W555" s="36"/>
      <c r="X555" s="40" t="str">
        <f aca="false">IF($M555="","",$M555&amp;"#"&amp;COUNTIF($M$4:$M555,$M555))</f>
        <v/>
      </c>
      <c r="Y555" s="40" t="str">
        <f aca="false">IF($B555="","",IF($C555="","NIK kosong",IF(LEN($C555)&lt;&gt;16,"NIK bukan 16 digit",IF(COUNTIF($C$4:$C$2003,$C555&amp;"*")&gt;1,"NIK ganda",IF(AND($D555&lt;&gt;"",LEN($D555)&lt;&gt;16),"No. KK bukan 16 digit",IF(AND($F555="",$I555=""),"Alamat kosong",IF($N555="","Jabatan kosong",IF($O555="","No. HP kosong",IF(AND($R555&lt;&gt;"",$R555&lt;17),"Usia di bawah 17","")))))))))</f>
        <v/>
      </c>
      <c r="Z555" s="40" t="str">
        <f aca="false">IF($B555="","",IF(AND(OR(CARI!$C$5="",ISNUMBER(SEARCH(CARI!$C$5,$B555&amp;" "&amp;$C555&amp;" "&amp;$D555&amp;" "&amp;$O555&amp;" "&amp;$I555&amp;" "&amp;$F555&amp;" "&amp;$J555&amp;" "&amp;$K555&amp;" "&amp;$L555&amp;" "&amp;$V555))),OR(CARI!$C$6="",$F555=CARI!$C$6),OR(CARI!$C$7="",$G555=CARI!$C$7),OR(CARI!$C$8="",$T555=CARI!$C$8)),MAX($Z$3:Z554)+1,""))</f>
        <v/>
      </c>
      <c r="AA555" s="40" t="str">
        <f aca="false">IF($Y555="","",MAX($AA$3:AA554)+1)</f>
        <v/>
      </c>
      <c r="AB555" s="40" t="str">
        <f aca="false">IF($F555="","",$F555&amp;"#"&amp;COUNTIF($F$4:$F555,$F555))</f>
        <v/>
      </c>
      <c r="AC555" s="40" t="str">
        <f aca="false">IF($B555="","",IF(AND(OR(CETAK!$J$10="",$F555=CETAK!$J$10),OR(CETAK!$J$11="",$G555=CETAK!$J$11),OR(CETAK!$J$12="",$P555=CETAK!$J$12),OR(CETAK!$J$13="",$N555=CETAK!$J$13),OR(CETAK!$J$14="",$T555=CETAK!$J$14)),MAX($AC$3:AC554)+1,""))</f>
        <v/>
      </c>
      <c r="AD555" s="40" t="str">
        <f aca="false">IF($B555="","",IF(AND(OR(ABSENSI!$H$10="",$F555=ABSENSI!$H$10),OR(ABSENSI!$H$11="",$G555=ABSENSI!$H$11),OR(ABSENSI!$H$12="",$P555=ABSENSI!$H$12)),MAX($AD$3:AD554)+1,""))</f>
        <v/>
      </c>
      <c r="AE555" s="40" t="str">
        <f aca="false">IF($B555="","",IF(AND(OR(KARTU!$K$6="",$F555=KARTU!$K$6),OR(KARTU!$K$7="",$G555=KARTU!$K$7),OR(KARTU!$K$8="",$P555=KARTU!$K$8)),MAX($AE$3:AE554)+1,""))</f>
        <v/>
      </c>
    </row>
    <row r="556" customFormat="false" ht="15" hidden="false" customHeight="false" outlineLevel="0" collapsed="false">
      <c r="A556" s="35" t="str">
        <f aca="false">IF($B556="","",COUNTA($B$4:$B556))</f>
        <v/>
      </c>
      <c r="B556" s="36"/>
      <c r="C556" s="37"/>
      <c r="D556" s="37"/>
      <c r="E556" s="38"/>
      <c r="F556" s="36"/>
      <c r="G556" s="39"/>
      <c r="H556" s="39"/>
      <c r="I556" s="36"/>
      <c r="J556" s="36"/>
      <c r="K556" s="36"/>
      <c r="L556" s="36"/>
      <c r="M556" s="40" t="str">
        <f aca="false">IF($F556="","",$F556&amp;IF($G556="",""," - RT "&amp;$G556&amp;IF($H556="","","/"&amp;$H556)))</f>
        <v/>
      </c>
      <c r="N556" s="36"/>
      <c r="O556" s="37"/>
      <c r="P556" s="39"/>
      <c r="Q556" s="41"/>
      <c r="R556" s="35" t="str">
        <f aca="true">IF(OR($B556="",$Q556=""),"",DATEDIF($Q556,TODAY(),"Y"))</f>
        <v/>
      </c>
      <c r="S556" s="40" t="str">
        <f aca="false">IF($R556="","",INDEX(usia_label,MATCH($R556,usia_min,1)))</f>
        <v/>
      </c>
      <c r="T556" s="36"/>
      <c r="U556" s="41"/>
      <c r="V556" s="36"/>
      <c r="W556" s="36"/>
      <c r="X556" s="40" t="str">
        <f aca="false">IF($M556="","",$M556&amp;"#"&amp;COUNTIF($M$4:$M556,$M556))</f>
        <v/>
      </c>
      <c r="Y556" s="40" t="str">
        <f aca="false">IF($B556="","",IF($C556="","NIK kosong",IF(LEN($C556)&lt;&gt;16,"NIK bukan 16 digit",IF(COUNTIF($C$4:$C$2003,$C556&amp;"*")&gt;1,"NIK ganda",IF(AND($D556&lt;&gt;"",LEN($D556)&lt;&gt;16),"No. KK bukan 16 digit",IF(AND($F556="",$I556=""),"Alamat kosong",IF($N556="","Jabatan kosong",IF($O556="","No. HP kosong",IF(AND($R556&lt;&gt;"",$R556&lt;17),"Usia di bawah 17","")))))))))</f>
        <v/>
      </c>
      <c r="Z556" s="40" t="str">
        <f aca="false">IF($B556="","",IF(AND(OR(CARI!$C$5="",ISNUMBER(SEARCH(CARI!$C$5,$B556&amp;" "&amp;$C556&amp;" "&amp;$D556&amp;" "&amp;$O556&amp;" "&amp;$I556&amp;" "&amp;$F556&amp;" "&amp;$J556&amp;" "&amp;$K556&amp;" "&amp;$L556&amp;" "&amp;$V556))),OR(CARI!$C$6="",$F556=CARI!$C$6),OR(CARI!$C$7="",$G556=CARI!$C$7),OR(CARI!$C$8="",$T556=CARI!$C$8)),MAX($Z$3:Z555)+1,""))</f>
        <v/>
      </c>
      <c r="AA556" s="40" t="str">
        <f aca="false">IF($Y556="","",MAX($AA$3:AA555)+1)</f>
        <v/>
      </c>
      <c r="AB556" s="40" t="str">
        <f aca="false">IF($F556="","",$F556&amp;"#"&amp;COUNTIF($F$4:$F556,$F556))</f>
        <v/>
      </c>
      <c r="AC556" s="40" t="str">
        <f aca="false">IF($B556="","",IF(AND(OR(CETAK!$J$10="",$F556=CETAK!$J$10),OR(CETAK!$J$11="",$G556=CETAK!$J$11),OR(CETAK!$J$12="",$P556=CETAK!$J$12),OR(CETAK!$J$13="",$N556=CETAK!$J$13),OR(CETAK!$J$14="",$T556=CETAK!$J$14)),MAX($AC$3:AC555)+1,""))</f>
        <v/>
      </c>
      <c r="AD556" s="40" t="str">
        <f aca="false">IF($B556="","",IF(AND(OR(ABSENSI!$H$10="",$F556=ABSENSI!$H$10),OR(ABSENSI!$H$11="",$G556=ABSENSI!$H$11),OR(ABSENSI!$H$12="",$P556=ABSENSI!$H$12)),MAX($AD$3:AD555)+1,""))</f>
        <v/>
      </c>
      <c r="AE556" s="40" t="str">
        <f aca="false">IF($B556="","",IF(AND(OR(KARTU!$K$6="",$F556=KARTU!$K$6),OR(KARTU!$K$7="",$G556=KARTU!$K$7),OR(KARTU!$K$8="",$P556=KARTU!$K$8)),MAX($AE$3:AE555)+1,""))</f>
        <v/>
      </c>
    </row>
    <row r="557" customFormat="false" ht="15" hidden="false" customHeight="false" outlineLevel="0" collapsed="false">
      <c r="A557" s="35" t="str">
        <f aca="false">IF($B557="","",COUNTA($B$4:$B557))</f>
        <v/>
      </c>
      <c r="B557" s="36"/>
      <c r="C557" s="37"/>
      <c r="D557" s="37"/>
      <c r="E557" s="38"/>
      <c r="F557" s="36"/>
      <c r="G557" s="39"/>
      <c r="H557" s="39"/>
      <c r="I557" s="36"/>
      <c r="J557" s="36"/>
      <c r="K557" s="36"/>
      <c r="L557" s="36"/>
      <c r="M557" s="40" t="str">
        <f aca="false">IF($F557="","",$F557&amp;IF($G557="",""," - RT "&amp;$G557&amp;IF($H557="","","/"&amp;$H557)))</f>
        <v/>
      </c>
      <c r="N557" s="36"/>
      <c r="O557" s="37"/>
      <c r="P557" s="39"/>
      <c r="Q557" s="41"/>
      <c r="R557" s="35" t="str">
        <f aca="true">IF(OR($B557="",$Q557=""),"",DATEDIF($Q557,TODAY(),"Y"))</f>
        <v/>
      </c>
      <c r="S557" s="40" t="str">
        <f aca="false">IF($R557="","",INDEX(usia_label,MATCH($R557,usia_min,1)))</f>
        <v/>
      </c>
      <c r="T557" s="36"/>
      <c r="U557" s="41"/>
      <c r="V557" s="36"/>
      <c r="W557" s="36"/>
      <c r="X557" s="40" t="str">
        <f aca="false">IF($M557="","",$M557&amp;"#"&amp;COUNTIF($M$4:$M557,$M557))</f>
        <v/>
      </c>
      <c r="Y557" s="40" t="str">
        <f aca="false">IF($B557="","",IF($C557="","NIK kosong",IF(LEN($C557)&lt;&gt;16,"NIK bukan 16 digit",IF(COUNTIF($C$4:$C$2003,$C557&amp;"*")&gt;1,"NIK ganda",IF(AND($D557&lt;&gt;"",LEN($D557)&lt;&gt;16),"No. KK bukan 16 digit",IF(AND($F557="",$I557=""),"Alamat kosong",IF($N557="","Jabatan kosong",IF($O557="","No. HP kosong",IF(AND($R557&lt;&gt;"",$R557&lt;17),"Usia di bawah 17","")))))))))</f>
        <v/>
      </c>
      <c r="Z557" s="40" t="str">
        <f aca="false">IF($B557="","",IF(AND(OR(CARI!$C$5="",ISNUMBER(SEARCH(CARI!$C$5,$B557&amp;" "&amp;$C557&amp;" "&amp;$D557&amp;" "&amp;$O557&amp;" "&amp;$I557&amp;" "&amp;$F557&amp;" "&amp;$J557&amp;" "&amp;$K557&amp;" "&amp;$L557&amp;" "&amp;$V557))),OR(CARI!$C$6="",$F557=CARI!$C$6),OR(CARI!$C$7="",$G557=CARI!$C$7),OR(CARI!$C$8="",$T557=CARI!$C$8)),MAX($Z$3:Z556)+1,""))</f>
        <v/>
      </c>
      <c r="AA557" s="40" t="str">
        <f aca="false">IF($Y557="","",MAX($AA$3:AA556)+1)</f>
        <v/>
      </c>
      <c r="AB557" s="40" t="str">
        <f aca="false">IF($F557="","",$F557&amp;"#"&amp;COUNTIF($F$4:$F557,$F557))</f>
        <v/>
      </c>
      <c r="AC557" s="40" t="str">
        <f aca="false">IF($B557="","",IF(AND(OR(CETAK!$J$10="",$F557=CETAK!$J$10),OR(CETAK!$J$11="",$G557=CETAK!$J$11),OR(CETAK!$J$12="",$P557=CETAK!$J$12),OR(CETAK!$J$13="",$N557=CETAK!$J$13),OR(CETAK!$J$14="",$T557=CETAK!$J$14)),MAX($AC$3:AC556)+1,""))</f>
        <v/>
      </c>
      <c r="AD557" s="40" t="str">
        <f aca="false">IF($B557="","",IF(AND(OR(ABSENSI!$H$10="",$F557=ABSENSI!$H$10),OR(ABSENSI!$H$11="",$G557=ABSENSI!$H$11),OR(ABSENSI!$H$12="",$P557=ABSENSI!$H$12)),MAX($AD$3:AD556)+1,""))</f>
        <v/>
      </c>
      <c r="AE557" s="40" t="str">
        <f aca="false">IF($B557="","",IF(AND(OR(KARTU!$K$6="",$F557=KARTU!$K$6),OR(KARTU!$K$7="",$G557=KARTU!$K$7),OR(KARTU!$K$8="",$P557=KARTU!$K$8)),MAX($AE$3:AE556)+1,""))</f>
        <v/>
      </c>
    </row>
    <row r="558" customFormat="false" ht="15" hidden="false" customHeight="false" outlineLevel="0" collapsed="false">
      <c r="A558" s="35" t="str">
        <f aca="false">IF($B558="","",COUNTA($B$4:$B558))</f>
        <v/>
      </c>
      <c r="B558" s="36"/>
      <c r="C558" s="37"/>
      <c r="D558" s="37"/>
      <c r="E558" s="38"/>
      <c r="F558" s="36"/>
      <c r="G558" s="39"/>
      <c r="H558" s="39"/>
      <c r="I558" s="36"/>
      <c r="J558" s="36"/>
      <c r="K558" s="36"/>
      <c r="L558" s="36"/>
      <c r="M558" s="40" t="str">
        <f aca="false">IF($F558="","",$F558&amp;IF($G558="",""," - RT "&amp;$G558&amp;IF($H558="","","/"&amp;$H558)))</f>
        <v/>
      </c>
      <c r="N558" s="36"/>
      <c r="O558" s="37"/>
      <c r="P558" s="39"/>
      <c r="Q558" s="41"/>
      <c r="R558" s="35" t="str">
        <f aca="true">IF(OR($B558="",$Q558=""),"",DATEDIF($Q558,TODAY(),"Y"))</f>
        <v/>
      </c>
      <c r="S558" s="40" t="str">
        <f aca="false">IF($R558="","",INDEX(usia_label,MATCH($R558,usia_min,1)))</f>
        <v/>
      </c>
      <c r="T558" s="36"/>
      <c r="U558" s="41"/>
      <c r="V558" s="36"/>
      <c r="W558" s="36"/>
      <c r="X558" s="40" t="str">
        <f aca="false">IF($M558="","",$M558&amp;"#"&amp;COUNTIF($M$4:$M558,$M558))</f>
        <v/>
      </c>
      <c r="Y558" s="40" t="str">
        <f aca="false">IF($B558="","",IF($C558="","NIK kosong",IF(LEN($C558)&lt;&gt;16,"NIK bukan 16 digit",IF(COUNTIF($C$4:$C$2003,$C558&amp;"*")&gt;1,"NIK ganda",IF(AND($D558&lt;&gt;"",LEN($D558)&lt;&gt;16),"No. KK bukan 16 digit",IF(AND($F558="",$I558=""),"Alamat kosong",IF($N558="","Jabatan kosong",IF($O558="","No. HP kosong",IF(AND($R558&lt;&gt;"",$R558&lt;17),"Usia di bawah 17","")))))))))</f>
        <v/>
      </c>
      <c r="Z558" s="40" t="str">
        <f aca="false">IF($B558="","",IF(AND(OR(CARI!$C$5="",ISNUMBER(SEARCH(CARI!$C$5,$B558&amp;" "&amp;$C558&amp;" "&amp;$D558&amp;" "&amp;$O558&amp;" "&amp;$I558&amp;" "&amp;$F558&amp;" "&amp;$J558&amp;" "&amp;$K558&amp;" "&amp;$L558&amp;" "&amp;$V558))),OR(CARI!$C$6="",$F558=CARI!$C$6),OR(CARI!$C$7="",$G558=CARI!$C$7),OR(CARI!$C$8="",$T558=CARI!$C$8)),MAX($Z$3:Z557)+1,""))</f>
        <v/>
      </c>
      <c r="AA558" s="40" t="str">
        <f aca="false">IF($Y558="","",MAX($AA$3:AA557)+1)</f>
        <v/>
      </c>
      <c r="AB558" s="40" t="str">
        <f aca="false">IF($F558="","",$F558&amp;"#"&amp;COUNTIF($F$4:$F558,$F558))</f>
        <v/>
      </c>
      <c r="AC558" s="40" t="str">
        <f aca="false">IF($B558="","",IF(AND(OR(CETAK!$J$10="",$F558=CETAK!$J$10),OR(CETAK!$J$11="",$G558=CETAK!$J$11),OR(CETAK!$J$12="",$P558=CETAK!$J$12),OR(CETAK!$J$13="",$N558=CETAK!$J$13),OR(CETAK!$J$14="",$T558=CETAK!$J$14)),MAX($AC$3:AC557)+1,""))</f>
        <v/>
      </c>
      <c r="AD558" s="40" t="str">
        <f aca="false">IF($B558="","",IF(AND(OR(ABSENSI!$H$10="",$F558=ABSENSI!$H$10),OR(ABSENSI!$H$11="",$G558=ABSENSI!$H$11),OR(ABSENSI!$H$12="",$P558=ABSENSI!$H$12)),MAX($AD$3:AD557)+1,""))</f>
        <v/>
      </c>
      <c r="AE558" s="40" t="str">
        <f aca="false">IF($B558="","",IF(AND(OR(KARTU!$K$6="",$F558=KARTU!$K$6),OR(KARTU!$K$7="",$G558=KARTU!$K$7),OR(KARTU!$K$8="",$P558=KARTU!$K$8)),MAX($AE$3:AE557)+1,""))</f>
        <v/>
      </c>
    </row>
    <row r="559" customFormat="false" ht="15" hidden="false" customHeight="false" outlineLevel="0" collapsed="false">
      <c r="A559" s="35" t="str">
        <f aca="false">IF($B559="","",COUNTA($B$4:$B559))</f>
        <v/>
      </c>
      <c r="B559" s="36"/>
      <c r="C559" s="37"/>
      <c r="D559" s="37"/>
      <c r="E559" s="38"/>
      <c r="F559" s="36"/>
      <c r="G559" s="39"/>
      <c r="H559" s="39"/>
      <c r="I559" s="36"/>
      <c r="J559" s="36"/>
      <c r="K559" s="36"/>
      <c r="L559" s="36"/>
      <c r="M559" s="40" t="str">
        <f aca="false">IF($F559="","",$F559&amp;IF($G559="",""," - RT "&amp;$G559&amp;IF($H559="","","/"&amp;$H559)))</f>
        <v/>
      </c>
      <c r="N559" s="36"/>
      <c r="O559" s="37"/>
      <c r="P559" s="39"/>
      <c r="Q559" s="41"/>
      <c r="R559" s="35" t="str">
        <f aca="true">IF(OR($B559="",$Q559=""),"",DATEDIF($Q559,TODAY(),"Y"))</f>
        <v/>
      </c>
      <c r="S559" s="40" t="str">
        <f aca="false">IF($R559="","",INDEX(usia_label,MATCH($R559,usia_min,1)))</f>
        <v/>
      </c>
      <c r="T559" s="36"/>
      <c r="U559" s="41"/>
      <c r="V559" s="36"/>
      <c r="W559" s="36"/>
      <c r="X559" s="40" t="str">
        <f aca="false">IF($M559="","",$M559&amp;"#"&amp;COUNTIF($M$4:$M559,$M559))</f>
        <v/>
      </c>
      <c r="Y559" s="40" t="str">
        <f aca="false">IF($B559="","",IF($C559="","NIK kosong",IF(LEN($C559)&lt;&gt;16,"NIK bukan 16 digit",IF(COUNTIF($C$4:$C$2003,$C559&amp;"*")&gt;1,"NIK ganda",IF(AND($D559&lt;&gt;"",LEN($D559)&lt;&gt;16),"No. KK bukan 16 digit",IF(AND($F559="",$I559=""),"Alamat kosong",IF($N559="","Jabatan kosong",IF($O559="","No. HP kosong",IF(AND($R559&lt;&gt;"",$R559&lt;17),"Usia di bawah 17","")))))))))</f>
        <v/>
      </c>
      <c r="Z559" s="40" t="str">
        <f aca="false">IF($B559="","",IF(AND(OR(CARI!$C$5="",ISNUMBER(SEARCH(CARI!$C$5,$B559&amp;" "&amp;$C559&amp;" "&amp;$D559&amp;" "&amp;$O559&amp;" "&amp;$I559&amp;" "&amp;$F559&amp;" "&amp;$J559&amp;" "&amp;$K559&amp;" "&amp;$L559&amp;" "&amp;$V559))),OR(CARI!$C$6="",$F559=CARI!$C$6),OR(CARI!$C$7="",$G559=CARI!$C$7),OR(CARI!$C$8="",$T559=CARI!$C$8)),MAX($Z$3:Z558)+1,""))</f>
        <v/>
      </c>
      <c r="AA559" s="40" t="str">
        <f aca="false">IF($Y559="","",MAX($AA$3:AA558)+1)</f>
        <v/>
      </c>
      <c r="AB559" s="40" t="str">
        <f aca="false">IF($F559="","",$F559&amp;"#"&amp;COUNTIF($F$4:$F559,$F559))</f>
        <v/>
      </c>
      <c r="AC559" s="40" t="str">
        <f aca="false">IF($B559="","",IF(AND(OR(CETAK!$J$10="",$F559=CETAK!$J$10),OR(CETAK!$J$11="",$G559=CETAK!$J$11),OR(CETAK!$J$12="",$P559=CETAK!$J$12),OR(CETAK!$J$13="",$N559=CETAK!$J$13),OR(CETAK!$J$14="",$T559=CETAK!$J$14)),MAX($AC$3:AC558)+1,""))</f>
        <v/>
      </c>
      <c r="AD559" s="40" t="str">
        <f aca="false">IF($B559="","",IF(AND(OR(ABSENSI!$H$10="",$F559=ABSENSI!$H$10),OR(ABSENSI!$H$11="",$G559=ABSENSI!$H$11),OR(ABSENSI!$H$12="",$P559=ABSENSI!$H$12)),MAX($AD$3:AD558)+1,""))</f>
        <v/>
      </c>
      <c r="AE559" s="40" t="str">
        <f aca="false">IF($B559="","",IF(AND(OR(KARTU!$K$6="",$F559=KARTU!$K$6),OR(KARTU!$K$7="",$G559=KARTU!$K$7),OR(KARTU!$K$8="",$P559=KARTU!$K$8)),MAX($AE$3:AE558)+1,""))</f>
        <v/>
      </c>
    </row>
    <row r="560" customFormat="false" ht="15" hidden="false" customHeight="false" outlineLevel="0" collapsed="false">
      <c r="A560" s="35" t="str">
        <f aca="false">IF($B560="","",COUNTA($B$4:$B560))</f>
        <v/>
      </c>
      <c r="B560" s="36"/>
      <c r="C560" s="37"/>
      <c r="D560" s="37"/>
      <c r="E560" s="38"/>
      <c r="F560" s="36"/>
      <c r="G560" s="39"/>
      <c r="H560" s="39"/>
      <c r="I560" s="36"/>
      <c r="J560" s="36"/>
      <c r="K560" s="36"/>
      <c r="L560" s="36"/>
      <c r="M560" s="40" t="str">
        <f aca="false">IF($F560="","",$F560&amp;IF($G560="",""," - RT "&amp;$G560&amp;IF($H560="","","/"&amp;$H560)))</f>
        <v/>
      </c>
      <c r="N560" s="36"/>
      <c r="O560" s="37"/>
      <c r="P560" s="39"/>
      <c r="Q560" s="41"/>
      <c r="R560" s="35" t="str">
        <f aca="true">IF(OR($B560="",$Q560=""),"",DATEDIF($Q560,TODAY(),"Y"))</f>
        <v/>
      </c>
      <c r="S560" s="40" t="str">
        <f aca="false">IF($R560="","",INDEX(usia_label,MATCH($R560,usia_min,1)))</f>
        <v/>
      </c>
      <c r="T560" s="36"/>
      <c r="U560" s="41"/>
      <c r="V560" s="36"/>
      <c r="W560" s="36"/>
      <c r="X560" s="40" t="str">
        <f aca="false">IF($M560="","",$M560&amp;"#"&amp;COUNTIF($M$4:$M560,$M560))</f>
        <v/>
      </c>
      <c r="Y560" s="40" t="str">
        <f aca="false">IF($B560="","",IF($C560="","NIK kosong",IF(LEN($C560)&lt;&gt;16,"NIK bukan 16 digit",IF(COUNTIF($C$4:$C$2003,$C560&amp;"*")&gt;1,"NIK ganda",IF(AND($D560&lt;&gt;"",LEN($D560)&lt;&gt;16),"No. KK bukan 16 digit",IF(AND($F560="",$I560=""),"Alamat kosong",IF($N560="","Jabatan kosong",IF($O560="","No. HP kosong",IF(AND($R560&lt;&gt;"",$R560&lt;17),"Usia di bawah 17","")))))))))</f>
        <v/>
      </c>
      <c r="Z560" s="40" t="str">
        <f aca="false">IF($B560="","",IF(AND(OR(CARI!$C$5="",ISNUMBER(SEARCH(CARI!$C$5,$B560&amp;" "&amp;$C560&amp;" "&amp;$D560&amp;" "&amp;$O560&amp;" "&amp;$I560&amp;" "&amp;$F560&amp;" "&amp;$J560&amp;" "&amp;$K560&amp;" "&amp;$L560&amp;" "&amp;$V560))),OR(CARI!$C$6="",$F560=CARI!$C$6),OR(CARI!$C$7="",$G560=CARI!$C$7),OR(CARI!$C$8="",$T560=CARI!$C$8)),MAX($Z$3:Z559)+1,""))</f>
        <v/>
      </c>
      <c r="AA560" s="40" t="str">
        <f aca="false">IF($Y560="","",MAX($AA$3:AA559)+1)</f>
        <v/>
      </c>
      <c r="AB560" s="40" t="str">
        <f aca="false">IF($F560="","",$F560&amp;"#"&amp;COUNTIF($F$4:$F560,$F560))</f>
        <v/>
      </c>
      <c r="AC560" s="40" t="str">
        <f aca="false">IF($B560="","",IF(AND(OR(CETAK!$J$10="",$F560=CETAK!$J$10),OR(CETAK!$J$11="",$G560=CETAK!$J$11),OR(CETAK!$J$12="",$P560=CETAK!$J$12),OR(CETAK!$J$13="",$N560=CETAK!$J$13),OR(CETAK!$J$14="",$T560=CETAK!$J$14)),MAX($AC$3:AC559)+1,""))</f>
        <v/>
      </c>
      <c r="AD560" s="40" t="str">
        <f aca="false">IF($B560="","",IF(AND(OR(ABSENSI!$H$10="",$F560=ABSENSI!$H$10),OR(ABSENSI!$H$11="",$G560=ABSENSI!$H$11),OR(ABSENSI!$H$12="",$P560=ABSENSI!$H$12)),MAX($AD$3:AD559)+1,""))</f>
        <v/>
      </c>
      <c r="AE560" s="40" t="str">
        <f aca="false">IF($B560="","",IF(AND(OR(KARTU!$K$6="",$F560=KARTU!$K$6),OR(KARTU!$K$7="",$G560=KARTU!$K$7),OR(KARTU!$K$8="",$P560=KARTU!$K$8)),MAX($AE$3:AE559)+1,""))</f>
        <v/>
      </c>
    </row>
    <row r="561" customFormat="false" ht="15" hidden="false" customHeight="false" outlineLevel="0" collapsed="false">
      <c r="A561" s="35" t="str">
        <f aca="false">IF($B561="","",COUNTA($B$4:$B561))</f>
        <v/>
      </c>
      <c r="B561" s="36"/>
      <c r="C561" s="37"/>
      <c r="D561" s="37"/>
      <c r="E561" s="38"/>
      <c r="F561" s="36"/>
      <c r="G561" s="39"/>
      <c r="H561" s="39"/>
      <c r="I561" s="36"/>
      <c r="J561" s="36"/>
      <c r="K561" s="36"/>
      <c r="L561" s="36"/>
      <c r="M561" s="40" t="str">
        <f aca="false">IF($F561="","",$F561&amp;IF($G561="",""," - RT "&amp;$G561&amp;IF($H561="","","/"&amp;$H561)))</f>
        <v/>
      </c>
      <c r="N561" s="36"/>
      <c r="O561" s="37"/>
      <c r="P561" s="39"/>
      <c r="Q561" s="41"/>
      <c r="R561" s="35" t="str">
        <f aca="true">IF(OR($B561="",$Q561=""),"",DATEDIF($Q561,TODAY(),"Y"))</f>
        <v/>
      </c>
      <c r="S561" s="40" t="str">
        <f aca="false">IF($R561="","",INDEX(usia_label,MATCH($R561,usia_min,1)))</f>
        <v/>
      </c>
      <c r="T561" s="36"/>
      <c r="U561" s="41"/>
      <c r="V561" s="36"/>
      <c r="W561" s="36"/>
      <c r="X561" s="40" t="str">
        <f aca="false">IF($M561="","",$M561&amp;"#"&amp;COUNTIF($M$4:$M561,$M561))</f>
        <v/>
      </c>
      <c r="Y561" s="40" t="str">
        <f aca="false">IF($B561="","",IF($C561="","NIK kosong",IF(LEN($C561)&lt;&gt;16,"NIK bukan 16 digit",IF(COUNTIF($C$4:$C$2003,$C561&amp;"*")&gt;1,"NIK ganda",IF(AND($D561&lt;&gt;"",LEN($D561)&lt;&gt;16),"No. KK bukan 16 digit",IF(AND($F561="",$I561=""),"Alamat kosong",IF($N561="","Jabatan kosong",IF($O561="","No. HP kosong",IF(AND($R561&lt;&gt;"",$R561&lt;17),"Usia di bawah 17","")))))))))</f>
        <v/>
      </c>
      <c r="Z561" s="40" t="str">
        <f aca="false">IF($B561="","",IF(AND(OR(CARI!$C$5="",ISNUMBER(SEARCH(CARI!$C$5,$B561&amp;" "&amp;$C561&amp;" "&amp;$D561&amp;" "&amp;$O561&amp;" "&amp;$I561&amp;" "&amp;$F561&amp;" "&amp;$J561&amp;" "&amp;$K561&amp;" "&amp;$L561&amp;" "&amp;$V561))),OR(CARI!$C$6="",$F561=CARI!$C$6),OR(CARI!$C$7="",$G561=CARI!$C$7),OR(CARI!$C$8="",$T561=CARI!$C$8)),MAX($Z$3:Z560)+1,""))</f>
        <v/>
      </c>
      <c r="AA561" s="40" t="str">
        <f aca="false">IF($Y561="","",MAX($AA$3:AA560)+1)</f>
        <v/>
      </c>
      <c r="AB561" s="40" t="str">
        <f aca="false">IF($F561="","",$F561&amp;"#"&amp;COUNTIF($F$4:$F561,$F561))</f>
        <v/>
      </c>
      <c r="AC561" s="40" t="str">
        <f aca="false">IF($B561="","",IF(AND(OR(CETAK!$J$10="",$F561=CETAK!$J$10),OR(CETAK!$J$11="",$G561=CETAK!$J$11),OR(CETAK!$J$12="",$P561=CETAK!$J$12),OR(CETAK!$J$13="",$N561=CETAK!$J$13),OR(CETAK!$J$14="",$T561=CETAK!$J$14)),MAX($AC$3:AC560)+1,""))</f>
        <v/>
      </c>
      <c r="AD561" s="40" t="str">
        <f aca="false">IF($B561="","",IF(AND(OR(ABSENSI!$H$10="",$F561=ABSENSI!$H$10),OR(ABSENSI!$H$11="",$G561=ABSENSI!$H$11),OR(ABSENSI!$H$12="",$P561=ABSENSI!$H$12)),MAX($AD$3:AD560)+1,""))</f>
        <v/>
      </c>
      <c r="AE561" s="40" t="str">
        <f aca="false">IF($B561="","",IF(AND(OR(KARTU!$K$6="",$F561=KARTU!$K$6),OR(KARTU!$K$7="",$G561=KARTU!$K$7),OR(KARTU!$K$8="",$P561=KARTU!$K$8)),MAX($AE$3:AE560)+1,""))</f>
        <v/>
      </c>
    </row>
    <row r="562" customFormat="false" ht="15" hidden="false" customHeight="false" outlineLevel="0" collapsed="false">
      <c r="A562" s="35" t="str">
        <f aca="false">IF($B562="","",COUNTA($B$4:$B562))</f>
        <v/>
      </c>
      <c r="B562" s="36"/>
      <c r="C562" s="37"/>
      <c r="D562" s="37"/>
      <c r="E562" s="38"/>
      <c r="F562" s="36"/>
      <c r="G562" s="39"/>
      <c r="H562" s="39"/>
      <c r="I562" s="36"/>
      <c r="J562" s="36"/>
      <c r="K562" s="36"/>
      <c r="L562" s="36"/>
      <c r="M562" s="40" t="str">
        <f aca="false">IF($F562="","",$F562&amp;IF($G562="",""," - RT "&amp;$G562&amp;IF($H562="","","/"&amp;$H562)))</f>
        <v/>
      </c>
      <c r="N562" s="36"/>
      <c r="O562" s="37"/>
      <c r="P562" s="39"/>
      <c r="Q562" s="41"/>
      <c r="R562" s="35" t="str">
        <f aca="true">IF(OR($B562="",$Q562=""),"",DATEDIF($Q562,TODAY(),"Y"))</f>
        <v/>
      </c>
      <c r="S562" s="40" t="str">
        <f aca="false">IF($R562="","",INDEX(usia_label,MATCH($R562,usia_min,1)))</f>
        <v/>
      </c>
      <c r="T562" s="36"/>
      <c r="U562" s="41"/>
      <c r="V562" s="36"/>
      <c r="W562" s="36"/>
      <c r="X562" s="40" t="str">
        <f aca="false">IF($M562="","",$M562&amp;"#"&amp;COUNTIF($M$4:$M562,$M562))</f>
        <v/>
      </c>
      <c r="Y562" s="40" t="str">
        <f aca="false">IF($B562="","",IF($C562="","NIK kosong",IF(LEN($C562)&lt;&gt;16,"NIK bukan 16 digit",IF(COUNTIF($C$4:$C$2003,$C562&amp;"*")&gt;1,"NIK ganda",IF(AND($D562&lt;&gt;"",LEN($D562)&lt;&gt;16),"No. KK bukan 16 digit",IF(AND($F562="",$I562=""),"Alamat kosong",IF($N562="","Jabatan kosong",IF($O562="","No. HP kosong",IF(AND($R562&lt;&gt;"",$R562&lt;17),"Usia di bawah 17","")))))))))</f>
        <v/>
      </c>
      <c r="Z562" s="40" t="str">
        <f aca="false">IF($B562="","",IF(AND(OR(CARI!$C$5="",ISNUMBER(SEARCH(CARI!$C$5,$B562&amp;" "&amp;$C562&amp;" "&amp;$D562&amp;" "&amp;$O562&amp;" "&amp;$I562&amp;" "&amp;$F562&amp;" "&amp;$J562&amp;" "&amp;$K562&amp;" "&amp;$L562&amp;" "&amp;$V562))),OR(CARI!$C$6="",$F562=CARI!$C$6),OR(CARI!$C$7="",$G562=CARI!$C$7),OR(CARI!$C$8="",$T562=CARI!$C$8)),MAX($Z$3:Z561)+1,""))</f>
        <v/>
      </c>
      <c r="AA562" s="40" t="str">
        <f aca="false">IF($Y562="","",MAX($AA$3:AA561)+1)</f>
        <v/>
      </c>
      <c r="AB562" s="40" t="str">
        <f aca="false">IF($F562="","",$F562&amp;"#"&amp;COUNTIF($F$4:$F562,$F562))</f>
        <v/>
      </c>
      <c r="AC562" s="40" t="str">
        <f aca="false">IF($B562="","",IF(AND(OR(CETAK!$J$10="",$F562=CETAK!$J$10),OR(CETAK!$J$11="",$G562=CETAK!$J$11),OR(CETAK!$J$12="",$P562=CETAK!$J$12),OR(CETAK!$J$13="",$N562=CETAK!$J$13),OR(CETAK!$J$14="",$T562=CETAK!$J$14)),MAX($AC$3:AC561)+1,""))</f>
        <v/>
      </c>
      <c r="AD562" s="40" t="str">
        <f aca="false">IF($B562="","",IF(AND(OR(ABSENSI!$H$10="",$F562=ABSENSI!$H$10),OR(ABSENSI!$H$11="",$G562=ABSENSI!$H$11),OR(ABSENSI!$H$12="",$P562=ABSENSI!$H$12)),MAX($AD$3:AD561)+1,""))</f>
        <v/>
      </c>
      <c r="AE562" s="40" t="str">
        <f aca="false">IF($B562="","",IF(AND(OR(KARTU!$K$6="",$F562=KARTU!$K$6),OR(KARTU!$K$7="",$G562=KARTU!$K$7),OR(KARTU!$K$8="",$P562=KARTU!$K$8)),MAX($AE$3:AE561)+1,""))</f>
        <v/>
      </c>
    </row>
    <row r="563" customFormat="false" ht="15" hidden="false" customHeight="false" outlineLevel="0" collapsed="false">
      <c r="A563" s="35" t="str">
        <f aca="false">IF($B563="","",COUNTA($B$4:$B563))</f>
        <v/>
      </c>
      <c r="B563" s="36"/>
      <c r="C563" s="37"/>
      <c r="D563" s="37"/>
      <c r="E563" s="38"/>
      <c r="F563" s="36"/>
      <c r="G563" s="39"/>
      <c r="H563" s="39"/>
      <c r="I563" s="36"/>
      <c r="J563" s="36"/>
      <c r="K563" s="36"/>
      <c r="L563" s="36"/>
      <c r="M563" s="40" t="str">
        <f aca="false">IF($F563="","",$F563&amp;IF($G563="",""," - RT "&amp;$G563&amp;IF($H563="","","/"&amp;$H563)))</f>
        <v/>
      </c>
      <c r="N563" s="36"/>
      <c r="O563" s="37"/>
      <c r="P563" s="39"/>
      <c r="Q563" s="41"/>
      <c r="R563" s="35" t="str">
        <f aca="true">IF(OR($B563="",$Q563=""),"",DATEDIF($Q563,TODAY(),"Y"))</f>
        <v/>
      </c>
      <c r="S563" s="40" t="str">
        <f aca="false">IF($R563="","",INDEX(usia_label,MATCH($R563,usia_min,1)))</f>
        <v/>
      </c>
      <c r="T563" s="36"/>
      <c r="U563" s="41"/>
      <c r="V563" s="36"/>
      <c r="W563" s="36"/>
      <c r="X563" s="40" t="str">
        <f aca="false">IF($M563="","",$M563&amp;"#"&amp;COUNTIF($M$4:$M563,$M563))</f>
        <v/>
      </c>
      <c r="Y563" s="40" t="str">
        <f aca="false">IF($B563="","",IF($C563="","NIK kosong",IF(LEN($C563)&lt;&gt;16,"NIK bukan 16 digit",IF(COUNTIF($C$4:$C$2003,$C563&amp;"*")&gt;1,"NIK ganda",IF(AND($D563&lt;&gt;"",LEN($D563)&lt;&gt;16),"No. KK bukan 16 digit",IF(AND($F563="",$I563=""),"Alamat kosong",IF($N563="","Jabatan kosong",IF($O563="","No. HP kosong",IF(AND($R563&lt;&gt;"",$R563&lt;17),"Usia di bawah 17","")))))))))</f>
        <v/>
      </c>
      <c r="Z563" s="40" t="str">
        <f aca="false">IF($B563="","",IF(AND(OR(CARI!$C$5="",ISNUMBER(SEARCH(CARI!$C$5,$B563&amp;" "&amp;$C563&amp;" "&amp;$D563&amp;" "&amp;$O563&amp;" "&amp;$I563&amp;" "&amp;$F563&amp;" "&amp;$J563&amp;" "&amp;$K563&amp;" "&amp;$L563&amp;" "&amp;$V563))),OR(CARI!$C$6="",$F563=CARI!$C$6),OR(CARI!$C$7="",$G563=CARI!$C$7),OR(CARI!$C$8="",$T563=CARI!$C$8)),MAX($Z$3:Z562)+1,""))</f>
        <v/>
      </c>
      <c r="AA563" s="40" t="str">
        <f aca="false">IF($Y563="","",MAX($AA$3:AA562)+1)</f>
        <v/>
      </c>
      <c r="AB563" s="40" t="str">
        <f aca="false">IF($F563="","",$F563&amp;"#"&amp;COUNTIF($F$4:$F563,$F563))</f>
        <v/>
      </c>
      <c r="AC563" s="40" t="str">
        <f aca="false">IF($B563="","",IF(AND(OR(CETAK!$J$10="",$F563=CETAK!$J$10),OR(CETAK!$J$11="",$G563=CETAK!$J$11),OR(CETAK!$J$12="",$P563=CETAK!$J$12),OR(CETAK!$J$13="",$N563=CETAK!$J$13),OR(CETAK!$J$14="",$T563=CETAK!$J$14)),MAX($AC$3:AC562)+1,""))</f>
        <v/>
      </c>
      <c r="AD563" s="40" t="str">
        <f aca="false">IF($B563="","",IF(AND(OR(ABSENSI!$H$10="",$F563=ABSENSI!$H$10),OR(ABSENSI!$H$11="",$G563=ABSENSI!$H$11),OR(ABSENSI!$H$12="",$P563=ABSENSI!$H$12)),MAX($AD$3:AD562)+1,""))</f>
        <v/>
      </c>
      <c r="AE563" s="40" t="str">
        <f aca="false">IF($B563="","",IF(AND(OR(KARTU!$K$6="",$F563=KARTU!$K$6),OR(KARTU!$K$7="",$G563=KARTU!$K$7),OR(KARTU!$K$8="",$P563=KARTU!$K$8)),MAX($AE$3:AE562)+1,""))</f>
        <v/>
      </c>
    </row>
    <row r="564" customFormat="false" ht="15" hidden="false" customHeight="false" outlineLevel="0" collapsed="false">
      <c r="A564" s="35" t="str">
        <f aca="false">IF($B564="","",COUNTA($B$4:$B564))</f>
        <v/>
      </c>
      <c r="B564" s="36"/>
      <c r="C564" s="37"/>
      <c r="D564" s="37"/>
      <c r="E564" s="38"/>
      <c r="F564" s="36"/>
      <c r="G564" s="39"/>
      <c r="H564" s="39"/>
      <c r="I564" s="36"/>
      <c r="J564" s="36"/>
      <c r="K564" s="36"/>
      <c r="L564" s="36"/>
      <c r="M564" s="40" t="str">
        <f aca="false">IF($F564="","",$F564&amp;IF($G564="",""," - RT "&amp;$G564&amp;IF($H564="","","/"&amp;$H564)))</f>
        <v/>
      </c>
      <c r="N564" s="36"/>
      <c r="O564" s="37"/>
      <c r="P564" s="39"/>
      <c r="Q564" s="41"/>
      <c r="R564" s="35" t="str">
        <f aca="true">IF(OR($B564="",$Q564=""),"",DATEDIF($Q564,TODAY(),"Y"))</f>
        <v/>
      </c>
      <c r="S564" s="40" t="str">
        <f aca="false">IF($R564="","",INDEX(usia_label,MATCH($R564,usia_min,1)))</f>
        <v/>
      </c>
      <c r="T564" s="36"/>
      <c r="U564" s="41"/>
      <c r="V564" s="36"/>
      <c r="W564" s="36"/>
      <c r="X564" s="40" t="str">
        <f aca="false">IF($M564="","",$M564&amp;"#"&amp;COUNTIF($M$4:$M564,$M564))</f>
        <v/>
      </c>
      <c r="Y564" s="40" t="str">
        <f aca="false">IF($B564="","",IF($C564="","NIK kosong",IF(LEN($C564)&lt;&gt;16,"NIK bukan 16 digit",IF(COUNTIF($C$4:$C$2003,$C564&amp;"*")&gt;1,"NIK ganda",IF(AND($D564&lt;&gt;"",LEN($D564)&lt;&gt;16),"No. KK bukan 16 digit",IF(AND($F564="",$I564=""),"Alamat kosong",IF($N564="","Jabatan kosong",IF($O564="","No. HP kosong",IF(AND($R564&lt;&gt;"",$R564&lt;17),"Usia di bawah 17","")))))))))</f>
        <v/>
      </c>
      <c r="Z564" s="40" t="str">
        <f aca="false">IF($B564="","",IF(AND(OR(CARI!$C$5="",ISNUMBER(SEARCH(CARI!$C$5,$B564&amp;" "&amp;$C564&amp;" "&amp;$D564&amp;" "&amp;$O564&amp;" "&amp;$I564&amp;" "&amp;$F564&amp;" "&amp;$J564&amp;" "&amp;$K564&amp;" "&amp;$L564&amp;" "&amp;$V564))),OR(CARI!$C$6="",$F564=CARI!$C$6),OR(CARI!$C$7="",$G564=CARI!$C$7),OR(CARI!$C$8="",$T564=CARI!$C$8)),MAX($Z$3:Z563)+1,""))</f>
        <v/>
      </c>
      <c r="AA564" s="40" t="str">
        <f aca="false">IF($Y564="","",MAX($AA$3:AA563)+1)</f>
        <v/>
      </c>
      <c r="AB564" s="40" t="str">
        <f aca="false">IF($F564="","",$F564&amp;"#"&amp;COUNTIF($F$4:$F564,$F564))</f>
        <v/>
      </c>
      <c r="AC564" s="40" t="str">
        <f aca="false">IF($B564="","",IF(AND(OR(CETAK!$J$10="",$F564=CETAK!$J$10),OR(CETAK!$J$11="",$G564=CETAK!$J$11),OR(CETAK!$J$12="",$P564=CETAK!$J$12),OR(CETAK!$J$13="",$N564=CETAK!$J$13),OR(CETAK!$J$14="",$T564=CETAK!$J$14)),MAX($AC$3:AC563)+1,""))</f>
        <v/>
      </c>
      <c r="AD564" s="40" t="str">
        <f aca="false">IF($B564="","",IF(AND(OR(ABSENSI!$H$10="",$F564=ABSENSI!$H$10),OR(ABSENSI!$H$11="",$G564=ABSENSI!$H$11),OR(ABSENSI!$H$12="",$P564=ABSENSI!$H$12)),MAX($AD$3:AD563)+1,""))</f>
        <v/>
      </c>
      <c r="AE564" s="40" t="str">
        <f aca="false">IF($B564="","",IF(AND(OR(KARTU!$K$6="",$F564=KARTU!$K$6),OR(KARTU!$K$7="",$G564=KARTU!$K$7),OR(KARTU!$K$8="",$P564=KARTU!$K$8)),MAX($AE$3:AE563)+1,""))</f>
        <v/>
      </c>
    </row>
    <row r="565" customFormat="false" ht="15" hidden="false" customHeight="false" outlineLevel="0" collapsed="false">
      <c r="A565" s="35" t="str">
        <f aca="false">IF($B565="","",COUNTA($B$4:$B565))</f>
        <v/>
      </c>
      <c r="B565" s="36"/>
      <c r="C565" s="37"/>
      <c r="D565" s="37"/>
      <c r="E565" s="38"/>
      <c r="F565" s="36"/>
      <c r="G565" s="39"/>
      <c r="H565" s="39"/>
      <c r="I565" s="36"/>
      <c r="J565" s="36"/>
      <c r="K565" s="36"/>
      <c r="L565" s="36"/>
      <c r="M565" s="40" t="str">
        <f aca="false">IF($F565="","",$F565&amp;IF($G565="",""," - RT "&amp;$G565&amp;IF($H565="","","/"&amp;$H565)))</f>
        <v/>
      </c>
      <c r="N565" s="36"/>
      <c r="O565" s="37"/>
      <c r="P565" s="39"/>
      <c r="Q565" s="41"/>
      <c r="R565" s="35" t="str">
        <f aca="true">IF(OR($B565="",$Q565=""),"",DATEDIF($Q565,TODAY(),"Y"))</f>
        <v/>
      </c>
      <c r="S565" s="40" t="str">
        <f aca="false">IF($R565="","",INDEX(usia_label,MATCH($R565,usia_min,1)))</f>
        <v/>
      </c>
      <c r="T565" s="36"/>
      <c r="U565" s="41"/>
      <c r="V565" s="36"/>
      <c r="W565" s="36"/>
      <c r="X565" s="40" t="str">
        <f aca="false">IF($M565="","",$M565&amp;"#"&amp;COUNTIF($M$4:$M565,$M565))</f>
        <v/>
      </c>
      <c r="Y565" s="40" t="str">
        <f aca="false">IF($B565="","",IF($C565="","NIK kosong",IF(LEN($C565)&lt;&gt;16,"NIK bukan 16 digit",IF(COUNTIF($C$4:$C$2003,$C565&amp;"*")&gt;1,"NIK ganda",IF(AND($D565&lt;&gt;"",LEN($D565)&lt;&gt;16),"No. KK bukan 16 digit",IF(AND($F565="",$I565=""),"Alamat kosong",IF($N565="","Jabatan kosong",IF($O565="","No. HP kosong",IF(AND($R565&lt;&gt;"",$R565&lt;17),"Usia di bawah 17","")))))))))</f>
        <v/>
      </c>
      <c r="Z565" s="40" t="str">
        <f aca="false">IF($B565="","",IF(AND(OR(CARI!$C$5="",ISNUMBER(SEARCH(CARI!$C$5,$B565&amp;" "&amp;$C565&amp;" "&amp;$D565&amp;" "&amp;$O565&amp;" "&amp;$I565&amp;" "&amp;$F565&amp;" "&amp;$J565&amp;" "&amp;$K565&amp;" "&amp;$L565&amp;" "&amp;$V565))),OR(CARI!$C$6="",$F565=CARI!$C$6),OR(CARI!$C$7="",$G565=CARI!$C$7),OR(CARI!$C$8="",$T565=CARI!$C$8)),MAX($Z$3:Z564)+1,""))</f>
        <v/>
      </c>
      <c r="AA565" s="40" t="str">
        <f aca="false">IF($Y565="","",MAX($AA$3:AA564)+1)</f>
        <v/>
      </c>
      <c r="AB565" s="40" t="str">
        <f aca="false">IF($F565="","",$F565&amp;"#"&amp;COUNTIF($F$4:$F565,$F565))</f>
        <v/>
      </c>
      <c r="AC565" s="40" t="str">
        <f aca="false">IF($B565="","",IF(AND(OR(CETAK!$J$10="",$F565=CETAK!$J$10),OR(CETAK!$J$11="",$G565=CETAK!$J$11),OR(CETAK!$J$12="",$P565=CETAK!$J$12),OR(CETAK!$J$13="",$N565=CETAK!$J$13),OR(CETAK!$J$14="",$T565=CETAK!$J$14)),MAX($AC$3:AC564)+1,""))</f>
        <v/>
      </c>
      <c r="AD565" s="40" t="str">
        <f aca="false">IF($B565="","",IF(AND(OR(ABSENSI!$H$10="",$F565=ABSENSI!$H$10),OR(ABSENSI!$H$11="",$G565=ABSENSI!$H$11),OR(ABSENSI!$H$12="",$P565=ABSENSI!$H$12)),MAX($AD$3:AD564)+1,""))</f>
        <v/>
      </c>
      <c r="AE565" s="40" t="str">
        <f aca="false">IF($B565="","",IF(AND(OR(KARTU!$K$6="",$F565=KARTU!$K$6),OR(KARTU!$K$7="",$G565=KARTU!$K$7),OR(KARTU!$K$8="",$P565=KARTU!$K$8)),MAX($AE$3:AE564)+1,""))</f>
        <v/>
      </c>
    </row>
    <row r="566" customFormat="false" ht="15" hidden="false" customHeight="false" outlineLevel="0" collapsed="false">
      <c r="A566" s="35" t="str">
        <f aca="false">IF($B566="","",COUNTA($B$4:$B566))</f>
        <v/>
      </c>
      <c r="B566" s="36"/>
      <c r="C566" s="37"/>
      <c r="D566" s="37"/>
      <c r="E566" s="38"/>
      <c r="F566" s="36"/>
      <c r="G566" s="39"/>
      <c r="H566" s="39"/>
      <c r="I566" s="36"/>
      <c r="J566" s="36"/>
      <c r="K566" s="36"/>
      <c r="L566" s="36"/>
      <c r="M566" s="40" t="str">
        <f aca="false">IF($F566="","",$F566&amp;IF($G566="",""," - RT "&amp;$G566&amp;IF($H566="","","/"&amp;$H566)))</f>
        <v/>
      </c>
      <c r="N566" s="36"/>
      <c r="O566" s="37"/>
      <c r="P566" s="39"/>
      <c r="Q566" s="41"/>
      <c r="R566" s="35" t="str">
        <f aca="true">IF(OR($B566="",$Q566=""),"",DATEDIF($Q566,TODAY(),"Y"))</f>
        <v/>
      </c>
      <c r="S566" s="40" t="str">
        <f aca="false">IF($R566="","",INDEX(usia_label,MATCH($R566,usia_min,1)))</f>
        <v/>
      </c>
      <c r="T566" s="36"/>
      <c r="U566" s="41"/>
      <c r="V566" s="36"/>
      <c r="W566" s="36"/>
      <c r="X566" s="40" t="str">
        <f aca="false">IF($M566="","",$M566&amp;"#"&amp;COUNTIF($M$4:$M566,$M566))</f>
        <v/>
      </c>
      <c r="Y566" s="40" t="str">
        <f aca="false">IF($B566="","",IF($C566="","NIK kosong",IF(LEN($C566)&lt;&gt;16,"NIK bukan 16 digit",IF(COUNTIF($C$4:$C$2003,$C566&amp;"*")&gt;1,"NIK ganda",IF(AND($D566&lt;&gt;"",LEN($D566)&lt;&gt;16),"No. KK bukan 16 digit",IF(AND($F566="",$I566=""),"Alamat kosong",IF($N566="","Jabatan kosong",IF($O566="","No. HP kosong",IF(AND($R566&lt;&gt;"",$R566&lt;17),"Usia di bawah 17","")))))))))</f>
        <v/>
      </c>
      <c r="Z566" s="40" t="str">
        <f aca="false">IF($B566="","",IF(AND(OR(CARI!$C$5="",ISNUMBER(SEARCH(CARI!$C$5,$B566&amp;" "&amp;$C566&amp;" "&amp;$D566&amp;" "&amp;$O566&amp;" "&amp;$I566&amp;" "&amp;$F566&amp;" "&amp;$J566&amp;" "&amp;$K566&amp;" "&amp;$L566&amp;" "&amp;$V566))),OR(CARI!$C$6="",$F566=CARI!$C$6),OR(CARI!$C$7="",$G566=CARI!$C$7),OR(CARI!$C$8="",$T566=CARI!$C$8)),MAX($Z$3:Z565)+1,""))</f>
        <v/>
      </c>
      <c r="AA566" s="40" t="str">
        <f aca="false">IF($Y566="","",MAX($AA$3:AA565)+1)</f>
        <v/>
      </c>
      <c r="AB566" s="40" t="str">
        <f aca="false">IF($F566="","",$F566&amp;"#"&amp;COUNTIF($F$4:$F566,$F566))</f>
        <v/>
      </c>
      <c r="AC566" s="40" t="str">
        <f aca="false">IF($B566="","",IF(AND(OR(CETAK!$J$10="",$F566=CETAK!$J$10),OR(CETAK!$J$11="",$G566=CETAK!$J$11),OR(CETAK!$J$12="",$P566=CETAK!$J$12),OR(CETAK!$J$13="",$N566=CETAK!$J$13),OR(CETAK!$J$14="",$T566=CETAK!$J$14)),MAX($AC$3:AC565)+1,""))</f>
        <v/>
      </c>
      <c r="AD566" s="40" t="str">
        <f aca="false">IF($B566="","",IF(AND(OR(ABSENSI!$H$10="",$F566=ABSENSI!$H$10),OR(ABSENSI!$H$11="",$G566=ABSENSI!$H$11),OR(ABSENSI!$H$12="",$P566=ABSENSI!$H$12)),MAX($AD$3:AD565)+1,""))</f>
        <v/>
      </c>
      <c r="AE566" s="40" t="str">
        <f aca="false">IF($B566="","",IF(AND(OR(KARTU!$K$6="",$F566=KARTU!$K$6),OR(KARTU!$K$7="",$G566=KARTU!$K$7),OR(KARTU!$K$8="",$P566=KARTU!$K$8)),MAX($AE$3:AE565)+1,""))</f>
        <v/>
      </c>
    </row>
    <row r="567" customFormat="false" ht="15" hidden="false" customHeight="false" outlineLevel="0" collapsed="false">
      <c r="A567" s="35" t="str">
        <f aca="false">IF($B567="","",COUNTA($B$4:$B567))</f>
        <v/>
      </c>
      <c r="B567" s="36"/>
      <c r="C567" s="37"/>
      <c r="D567" s="37"/>
      <c r="E567" s="38"/>
      <c r="F567" s="36"/>
      <c r="G567" s="39"/>
      <c r="H567" s="39"/>
      <c r="I567" s="36"/>
      <c r="J567" s="36"/>
      <c r="K567" s="36"/>
      <c r="L567" s="36"/>
      <c r="M567" s="40" t="str">
        <f aca="false">IF($F567="","",$F567&amp;IF($G567="",""," - RT "&amp;$G567&amp;IF($H567="","","/"&amp;$H567)))</f>
        <v/>
      </c>
      <c r="N567" s="36"/>
      <c r="O567" s="37"/>
      <c r="P567" s="39"/>
      <c r="Q567" s="41"/>
      <c r="R567" s="35" t="str">
        <f aca="true">IF(OR($B567="",$Q567=""),"",DATEDIF($Q567,TODAY(),"Y"))</f>
        <v/>
      </c>
      <c r="S567" s="40" t="str">
        <f aca="false">IF($R567="","",INDEX(usia_label,MATCH($R567,usia_min,1)))</f>
        <v/>
      </c>
      <c r="T567" s="36"/>
      <c r="U567" s="41"/>
      <c r="V567" s="36"/>
      <c r="W567" s="36"/>
      <c r="X567" s="40" t="str">
        <f aca="false">IF($M567="","",$M567&amp;"#"&amp;COUNTIF($M$4:$M567,$M567))</f>
        <v/>
      </c>
      <c r="Y567" s="40" t="str">
        <f aca="false">IF($B567="","",IF($C567="","NIK kosong",IF(LEN($C567)&lt;&gt;16,"NIK bukan 16 digit",IF(COUNTIF($C$4:$C$2003,$C567&amp;"*")&gt;1,"NIK ganda",IF(AND($D567&lt;&gt;"",LEN($D567)&lt;&gt;16),"No. KK bukan 16 digit",IF(AND($F567="",$I567=""),"Alamat kosong",IF($N567="","Jabatan kosong",IF($O567="","No. HP kosong",IF(AND($R567&lt;&gt;"",$R567&lt;17),"Usia di bawah 17","")))))))))</f>
        <v/>
      </c>
      <c r="Z567" s="40" t="str">
        <f aca="false">IF($B567="","",IF(AND(OR(CARI!$C$5="",ISNUMBER(SEARCH(CARI!$C$5,$B567&amp;" "&amp;$C567&amp;" "&amp;$D567&amp;" "&amp;$O567&amp;" "&amp;$I567&amp;" "&amp;$F567&amp;" "&amp;$J567&amp;" "&amp;$K567&amp;" "&amp;$L567&amp;" "&amp;$V567))),OR(CARI!$C$6="",$F567=CARI!$C$6),OR(CARI!$C$7="",$G567=CARI!$C$7),OR(CARI!$C$8="",$T567=CARI!$C$8)),MAX($Z$3:Z566)+1,""))</f>
        <v/>
      </c>
      <c r="AA567" s="40" t="str">
        <f aca="false">IF($Y567="","",MAX($AA$3:AA566)+1)</f>
        <v/>
      </c>
      <c r="AB567" s="40" t="str">
        <f aca="false">IF($F567="","",$F567&amp;"#"&amp;COUNTIF($F$4:$F567,$F567))</f>
        <v/>
      </c>
      <c r="AC567" s="40" t="str">
        <f aca="false">IF($B567="","",IF(AND(OR(CETAK!$J$10="",$F567=CETAK!$J$10),OR(CETAK!$J$11="",$G567=CETAK!$J$11),OR(CETAK!$J$12="",$P567=CETAK!$J$12),OR(CETAK!$J$13="",$N567=CETAK!$J$13),OR(CETAK!$J$14="",$T567=CETAK!$J$14)),MAX($AC$3:AC566)+1,""))</f>
        <v/>
      </c>
      <c r="AD567" s="40" t="str">
        <f aca="false">IF($B567="","",IF(AND(OR(ABSENSI!$H$10="",$F567=ABSENSI!$H$10),OR(ABSENSI!$H$11="",$G567=ABSENSI!$H$11),OR(ABSENSI!$H$12="",$P567=ABSENSI!$H$12)),MAX($AD$3:AD566)+1,""))</f>
        <v/>
      </c>
      <c r="AE567" s="40" t="str">
        <f aca="false">IF($B567="","",IF(AND(OR(KARTU!$K$6="",$F567=KARTU!$K$6),OR(KARTU!$K$7="",$G567=KARTU!$K$7),OR(KARTU!$K$8="",$P567=KARTU!$K$8)),MAX($AE$3:AE566)+1,""))</f>
        <v/>
      </c>
    </row>
    <row r="568" customFormat="false" ht="15" hidden="false" customHeight="false" outlineLevel="0" collapsed="false">
      <c r="A568" s="35" t="str">
        <f aca="false">IF($B568="","",COUNTA($B$4:$B568))</f>
        <v/>
      </c>
      <c r="B568" s="36"/>
      <c r="C568" s="37"/>
      <c r="D568" s="37"/>
      <c r="E568" s="38"/>
      <c r="F568" s="36"/>
      <c r="G568" s="39"/>
      <c r="H568" s="39"/>
      <c r="I568" s="36"/>
      <c r="J568" s="36"/>
      <c r="K568" s="36"/>
      <c r="L568" s="36"/>
      <c r="M568" s="40" t="str">
        <f aca="false">IF($F568="","",$F568&amp;IF($G568="",""," - RT "&amp;$G568&amp;IF($H568="","","/"&amp;$H568)))</f>
        <v/>
      </c>
      <c r="N568" s="36"/>
      <c r="O568" s="37"/>
      <c r="P568" s="39"/>
      <c r="Q568" s="41"/>
      <c r="R568" s="35" t="str">
        <f aca="true">IF(OR($B568="",$Q568=""),"",DATEDIF($Q568,TODAY(),"Y"))</f>
        <v/>
      </c>
      <c r="S568" s="40" t="str">
        <f aca="false">IF($R568="","",INDEX(usia_label,MATCH($R568,usia_min,1)))</f>
        <v/>
      </c>
      <c r="T568" s="36"/>
      <c r="U568" s="41"/>
      <c r="V568" s="36"/>
      <c r="W568" s="36"/>
      <c r="X568" s="40" t="str">
        <f aca="false">IF($M568="","",$M568&amp;"#"&amp;COUNTIF($M$4:$M568,$M568))</f>
        <v/>
      </c>
      <c r="Y568" s="40" t="str">
        <f aca="false">IF($B568="","",IF($C568="","NIK kosong",IF(LEN($C568)&lt;&gt;16,"NIK bukan 16 digit",IF(COUNTIF($C$4:$C$2003,$C568&amp;"*")&gt;1,"NIK ganda",IF(AND($D568&lt;&gt;"",LEN($D568)&lt;&gt;16),"No. KK bukan 16 digit",IF(AND($F568="",$I568=""),"Alamat kosong",IF($N568="","Jabatan kosong",IF($O568="","No. HP kosong",IF(AND($R568&lt;&gt;"",$R568&lt;17),"Usia di bawah 17","")))))))))</f>
        <v/>
      </c>
      <c r="Z568" s="40" t="str">
        <f aca="false">IF($B568="","",IF(AND(OR(CARI!$C$5="",ISNUMBER(SEARCH(CARI!$C$5,$B568&amp;" "&amp;$C568&amp;" "&amp;$D568&amp;" "&amp;$O568&amp;" "&amp;$I568&amp;" "&amp;$F568&amp;" "&amp;$J568&amp;" "&amp;$K568&amp;" "&amp;$L568&amp;" "&amp;$V568))),OR(CARI!$C$6="",$F568=CARI!$C$6),OR(CARI!$C$7="",$G568=CARI!$C$7),OR(CARI!$C$8="",$T568=CARI!$C$8)),MAX($Z$3:Z567)+1,""))</f>
        <v/>
      </c>
      <c r="AA568" s="40" t="str">
        <f aca="false">IF($Y568="","",MAX($AA$3:AA567)+1)</f>
        <v/>
      </c>
      <c r="AB568" s="40" t="str">
        <f aca="false">IF($F568="","",$F568&amp;"#"&amp;COUNTIF($F$4:$F568,$F568))</f>
        <v/>
      </c>
      <c r="AC568" s="40" t="str">
        <f aca="false">IF($B568="","",IF(AND(OR(CETAK!$J$10="",$F568=CETAK!$J$10),OR(CETAK!$J$11="",$G568=CETAK!$J$11),OR(CETAK!$J$12="",$P568=CETAK!$J$12),OR(CETAK!$J$13="",$N568=CETAK!$J$13),OR(CETAK!$J$14="",$T568=CETAK!$J$14)),MAX($AC$3:AC567)+1,""))</f>
        <v/>
      </c>
      <c r="AD568" s="40" t="str">
        <f aca="false">IF($B568="","",IF(AND(OR(ABSENSI!$H$10="",$F568=ABSENSI!$H$10),OR(ABSENSI!$H$11="",$G568=ABSENSI!$H$11),OR(ABSENSI!$H$12="",$P568=ABSENSI!$H$12)),MAX($AD$3:AD567)+1,""))</f>
        <v/>
      </c>
      <c r="AE568" s="40" t="str">
        <f aca="false">IF($B568="","",IF(AND(OR(KARTU!$K$6="",$F568=KARTU!$K$6),OR(KARTU!$K$7="",$G568=KARTU!$K$7),OR(KARTU!$K$8="",$P568=KARTU!$K$8)),MAX($AE$3:AE567)+1,""))</f>
        <v/>
      </c>
    </row>
    <row r="569" customFormat="false" ht="15" hidden="false" customHeight="false" outlineLevel="0" collapsed="false">
      <c r="A569" s="35" t="str">
        <f aca="false">IF($B569="","",COUNTA($B$4:$B569))</f>
        <v/>
      </c>
      <c r="B569" s="36"/>
      <c r="C569" s="37"/>
      <c r="D569" s="37"/>
      <c r="E569" s="38"/>
      <c r="F569" s="36"/>
      <c r="G569" s="39"/>
      <c r="H569" s="39"/>
      <c r="I569" s="36"/>
      <c r="J569" s="36"/>
      <c r="K569" s="36"/>
      <c r="L569" s="36"/>
      <c r="M569" s="40" t="str">
        <f aca="false">IF($F569="","",$F569&amp;IF($G569="",""," - RT "&amp;$G569&amp;IF($H569="","","/"&amp;$H569)))</f>
        <v/>
      </c>
      <c r="N569" s="36"/>
      <c r="O569" s="37"/>
      <c r="P569" s="39"/>
      <c r="Q569" s="41"/>
      <c r="R569" s="35" t="str">
        <f aca="true">IF(OR($B569="",$Q569=""),"",DATEDIF($Q569,TODAY(),"Y"))</f>
        <v/>
      </c>
      <c r="S569" s="40" t="str">
        <f aca="false">IF($R569="","",INDEX(usia_label,MATCH($R569,usia_min,1)))</f>
        <v/>
      </c>
      <c r="T569" s="36"/>
      <c r="U569" s="41"/>
      <c r="V569" s="36"/>
      <c r="W569" s="36"/>
      <c r="X569" s="40" t="str">
        <f aca="false">IF($M569="","",$M569&amp;"#"&amp;COUNTIF($M$4:$M569,$M569))</f>
        <v/>
      </c>
      <c r="Y569" s="40" t="str">
        <f aca="false">IF($B569="","",IF($C569="","NIK kosong",IF(LEN($C569)&lt;&gt;16,"NIK bukan 16 digit",IF(COUNTIF($C$4:$C$2003,$C569&amp;"*")&gt;1,"NIK ganda",IF(AND($D569&lt;&gt;"",LEN($D569)&lt;&gt;16),"No. KK bukan 16 digit",IF(AND($F569="",$I569=""),"Alamat kosong",IF($N569="","Jabatan kosong",IF($O569="","No. HP kosong",IF(AND($R569&lt;&gt;"",$R569&lt;17),"Usia di bawah 17","")))))))))</f>
        <v/>
      </c>
      <c r="Z569" s="40" t="str">
        <f aca="false">IF($B569="","",IF(AND(OR(CARI!$C$5="",ISNUMBER(SEARCH(CARI!$C$5,$B569&amp;" "&amp;$C569&amp;" "&amp;$D569&amp;" "&amp;$O569&amp;" "&amp;$I569&amp;" "&amp;$F569&amp;" "&amp;$J569&amp;" "&amp;$K569&amp;" "&amp;$L569&amp;" "&amp;$V569))),OR(CARI!$C$6="",$F569=CARI!$C$6),OR(CARI!$C$7="",$G569=CARI!$C$7),OR(CARI!$C$8="",$T569=CARI!$C$8)),MAX($Z$3:Z568)+1,""))</f>
        <v/>
      </c>
      <c r="AA569" s="40" t="str">
        <f aca="false">IF($Y569="","",MAX($AA$3:AA568)+1)</f>
        <v/>
      </c>
      <c r="AB569" s="40" t="str">
        <f aca="false">IF($F569="","",$F569&amp;"#"&amp;COUNTIF($F$4:$F569,$F569))</f>
        <v/>
      </c>
      <c r="AC569" s="40" t="str">
        <f aca="false">IF($B569="","",IF(AND(OR(CETAK!$J$10="",$F569=CETAK!$J$10),OR(CETAK!$J$11="",$G569=CETAK!$J$11),OR(CETAK!$J$12="",$P569=CETAK!$J$12),OR(CETAK!$J$13="",$N569=CETAK!$J$13),OR(CETAK!$J$14="",$T569=CETAK!$J$14)),MAX($AC$3:AC568)+1,""))</f>
        <v/>
      </c>
      <c r="AD569" s="40" t="str">
        <f aca="false">IF($B569="","",IF(AND(OR(ABSENSI!$H$10="",$F569=ABSENSI!$H$10),OR(ABSENSI!$H$11="",$G569=ABSENSI!$H$11),OR(ABSENSI!$H$12="",$P569=ABSENSI!$H$12)),MAX($AD$3:AD568)+1,""))</f>
        <v/>
      </c>
      <c r="AE569" s="40" t="str">
        <f aca="false">IF($B569="","",IF(AND(OR(KARTU!$K$6="",$F569=KARTU!$K$6),OR(KARTU!$K$7="",$G569=KARTU!$K$7),OR(KARTU!$K$8="",$P569=KARTU!$K$8)),MAX($AE$3:AE568)+1,""))</f>
        <v/>
      </c>
    </row>
    <row r="570" customFormat="false" ht="15" hidden="false" customHeight="false" outlineLevel="0" collapsed="false">
      <c r="A570" s="35" t="str">
        <f aca="false">IF($B570="","",COUNTA($B$4:$B570))</f>
        <v/>
      </c>
      <c r="B570" s="36"/>
      <c r="C570" s="37"/>
      <c r="D570" s="37"/>
      <c r="E570" s="38"/>
      <c r="F570" s="36"/>
      <c r="G570" s="39"/>
      <c r="H570" s="39"/>
      <c r="I570" s="36"/>
      <c r="J570" s="36"/>
      <c r="K570" s="36"/>
      <c r="L570" s="36"/>
      <c r="M570" s="40" t="str">
        <f aca="false">IF($F570="","",$F570&amp;IF($G570="",""," - RT "&amp;$G570&amp;IF($H570="","","/"&amp;$H570)))</f>
        <v/>
      </c>
      <c r="N570" s="36"/>
      <c r="O570" s="37"/>
      <c r="P570" s="39"/>
      <c r="Q570" s="41"/>
      <c r="R570" s="35" t="str">
        <f aca="true">IF(OR($B570="",$Q570=""),"",DATEDIF($Q570,TODAY(),"Y"))</f>
        <v/>
      </c>
      <c r="S570" s="40" t="str">
        <f aca="false">IF($R570="","",INDEX(usia_label,MATCH($R570,usia_min,1)))</f>
        <v/>
      </c>
      <c r="T570" s="36"/>
      <c r="U570" s="41"/>
      <c r="V570" s="36"/>
      <c r="W570" s="36"/>
      <c r="X570" s="40" t="str">
        <f aca="false">IF($M570="","",$M570&amp;"#"&amp;COUNTIF($M$4:$M570,$M570))</f>
        <v/>
      </c>
      <c r="Y570" s="40" t="str">
        <f aca="false">IF($B570="","",IF($C570="","NIK kosong",IF(LEN($C570)&lt;&gt;16,"NIK bukan 16 digit",IF(COUNTIF($C$4:$C$2003,$C570&amp;"*")&gt;1,"NIK ganda",IF(AND($D570&lt;&gt;"",LEN($D570)&lt;&gt;16),"No. KK bukan 16 digit",IF(AND($F570="",$I570=""),"Alamat kosong",IF($N570="","Jabatan kosong",IF($O570="","No. HP kosong",IF(AND($R570&lt;&gt;"",$R570&lt;17),"Usia di bawah 17","")))))))))</f>
        <v/>
      </c>
      <c r="Z570" s="40" t="str">
        <f aca="false">IF($B570="","",IF(AND(OR(CARI!$C$5="",ISNUMBER(SEARCH(CARI!$C$5,$B570&amp;" "&amp;$C570&amp;" "&amp;$D570&amp;" "&amp;$O570&amp;" "&amp;$I570&amp;" "&amp;$F570&amp;" "&amp;$J570&amp;" "&amp;$K570&amp;" "&amp;$L570&amp;" "&amp;$V570))),OR(CARI!$C$6="",$F570=CARI!$C$6),OR(CARI!$C$7="",$G570=CARI!$C$7),OR(CARI!$C$8="",$T570=CARI!$C$8)),MAX($Z$3:Z569)+1,""))</f>
        <v/>
      </c>
      <c r="AA570" s="40" t="str">
        <f aca="false">IF($Y570="","",MAX($AA$3:AA569)+1)</f>
        <v/>
      </c>
      <c r="AB570" s="40" t="str">
        <f aca="false">IF($F570="","",$F570&amp;"#"&amp;COUNTIF($F$4:$F570,$F570))</f>
        <v/>
      </c>
      <c r="AC570" s="40" t="str">
        <f aca="false">IF($B570="","",IF(AND(OR(CETAK!$J$10="",$F570=CETAK!$J$10),OR(CETAK!$J$11="",$G570=CETAK!$J$11),OR(CETAK!$J$12="",$P570=CETAK!$J$12),OR(CETAK!$J$13="",$N570=CETAK!$J$13),OR(CETAK!$J$14="",$T570=CETAK!$J$14)),MAX($AC$3:AC569)+1,""))</f>
        <v/>
      </c>
      <c r="AD570" s="40" t="str">
        <f aca="false">IF($B570="","",IF(AND(OR(ABSENSI!$H$10="",$F570=ABSENSI!$H$10),OR(ABSENSI!$H$11="",$G570=ABSENSI!$H$11),OR(ABSENSI!$H$12="",$P570=ABSENSI!$H$12)),MAX($AD$3:AD569)+1,""))</f>
        <v/>
      </c>
      <c r="AE570" s="40" t="str">
        <f aca="false">IF($B570="","",IF(AND(OR(KARTU!$K$6="",$F570=KARTU!$K$6),OR(KARTU!$K$7="",$G570=KARTU!$K$7),OR(KARTU!$K$8="",$P570=KARTU!$K$8)),MAX($AE$3:AE569)+1,""))</f>
        <v/>
      </c>
    </row>
    <row r="571" customFormat="false" ht="15" hidden="false" customHeight="false" outlineLevel="0" collapsed="false">
      <c r="A571" s="35" t="str">
        <f aca="false">IF($B571="","",COUNTA($B$4:$B571))</f>
        <v/>
      </c>
      <c r="B571" s="36"/>
      <c r="C571" s="37"/>
      <c r="D571" s="37"/>
      <c r="E571" s="38"/>
      <c r="F571" s="36"/>
      <c r="G571" s="39"/>
      <c r="H571" s="39"/>
      <c r="I571" s="36"/>
      <c r="J571" s="36"/>
      <c r="K571" s="36"/>
      <c r="L571" s="36"/>
      <c r="M571" s="40" t="str">
        <f aca="false">IF($F571="","",$F571&amp;IF($G571="",""," - RT "&amp;$G571&amp;IF($H571="","","/"&amp;$H571)))</f>
        <v/>
      </c>
      <c r="N571" s="36"/>
      <c r="O571" s="37"/>
      <c r="P571" s="39"/>
      <c r="Q571" s="41"/>
      <c r="R571" s="35" t="str">
        <f aca="true">IF(OR($B571="",$Q571=""),"",DATEDIF($Q571,TODAY(),"Y"))</f>
        <v/>
      </c>
      <c r="S571" s="40" t="str">
        <f aca="false">IF($R571="","",INDEX(usia_label,MATCH($R571,usia_min,1)))</f>
        <v/>
      </c>
      <c r="T571" s="36"/>
      <c r="U571" s="41"/>
      <c r="V571" s="36"/>
      <c r="W571" s="36"/>
      <c r="X571" s="40" t="str">
        <f aca="false">IF($M571="","",$M571&amp;"#"&amp;COUNTIF($M$4:$M571,$M571))</f>
        <v/>
      </c>
      <c r="Y571" s="40" t="str">
        <f aca="false">IF($B571="","",IF($C571="","NIK kosong",IF(LEN($C571)&lt;&gt;16,"NIK bukan 16 digit",IF(COUNTIF($C$4:$C$2003,$C571&amp;"*")&gt;1,"NIK ganda",IF(AND($D571&lt;&gt;"",LEN($D571)&lt;&gt;16),"No. KK bukan 16 digit",IF(AND($F571="",$I571=""),"Alamat kosong",IF($N571="","Jabatan kosong",IF($O571="","No. HP kosong",IF(AND($R571&lt;&gt;"",$R571&lt;17),"Usia di bawah 17","")))))))))</f>
        <v/>
      </c>
      <c r="Z571" s="40" t="str">
        <f aca="false">IF($B571="","",IF(AND(OR(CARI!$C$5="",ISNUMBER(SEARCH(CARI!$C$5,$B571&amp;" "&amp;$C571&amp;" "&amp;$D571&amp;" "&amp;$O571&amp;" "&amp;$I571&amp;" "&amp;$F571&amp;" "&amp;$J571&amp;" "&amp;$K571&amp;" "&amp;$L571&amp;" "&amp;$V571))),OR(CARI!$C$6="",$F571=CARI!$C$6),OR(CARI!$C$7="",$G571=CARI!$C$7),OR(CARI!$C$8="",$T571=CARI!$C$8)),MAX($Z$3:Z570)+1,""))</f>
        <v/>
      </c>
      <c r="AA571" s="40" t="str">
        <f aca="false">IF($Y571="","",MAX($AA$3:AA570)+1)</f>
        <v/>
      </c>
      <c r="AB571" s="40" t="str">
        <f aca="false">IF($F571="","",$F571&amp;"#"&amp;COUNTIF($F$4:$F571,$F571))</f>
        <v/>
      </c>
      <c r="AC571" s="40" t="str">
        <f aca="false">IF($B571="","",IF(AND(OR(CETAK!$J$10="",$F571=CETAK!$J$10),OR(CETAK!$J$11="",$G571=CETAK!$J$11),OR(CETAK!$J$12="",$P571=CETAK!$J$12),OR(CETAK!$J$13="",$N571=CETAK!$J$13),OR(CETAK!$J$14="",$T571=CETAK!$J$14)),MAX($AC$3:AC570)+1,""))</f>
        <v/>
      </c>
      <c r="AD571" s="40" t="str">
        <f aca="false">IF($B571="","",IF(AND(OR(ABSENSI!$H$10="",$F571=ABSENSI!$H$10),OR(ABSENSI!$H$11="",$G571=ABSENSI!$H$11),OR(ABSENSI!$H$12="",$P571=ABSENSI!$H$12)),MAX($AD$3:AD570)+1,""))</f>
        <v/>
      </c>
      <c r="AE571" s="40" t="str">
        <f aca="false">IF($B571="","",IF(AND(OR(KARTU!$K$6="",$F571=KARTU!$K$6),OR(KARTU!$K$7="",$G571=KARTU!$K$7),OR(KARTU!$K$8="",$P571=KARTU!$K$8)),MAX($AE$3:AE570)+1,""))</f>
        <v/>
      </c>
    </row>
    <row r="572" customFormat="false" ht="15" hidden="false" customHeight="false" outlineLevel="0" collapsed="false">
      <c r="A572" s="35" t="str">
        <f aca="false">IF($B572="","",COUNTA($B$4:$B572))</f>
        <v/>
      </c>
      <c r="B572" s="36"/>
      <c r="C572" s="37"/>
      <c r="D572" s="37"/>
      <c r="E572" s="38"/>
      <c r="F572" s="36"/>
      <c r="G572" s="39"/>
      <c r="H572" s="39"/>
      <c r="I572" s="36"/>
      <c r="J572" s="36"/>
      <c r="K572" s="36"/>
      <c r="L572" s="36"/>
      <c r="M572" s="40" t="str">
        <f aca="false">IF($F572="","",$F572&amp;IF($G572="",""," - RT "&amp;$G572&amp;IF($H572="","","/"&amp;$H572)))</f>
        <v/>
      </c>
      <c r="N572" s="36"/>
      <c r="O572" s="37"/>
      <c r="P572" s="39"/>
      <c r="Q572" s="41"/>
      <c r="R572" s="35" t="str">
        <f aca="true">IF(OR($B572="",$Q572=""),"",DATEDIF($Q572,TODAY(),"Y"))</f>
        <v/>
      </c>
      <c r="S572" s="40" t="str">
        <f aca="false">IF($R572="","",INDEX(usia_label,MATCH($R572,usia_min,1)))</f>
        <v/>
      </c>
      <c r="T572" s="36"/>
      <c r="U572" s="41"/>
      <c r="V572" s="36"/>
      <c r="W572" s="36"/>
      <c r="X572" s="40" t="str">
        <f aca="false">IF($M572="","",$M572&amp;"#"&amp;COUNTIF($M$4:$M572,$M572))</f>
        <v/>
      </c>
      <c r="Y572" s="40" t="str">
        <f aca="false">IF($B572="","",IF($C572="","NIK kosong",IF(LEN($C572)&lt;&gt;16,"NIK bukan 16 digit",IF(COUNTIF($C$4:$C$2003,$C572&amp;"*")&gt;1,"NIK ganda",IF(AND($D572&lt;&gt;"",LEN($D572)&lt;&gt;16),"No. KK bukan 16 digit",IF(AND($F572="",$I572=""),"Alamat kosong",IF($N572="","Jabatan kosong",IF($O572="","No. HP kosong",IF(AND($R572&lt;&gt;"",$R572&lt;17),"Usia di bawah 17","")))))))))</f>
        <v/>
      </c>
      <c r="Z572" s="40" t="str">
        <f aca="false">IF($B572="","",IF(AND(OR(CARI!$C$5="",ISNUMBER(SEARCH(CARI!$C$5,$B572&amp;" "&amp;$C572&amp;" "&amp;$D572&amp;" "&amp;$O572&amp;" "&amp;$I572&amp;" "&amp;$F572&amp;" "&amp;$J572&amp;" "&amp;$K572&amp;" "&amp;$L572&amp;" "&amp;$V572))),OR(CARI!$C$6="",$F572=CARI!$C$6),OR(CARI!$C$7="",$G572=CARI!$C$7),OR(CARI!$C$8="",$T572=CARI!$C$8)),MAX($Z$3:Z571)+1,""))</f>
        <v/>
      </c>
      <c r="AA572" s="40" t="str">
        <f aca="false">IF($Y572="","",MAX($AA$3:AA571)+1)</f>
        <v/>
      </c>
      <c r="AB572" s="40" t="str">
        <f aca="false">IF($F572="","",$F572&amp;"#"&amp;COUNTIF($F$4:$F572,$F572))</f>
        <v/>
      </c>
      <c r="AC572" s="40" t="str">
        <f aca="false">IF($B572="","",IF(AND(OR(CETAK!$J$10="",$F572=CETAK!$J$10),OR(CETAK!$J$11="",$G572=CETAK!$J$11),OR(CETAK!$J$12="",$P572=CETAK!$J$12),OR(CETAK!$J$13="",$N572=CETAK!$J$13),OR(CETAK!$J$14="",$T572=CETAK!$J$14)),MAX($AC$3:AC571)+1,""))</f>
        <v/>
      </c>
      <c r="AD572" s="40" t="str">
        <f aca="false">IF($B572="","",IF(AND(OR(ABSENSI!$H$10="",$F572=ABSENSI!$H$10),OR(ABSENSI!$H$11="",$G572=ABSENSI!$H$11),OR(ABSENSI!$H$12="",$P572=ABSENSI!$H$12)),MAX($AD$3:AD571)+1,""))</f>
        <v/>
      </c>
      <c r="AE572" s="40" t="str">
        <f aca="false">IF($B572="","",IF(AND(OR(KARTU!$K$6="",$F572=KARTU!$K$6),OR(KARTU!$K$7="",$G572=KARTU!$K$7),OR(KARTU!$K$8="",$P572=KARTU!$K$8)),MAX($AE$3:AE571)+1,""))</f>
        <v/>
      </c>
    </row>
    <row r="573" customFormat="false" ht="15" hidden="false" customHeight="false" outlineLevel="0" collapsed="false">
      <c r="A573" s="35" t="str">
        <f aca="false">IF($B573="","",COUNTA($B$4:$B573))</f>
        <v/>
      </c>
      <c r="B573" s="36"/>
      <c r="C573" s="37"/>
      <c r="D573" s="37"/>
      <c r="E573" s="38"/>
      <c r="F573" s="36"/>
      <c r="G573" s="39"/>
      <c r="H573" s="39"/>
      <c r="I573" s="36"/>
      <c r="J573" s="36"/>
      <c r="K573" s="36"/>
      <c r="L573" s="36"/>
      <c r="M573" s="40" t="str">
        <f aca="false">IF($F573="","",$F573&amp;IF($G573="",""," - RT "&amp;$G573&amp;IF($H573="","","/"&amp;$H573)))</f>
        <v/>
      </c>
      <c r="N573" s="36"/>
      <c r="O573" s="37"/>
      <c r="P573" s="39"/>
      <c r="Q573" s="41"/>
      <c r="R573" s="35" t="str">
        <f aca="true">IF(OR($B573="",$Q573=""),"",DATEDIF($Q573,TODAY(),"Y"))</f>
        <v/>
      </c>
      <c r="S573" s="40" t="str">
        <f aca="false">IF($R573="","",INDEX(usia_label,MATCH($R573,usia_min,1)))</f>
        <v/>
      </c>
      <c r="T573" s="36"/>
      <c r="U573" s="41"/>
      <c r="V573" s="36"/>
      <c r="W573" s="36"/>
      <c r="X573" s="40" t="str">
        <f aca="false">IF($M573="","",$M573&amp;"#"&amp;COUNTIF($M$4:$M573,$M573))</f>
        <v/>
      </c>
      <c r="Y573" s="40" t="str">
        <f aca="false">IF($B573="","",IF($C573="","NIK kosong",IF(LEN($C573)&lt;&gt;16,"NIK bukan 16 digit",IF(COUNTIF($C$4:$C$2003,$C573&amp;"*")&gt;1,"NIK ganda",IF(AND($D573&lt;&gt;"",LEN($D573)&lt;&gt;16),"No. KK bukan 16 digit",IF(AND($F573="",$I573=""),"Alamat kosong",IF($N573="","Jabatan kosong",IF($O573="","No. HP kosong",IF(AND($R573&lt;&gt;"",$R573&lt;17),"Usia di bawah 17","")))))))))</f>
        <v/>
      </c>
      <c r="Z573" s="40" t="str">
        <f aca="false">IF($B573="","",IF(AND(OR(CARI!$C$5="",ISNUMBER(SEARCH(CARI!$C$5,$B573&amp;" "&amp;$C573&amp;" "&amp;$D573&amp;" "&amp;$O573&amp;" "&amp;$I573&amp;" "&amp;$F573&amp;" "&amp;$J573&amp;" "&amp;$K573&amp;" "&amp;$L573&amp;" "&amp;$V573))),OR(CARI!$C$6="",$F573=CARI!$C$6),OR(CARI!$C$7="",$G573=CARI!$C$7),OR(CARI!$C$8="",$T573=CARI!$C$8)),MAX($Z$3:Z572)+1,""))</f>
        <v/>
      </c>
      <c r="AA573" s="40" t="str">
        <f aca="false">IF($Y573="","",MAX($AA$3:AA572)+1)</f>
        <v/>
      </c>
      <c r="AB573" s="40" t="str">
        <f aca="false">IF($F573="","",$F573&amp;"#"&amp;COUNTIF($F$4:$F573,$F573))</f>
        <v/>
      </c>
      <c r="AC573" s="40" t="str">
        <f aca="false">IF($B573="","",IF(AND(OR(CETAK!$J$10="",$F573=CETAK!$J$10),OR(CETAK!$J$11="",$G573=CETAK!$J$11),OR(CETAK!$J$12="",$P573=CETAK!$J$12),OR(CETAK!$J$13="",$N573=CETAK!$J$13),OR(CETAK!$J$14="",$T573=CETAK!$J$14)),MAX($AC$3:AC572)+1,""))</f>
        <v/>
      </c>
      <c r="AD573" s="40" t="str">
        <f aca="false">IF($B573="","",IF(AND(OR(ABSENSI!$H$10="",$F573=ABSENSI!$H$10),OR(ABSENSI!$H$11="",$G573=ABSENSI!$H$11),OR(ABSENSI!$H$12="",$P573=ABSENSI!$H$12)),MAX($AD$3:AD572)+1,""))</f>
        <v/>
      </c>
      <c r="AE573" s="40" t="str">
        <f aca="false">IF($B573="","",IF(AND(OR(KARTU!$K$6="",$F573=KARTU!$K$6),OR(KARTU!$K$7="",$G573=KARTU!$K$7),OR(KARTU!$K$8="",$P573=KARTU!$K$8)),MAX($AE$3:AE572)+1,""))</f>
        <v/>
      </c>
    </row>
    <row r="574" customFormat="false" ht="15" hidden="false" customHeight="false" outlineLevel="0" collapsed="false">
      <c r="A574" s="35" t="str">
        <f aca="false">IF($B574="","",COUNTA($B$4:$B574))</f>
        <v/>
      </c>
      <c r="B574" s="36"/>
      <c r="C574" s="37"/>
      <c r="D574" s="37"/>
      <c r="E574" s="38"/>
      <c r="F574" s="36"/>
      <c r="G574" s="39"/>
      <c r="H574" s="39"/>
      <c r="I574" s="36"/>
      <c r="J574" s="36"/>
      <c r="K574" s="36"/>
      <c r="L574" s="36"/>
      <c r="M574" s="40" t="str">
        <f aca="false">IF($F574="","",$F574&amp;IF($G574="",""," - RT "&amp;$G574&amp;IF($H574="","","/"&amp;$H574)))</f>
        <v/>
      </c>
      <c r="N574" s="36"/>
      <c r="O574" s="37"/>
      <c r="P574" s="39"/>
      <c r="Q574" s="41"/>
      <c r="R574" s="35" t="str">
        <f aca="true">IF(OR($B574="",$Q574=""),"",DATEDIF($Q574,TODAY(),"Y"))</f>
        <v/>
      </c>
      <c r="S574" s="40" t="str">
        <f aca="false">IF($R574="","",INDEX(usia_label,MATCH($R574,usia_min,1)))</f>
        <v/>
      </c>
      <c r="T574" s="36"/>
      <c r="U574" s="41"/>
      <c r="V574" s="36"/>
      <c r="W574" s="36"/>
      <c r="X574" s="40" t="str">
        <f aca="false">IF($M574="","",$M574&amp;"#"&amp;COUNTIF($M$4:$M574,$M574))</f>
        <v/>
      </c>
      <c r="Y574" s="40" t="str">
        <f aca="false">IF($B574="","",IF($C574="","NIK kosong",IF(LEN($C574)&lt;&gt;16,"NIK bukan 16 digit",IF(COUNTIF($C$4:$C$2003,$C574&amp;"*")&gt;1,"NIK ganda",IF(AND($D574&lt;&gt;"",LEN($D574)&lt;&gt;16),"No. KK bukan 16 digit",IF(AND($F574="",$I574=""),"Alamat kosong",IF($N574="","Jabatan kosong",IF($O574="","No. HP kosong",IF(AND($R574&lt;&gt;"",$R574&lt;17),"Usia di bawah 17","")))))))))</f>
        <v/>
      </c>
      <c r="Z574" s="40" t="str">
        <f aca="false">IF($B574="","",IF(AND(OR(CARI!$C$5="",ISNUMBER(SEARCH(CARI!$C$5,$B574&amp;" "&amp;$C574&amp;" "&amp;$D574&amp;" "&amp;$O574&amp;" "&amp;$I574&amp;" "&amp;$F574&amp;" "&amp;$J574&amp;" "&amp;$K574&amp;" "&amp;$L574&amp;" "&amp;$V574))),OR(CARI!$C$6="",$F574=CARI!$C$6),OR(CARI!$C$7="",$G574=CARI!$C$7),OR(CARI!$C$8="",$T574=CARI!$C$8)),MAX($Z$3:Z573)+1,""))</f>
        <v/>
      </c>
      <c r="AA574" s="40" t="str">
        <f aca="false">IF($Y574="","",MAX($AA$3:AA573)+1)</f>
        <v/>
      </c>
      <c r="AB574" s="40" t="str">
        <f aca="false">IF($F574="","",$F574&amp;"#"&amp;COUNTIF($F$4:$F574,$F574))</f>
        <v/>
      </c>
      <c r="AC574" s="40" t="str">
        <f aca="false">IF($B574="","",IF(AND(OR(CETAK!$J$10="",$F574=CETAK!$J$10),OR(CETAK!$J$11="",$G574=CETAK!$J$11),OR(CETAK!$J$12="",$P574=CETAK!$J$12),OR(CETAK!$J$13="",$N574=CETAK!$J$13),OR(CETAK!$J$14="",$T574=CETAK!$J$14)),MAX($AC$3:AC573)+1,""))</f>
        <v/>
      </c>
      <c r="AD574" s="40" t="str">
        <f aca="false">IF($B574="","",IF(AND(OR(ABSENSI!$H$10="",$F574=ABSENSI!$H$10),OR(ABSENSI!$H$11="",$G574=ABSENSI!$H$11),OR(ABSENSI!$H$12="",$P574=ABSENSI!$H$12)),MAX($AD$3:AD573)+1,""))</f>
        <v/>
      </c>
      <c r="AE574" s="40" t="str">
        <f aca="false">IF($B574="","",IF(AND(OR(KARTU!$K$6="",$F574=KARTU!$K$6),OR(KARTU!$K$7="",$G574=KARTU!$K$7),OR(KARTU!$K$8="",$P574=KARTU!$K$8)),MAX($AE$3:AE573)+1,""))</f>
        <v/>
      </c>
    </row>
    <row r="575" customFormat="false" ht="15" hidden="false" customHeight="false" outlineLevel="0" collapsed="false">
      <c r="A575" s="35" t="str">
        <f aca="false">IF($B575="","",COUNTA($B$4:$B575))</f>
        <v/>
      </c>
      <c r="B575" s="36"/>
      <c r="C575" s="37"/>
      <c r="D575" s="37"/>
      <c r="E575" s="38"/>
      <c r="F575" s="36"/>
      <c r="G575" s="39"/>
      <c r="H575" s="39"/>
      <c r="I575" s="36"/>
      <c r="J575" s="36"/>
      <c r="K575" s="36"/>
      <c r="L575" s="36"/>
      <c r="M575" s="40" t="str">
        <f aca="false">IF($F575="","",$F575&amp;IF($G575="",""," - RT "&amp;$G575&amp;IF($H575="","","/"&amp;$H575)))</f>
        <v/>
      </c>
      <c r="N575" s="36"/>
      <c r="O575" s="37"/>
      <c r="P575" s="39"/>
      <c r="Q575" s="41"/>
      <c r="R575" s="35" t="str">
        <f aca="true">IF(OR($B575="",$Q575=""),"",DATEDIF($Q575,TODAY(),"Y"))</f>
        <v/>
      </c>
      <c r="S575" s="40" t="str">
        <f aca="false">IF($R575="","",INDEX(usia_label,MATCH($R575,usia_min,1)))</f>
        <v/>
      </c>
      <c r="T575" s="36"/>
      <c r="U575" s="41"/>
      <c r="V575" s="36"/>
      <c r="W575" s="36"/>
      <c r="X575" s="40" t="str">
        <f aca="false">IF($M575="","",$M575&amp;"#"&amp;COUNTIF($M$4:$M575,$M575))</f>
        <v/>
      </c>
      <c r="Y575" s="40" t="str">
        <f aca="false">IF($B575="","",IF($C575="","NIK kosong",IF(LEN($C575)&lt;&gt;16,"NIK bukan 16 digit",IF(COUNTIF($C$4:$C$2003,$C575&amp;"*")&gt;1,"NIK ganda",IF(AND($D575&lt;&gt;"",LEN($D575)&lt;&gt;16),"No. KK bukan 16 digit",IF(AND($F575="",$I575=""),"Alamat kosong",IF($N575="","Jabatan kosong",IF($O575="","No. HP kosong",IF(AND($R575&lt;&gt;"",$R575&lt;17),"Usia di bawah 17","")))))))))</f>
        <v/>
      </c>
      <c r="Z575" s="40" t="str">
        <f aca="false">IF($B575="","",IF(AND(OR(CARI!$C$5="",ISNUMBER(SEARCH(CARI!$C$5,$B575&amp;" "&amp;$C575&amp;" "&amp;$D575&amp;" "&amp;$O575&amp;" "&amp;$I575&amp;" "&amp;$F575&amp;" "&amp;$J575&amp;" "&amp;$K575&amp;" "&amp;$L575&amp;" "&amp;$V575))),OR(CARI!$C$6="",$F575=CARI!$C$6),OR(CARI!$C$7="",$G575=CARI!$C$7),OR(CARI!$C$8="",$T575=CARI!$C$8)),MAX($Z$3:Z574)+1,""))</f>
        <v/>
      </c>
      <c r="AA575" s="40" t="str">
        <f aca="false">IF($Y575="","",MAX($AA$3:AA574)+1)</f>
        <v/>
      </c>
      <c r="AB575" s="40" t="str">
        <f aca="false">IF($F575="","",$F575&amp;"#"&amp;COUNTIF($F$4:$F575,$F575))</f>
        <v/>
      </c>
      <c r="AC575" s="40" t="str">
        <f aca="false">IF($B575="","",IF(AND(OR(CETAK!$J$10="",$F575=CETAK!$J$10),OR(CETAK!$J$11="",$G575=CETAK!$J$11),OR(CETAK!$J$12="",$P575=CETAK!$J$12),OR(CETAK!$J$13="",$N575=CETAK!$J$13),OR(CETAK!$J$14="",$T575=CETAK!$J$14)),MAX($AC$3:AC574)+1,""))</f>
        <v/>
      </c>
      <c r="AD575" s="40" t="str">
        <f aca="false">IF($B575="","",IF(AND(OR(ABSENSI!$H$10="",$F575=ABSENSI!$H$10),OR(ABSENSI!$H$11="",$G575=ABSENSI!$H$11),OR(ABSENSI!$H$12="",$P575=ABSENSI!$H$12)),MAX($AD$3:AD574)+1,""))</f>
        <v/>
      </c>
      <c r="AE575" s="40" t="str">
        <f aca="false">IF($B575="","",IF(AND(OR(KARTU!$K$6="",$F575=KARTU!$K$6),OR(KARTU!$K$7="",$G575=KARTU!$K$7),OR(KARTU!$K$8="",$P575=KARTU!$K$8)),MAX($AE$3:AE574)+1,""))</f>
        <v/>
      </c>
    </row>
    <row r="576" customFormat="false" ht="15" hidden="false" customHeight="false" outlineLevel="0" collapsed="false">
      <c r="A576" s="35" t="str">
        <f aca="false">IF($B576="","",COUNTA($B$4:$B576))</f>
        <v/>
      </c>
      <c r="B576" s="36"/>
      <c r="C576" s="37"/>
      <c r="D576" s="37"/>
      <c r="E576" s="38"/>
      <c r="F576" s="36"/>
      <c r="G576" s="39"/>
      <c r="H576" s="39"/>
      <c r="I576" s="36"/>
      <c r="J576" s="36"/>
      <c r="K576" s="36"/>
      <c r="L576" s="36"/>
      <c r="M576" s="40" t="str">
        <f aca="false">IF($F576="","",$F576&amp;IF($G576="",""," - RT "&amp;$G576&amp;IF($H576="","","/"&amp;$H576)))</f>
        <v/>
      </c>
      <c r="N576" s="36"/>
      <c r="O576" s="37"/>
      <c r="P576" s="39"/>
      <c r="Q576" s="41"/>
      <c r="R576" s="35" t="str">
        <f aca="true">IF(OR($B576="",$Q576=""),"",DATEDIF($Q576,TODAY(),"Y"))</f>
        <v/>
      </c>
      <c r="S576" s="40" t="str">
        <f aca="false">IF($R576="","",INDEX(usia_label,MATCH($R576,usia_min,1)))</f>
        <v/>
      </c>
      <c r="T576" s="36"/>
      <c r="U576" s="41"/>
      <c r="V576" s="36"/>
      <c r="W576" s="36"/>
      <c r="X576" s="40" t="str">
        <f aca="false">IF($M576="","",$M576&amp;"#"&amp;COUNTIF($M$4:$M576,$M576))</f>
        <v/>
      </c>
      <c r="Y576" s="40" t="str">
        <f aca="false">IF($B576="","",IF($C576="","NIK kosong",IF(LEN($C576)&lt;&gt;16,"NIK bukan 16 digit",IF(COUNTIF($C$4:$C$2003,$C576&amp;"*")&gt;1,"NIK ganda",IF(AND($D576&lt;&gt;"",LEN($D576)&lt;&gt;16),"No. KK bukan 16 digit",IF(AND($F576="",$I576=""),"Alamat kosong",IF($N576="","Jabatan kosong",IF($O576="","No. HP kosong",IF(AND($R576&lt;&gt;"",$R576&lt;17),"Usia di bawah 17","")))))))))</f>
        <v/>
      </c>
      <c r="Z576" s="40" t="str">
        <f aca="false">IF($B576="","",IF(AND(OR(CARI!$C$5="",ISNUMBER(SEARCH(CARI!$C$5,$B576&amp;" "&amp;$C576&amp;" "&amp;$D576&amp;" "&amp;$O576&amp;" "&amp;$I576&amp;" "&amp;$F576&amp;" "&amp;$J576&amp;" "&amp;$K576&amp;" "&amp;$L576&amp;" "&amp;$V576))),OR(CARI!$C$6="",$F576=CARI!$C$6),OR(CARI!$C$7="",$G576=CARI!$C$7),OR(CARI!$C$8="",$T576=CARI!$C$8)),MAX($Z$3:Z575)+1,""))</f>
        <v/>
      </c>
      <c r="AA576" s="40" t="str">
        <f aca="false">IF($Y576="","",MAX($AA$3:AA575)+1)</f>
        <v/>
      </c>
      <c r="AB576" s="40" t="str">
        <f aca="false">IF($F576="","",$F576&amp;"#"&amp;COUNTIF($F$4:$F576,$F576))</f>
        <v/>
      </c>
      <c r="AC576" s="40" t="str">
        <f aca="false">IF($B576="","",IF(AND(OR(CETAK!$J$10="",$F576=CETAK!$J$10),OR(CETAK!$J$11="",$G576=CETAK!$J$11),OR(CETAK!$J$12="",$P576=CETAK!$J$12),OR(CETAK!$J$13="",$N576=CETAK!$J$13),OR(CETAK!$J$14="",$T576=CETAK!$J$14)),MAX($AC$3:AC575)+1,""))</f>
        <v/>
      </c>
      <c r="AD576" s="40" t="str">
        <f aca="false">IF($B576="","",IF(AND(OR(ABSENSI!$H$10="",$F576=ABSENSI!$H$10),OR(ABSENSI!$H$11="",$G576=ABSENSI!$H$11),OR(ABSENSI!$H$12="",$P576=ABSENSI!$H$12)),MAX($AD$3:AD575)+1,""))</f>
        <v/>
      </c>
      <c r="AE576" s="40" t="str">
        <f aca="false">IF($B576="","",IF(AND(OR(KARTU!$K$6="",$F576=KARTU!$K$6),OR(KARTU!$K$7="",$G576=KARTU!$K$7),OR(KARTU!$K$8="",$P576=KARTU!$K$8)),MAX($AE$3:AE575)+1,""))</f>
        <v/>
      </c>
    </row>
    <row r="577" customFormat="false" ht="15" hidden="false" customHeight="false" outlineLevel="0" collapsed="false">
      <c r="A577" s="35" t="str">
        <f aca="false">IF($B577="","",COUNTA($B$4:$B577))</f>
        <v/>
      </c>
      <c r="B577" s="36"/>
      <c r="C577" s="37"/>
      <c r="D577" s="37"/>
      <c r="E577" s="38"/>
      <c r="F577" s="36"/>
      <c r="G577" s="39"/>
      <c r="H577" s="39"/>
      <c r="I577" s="36"/>
      <c r="J577" s="36"/>
      <c r="K577" s="36"/>
      <c r="L577" s="36"/>
      <c r="M577" s="40" t="str">
        <f aca="false">IF($F577="","",$F577&amp;IF($G577="",""," - RT "&amp;$G577&amp;IF($H577="","","/"&amp;$H577)))</f>
        <v/>
      </c>
      <c r="N577" s="36"/>
      <c r="O577" s="37"/>
      <c r="P577" s="39"/>
      <c r="Q577" s="41"/>
      <c r="R577" s="35" t="str">
        <f aca="true">IF(OR($B577="",$Q577=""),"",DATEDIF($Q577,TODAY(),"Y"))</f>
        <v/>
      </c>
      <c r="S577" s="40" t="str">
        <f aca="false">IF($R577="","",INDEX(usia_label,MATCH($R577,usia_min,1)))</f>
        <v/>
      </c>
      <c r="T577" s="36"/>
      <c r="U577" s="41"/>
      <c r="V577" s="36"/>
      <c r="W577" s="36"/>
      <c r="X577" s="40" t="str">
        <f aca="false">IF($M577="","",$M577&amp;"#"&amp;COUNTIF($M$4:$M577,$M577))</f>
        <v/>
      </c>
      <c r="Y577" s="40" t="str">
        <f aca="false">IF($B577="","",IF($C577="","NIK kosong",IF(LEN($C577)&lt;&gt;16,"NIK bukan 16 digit",IF(COUNTIF($C$4:$C$2003,$C577&amp;"*")&gt;1,"NIK ganda",IF(AND($D577&lt;&gt;"",LEN($D577)&lt;&gt;16),"No. KK bukan 16 digit",IF(AND($F577="",$I577=""),"Alamat kosong",IF($N577="","Jabatan kosong",IF($O577="","No. HP kosong",IF(AND($R577&lt;&gt;"",$R577&lt;17),"Usia di bawah 17","")))))))))</f>
        <v/>
      </c>
      <c r="Z577" s="40" t="str">
        <f aca="false">IF($B577="","",IF(AND(OR(CARI!$C$5="",ISNUMBER(SEARCH(CARI!$C$5,$B577&amp;" "&amp;$C577&amp;" "&amp;$D577&amp;" "&amp;$O577&amp;" "&amp;$I577&amp;" "&amp;$F577&amp;" "&amp;$J577&amp;" "&amp;$K577&amp;" "&amp;$L577&amp;" "&amp;$V577))),OR(CARI!$C$6="",$F577=CARI!$C$6),OR(CARI!$C$7="",$G577=CARI!$C$7),OR(CARI!$C$8="",$T577=CARI!$C$8)),MAX($Z$3:Z576)+1,""))</f>
        <v/>
      </c>
      <c r="AA577" s="40" t="str">
        <f aca="false">IF($Y577="","",MAX($AA$3:AA576)+1)</f>
        <v/>
      </c>
      <c r="AB577" s="40" t="str">
        <f aca="false">IF($F577="","",$F577&amp;"#"&amp;COUNTIF($F$4:$F577,$F577))</f>
        <v/>
      </c>
      <c r="AC577" s="40" t="str">
        <f aca="false">IF($B577="","",IF(AND(OR(CETAK!$J$10="",$F577=CETAK!$J$10),OR(CETAK!$J$11="",$G577=CETAK!$J$11),OR(CETAK!$J$12="",$P577=CETAK!$J$12),OR(CETAK!$J$13="",$N577=CETAK!$J$13),OR(CETAK!$J$14="",$T577=CETAK!$J$14)),MAX($AC$3:AC576)+1,""))</f>
        <v/>
      </c>
      <c r="AD577" s="40" t="str">
        <f aca="false">IF($B577="","",IF(AND(OR(ABSENSI!$H$10="",$F577=ABSENSI!$H$10),OR(ABSENSI!$H$11="",$G577=ABSENSI!$H$11),OR(ABSENSI!$H$12="",$P577=ABSENSI!$H$12)),MAX($AD$3:AD576)+1,""))</f>
        <v/>
      </c>
      <c r="AE577" s="40" t="str">
        <f aca="false">IF($B577="","",IF(AND(OR(KARTU!$K$6="",$F577=KARTU!$K$6),OR(KARTU!$K$7="",$G577=KARTU!$K$7),OR(KARTU!$K$8="",$P577=KARTU!$K$8)),MAX($AE$3:AE576)+1,""))</f>
        <v/>
      </c>
    </row>
    <row r="578" customFormat="false" ht="15" hidden="false" customHeight="false" outlineLevel="0" collapsed="false">
      <c r="A578" s="35" t="str">
        <f aca="false">IF($B578="","",COUNTA($B$4:$B578))</f>
        <v/>
      </c>
      <c r="B578" s="36"/>
      <c r="C578" s="37"/>
      <c r="D578" s="37"/>
      <c r="E578" s="38"/>
      <c r="F578" s="36"/>
      <c r="G578" s="39"/>
      <c r="H578" s="39"/>
      <c r="I578" s="36"/>
      <c r="J578" s="36"/>
      <c r="K578" s="36"/>
      <c r="L578" s="36"/>
      <c r="M578" s="40" t="str">
        <f aca="false">IF($F578="","",$F578&amp;IF($G578="",""," - RT "&amp;$G578&amp;IF($H578="","","/"&amp;$H578)))</f>
        <v/>
      </c>
      <c r="N578" s="36"/>
      <c r="O578" s="37"/>
      <c r="P578" s="39"/>
      <c r="Q578" s="41"/>
      <c r="R578" s="35" t="str">
        <f aca="true">IF(OR($B578="",$Q578=""),"",DATEDIF($Q578,TODAY(),"Y"))</f>
        <v/>
      </c>
      <c r="S578" s="40" t="str">
        <f aca="false">IF($R578="","",INDEX(usia_label,MATCH($R578,usia_min,1)))</f>
        <v/>
      </c>
      <c r="T578" s="36"/>
      <c r="U578" s="41"/>
      <c r="V578" s="36"/>
      <c r="W578" s="36"/>
      <c r="X578" s="40" t="str">
        <f aca="false">IF($M578="","",$M578&amp;"#"&amp;COUNTIF($M$4:$M578,$M578))</f>
        <v/>
      </c>
      <c r="Y578" s="40" t="str">
        <f aca="false">IF($B578="","",IF($C578="","NIK kosong",IF(LEN($C578)&lt;&gt;16,"NIK bukan 16 digit",IF(COUNTIF($C$4:$C$2003,$C578&amp;"*")&gt;1,"NIK ganda",IF(AND($D578&lt;&gt;"",LEN($D578)&lt;&gt;16),"No. KK bukan 16 digit",IF(AND($F578="",$I578=""),"Alamat kosong",IF($N578="","Jabatan kosong",IF($O578="","No. HP kosong",IF(AND($R578&lt;&gt;"",$R578&lt;17),"Usia di bawah 17","")))))))))</f>
        <v/>
      </c>
      <c r="Z578" s="40" t="str">
        <f aca="false">IF($B578="","",IF(AND(OR(CARI!$C$5="",ISNUMBER(SEARCH(CARI!$C$5,$B578&amp;" "&amp;$C578&amp;" "&amp;$D578&amp;" "&amp;$O578&amp;" "&amp;$I578&amp;" "&amp;$F578&amp;" "&amp;$J578&amp;" "&amp;$K578&amp;" "&amp;$L578&amp;" "&amp;$V578))),OR(CARI!$C$6="",$F578=CARI!$C$6),OR(CARI!$C$7="",$G578=CARI!$C$7),OR(CARI!$C$8="",$T578=CARI!$C$8)),MAX($Z$3:Z577)+1,""))</f>
        <v/>
      </c>
      <c r="AA578" s="40" t="str">
        <f aca="false">IF($Y578="","",MAX($AA$3:AA577)+1)</f>
        <v/>
      </c>
      <c r="AB578" s="40" t="str">
        <f aca="false">IF($F578="","",$F578&amp;"#"&amp;COUNTIF($F$4:$F578,$F578))</f>
        <v/>
      </c>
      <c r="AC578" s="40" t="str">
        <f aca="false">IF($B578="","",IF(AND(OR(CETAK!$J$10="",$F578=CETAK!$J$10),OR(CETAK!$J$11="",$G578=CETAK!$J$11),OR(CETAK!$J$12="",$P578=CETAK!$J$12),OR(CETAK!$J$13="",$N578=CETAK!$J$13),OR(CETAK!$J$14="",$T578=CETAK!$J$14)),MAX($AC$3:AC577)+1,""))</f>
        <v/>
      </c>
      <c r="AD578" s="40" t="str">
        <f aca="false">IF($B578="","",IF(AND(OR(ABSENSI!$H$10="",$F578=ABSENSI!$H$10),OR(ABSENSI!$H$11="",$G578=ABSENSI!$H$11),OR(ABSENSI!$H$12="",$P578=ABSENSI!$H$12)),MAX($AD$3:AD577)+1,""))</f>
        <v/>
      </c>
      <c r="AE578" s="40" t="str">
        <f aca="false">IF($B578="","",IF(AND(OR(KARTU!$K$6="",$F578=KARTU!$K$6),OR(KARTU!$K$7="",$G578=KARTU!$K$7),OR(KARTU!$K$8="",$P578=KARTU!$K$8)),MAX($AE$3:AE577)+1,""))</f>
        <v/>
      </c>
    </row>
    <row r="579" customFormat="false" ht="15" hidden="false" customHeight="false" outlineLevel="0" collapsed="false">
      <c r="A579" s="35" t="str">
        <f aca="false">IF($B579="","",COUNTA($B$4:$B579))</f>
        <v/>
      </c>
      <c r="B579" s="36"/>
      <c r="C579" s="37"/>
      <c r="D579" s="37"/>
      <c r="E579" s="38"/>
      <c r="F579" s="36"/>
      <c r="G579" s="39"/>
      <c r="H579" s="39"/>
      <c r="I579" s="36"/>
      <c r="J579" s="36"/>
      <c r="K579" s="36"/>
      <c r="L579" s="36"/>
      <c r="M579" s="40" t="str">
        <f aca="false">IF($F579="","",$F579&amp;IF($G579="",""," - RT "&amp;$G579&amp;IF($H579="","","/"&amp;$H579)))</f>
        <v/>
      </c>
      <c r="N579" s="36"/>
      <c r="O579" s="37"/>
      <c r="P579" s="39"/>
      <c r="Q579" s="41"/>
      <c r="R579" s="35" t="str">
        <f aca="true">IF(OR($B579="",$Q579=""),"",DATEDIF($Q579,TODAY(),"Y"))</f>
        <v/>
      </c>
      <c r="S579" s="40" t="str">
        <f aca="false">IF($R579="","",INDEX(usia_label,MATCH($R579,usia_min,1)))</f>
        <v/>
      </c>
      <c r="T579" s="36"/>
      <c r="U579" s="41"/>
      <c r="V579" s="36"/>
      <c r="W579" s="36"/>
      <c r="X579" s="40" t="str">
        <f aca="false">IF($M579="","",$M579&amp;"#"&amp;COUNTIF($M$4:$M579,$M579))</f>
        <v/>
      </c>
      <c r="Y579" s="40" t="str">
        <f aca="false">IF($B579="","",IF($C579="","NIK kosong",IF(LEN($C579)&lt;&gt;16,"NIK bukan 16 digit",IF(COUNTIF($C$4:$C$2003,$C579&amp;"*")&gt;1,"NIK ganda",IF(AND($D579&lt;&gt;"",LEN($D579)&lt;&gt;16),"No. KK bukan 16 digit",IF(AND($F579="",$I579=""),"Alamat kosong",IF($N579="","Jabatan kosong",IF($O579="","No. HP kosong",IF(AND($R579&lt;&gt;"",$R579&lt;17),"Usia di bawah 17","")))))))))</f>
        <v/>
      </c>
      <c r="Z579" s="40" t="str">
        <f aca="false">IF($B579="","",IF(AND(OR(CARI!$C$5="",ISNUMBER(SEARCH(CARI!$C$5,$B579&amp;" "&amp;$C579&amp;" "&amp;$D579&amp;" "&amp;$O579&amp;" "&amp;$I579&amp;" "&amp;$F579&amp;" "&amp;$J579&amp;" "&amp;$K579&amp;" "&amp;$L579&amp;" "&amp;$V579))),OR(CARI!$C$6="",$F579=CARI!$C$6),OR(CARI!$C$7="",$G579=CARI!$C$7),OR(CARI!$C$8="",$T579=CARI!$C$8)),MAX($Z$3:Z578)+1,""))</f>
        <v/>
      </c>
      <c r="AA579" s="40" t="str">
        <f aca="false">IF($Y579="","",MAX($AA$3:AA578)+1)</f>
        <v/>
      </c>
      <c r="AB579" s="40" t="str">
        <f aca="false">IF($F579="","",$F579&amp;"#"&amp;COUNTIF($F$4:$F579,$F579))</f>
        <v/>
      </c>
      <c r="AC579" s="40" t="str">
        <f aca="false">IF($B579="","",IF(AND(OR(CETAK!$J$10="",$F579=CETAK!$J$10),OR(CETAK!$J$11="",$G579=CETAK!$J$11),OR(CETAK!$J$12="",$P579=CETAK!$J$12),OR(CETAK!$J$13="",$N579=CETAK!$J$13),OR(CETAK!$J$14="",$T579=CETAK!$J$14)),MAX($AC$3:AC578)+1,""))</f>
        <v/>
      </c>
      <c r="AD579" s="40" t="str">
        <f aca="false">IF($B579="","",IF(AND(OR(ABSENSI!$H$10="",$F579=ABSENSI!$H$10),OR(ABSENSI!$H$11="",$G579=ABSENSI!$H$11),OR(ABSENSI!$H$12="",$P579=ABSENSI!$H$12)),MAX($AD$3:AD578)+1,""))</f>
        <v/>
      </c>
      <c r="AE579" s="40" t="str">
        <f aca="false">IF($B579="","",IF(AND(OR(KARTU!$K$6="",$F579=KARTU!$K$6),OR(KARTU!$K$7="",$G579=KARTU!$K$7),OR(KARTU!$K$8="",$P579=KARTU!$K$8)),MAX($AE$3:AE578)+1,""))</f>
        <v/>
      </c>
    </row>
    <row r="580" customFormat="false" ht="15" hidden="false" customHeight="false" outlineLevel="0" collapsed="false">
      <c r="A580" s="35" t="str">
        <f aca="false">IF($B580="","",COUNTA($B$4:$B580))</f>
        <v/>
      </c>
      <c r="B580" s="36"/>
      <c r="C580" s="37"/>
      <c r="D580" s="37"/>
      <c r="E580" s="38"/>
      <c r="F580" s="36"/>
      <c r="G580" s="39"/>
      <c r="H580" s="39"/>
      <c r="I580" s="36"/>
      <c r="J580" s="36"/>
      <c r="K580" s="36"/>
      <c r="L580" s="36"/>
      <c r="M580" s="40" t="str">
        <f aca="false">IF($F580="","",$F580&amp;IF($G580="",""," - RT "&amp;$G580&amp;IF($H580="","","/"&amp;$H580)))</f>
        <v/>
      </c>
      <c r="N580" s="36"/>
      <c r="O580" s="37"/>
      <c r="P580" s="39"/>
      <c r="Q580" s="41"/>
      <c r="R580" s="35" t="str">
        <f aca="true">IF(OR($B580="",$Q580=""),"",DATEDIF($Q580,TODAY(),"Y"))</f>
        <v/>
      </c>
      <c r="S580" s="40" t="str">
        <f aca="false">IF($R580="","",INDEX(usia_label,MATCH($R580,usia_min,1)))</f>
        <v/>
      </c>
      <c r="T580" s="36"/>
      <c r="U580" s="41"/>
      <c r="V580" s="36"/>
      <c r="W580" s="36"/>
      <c r="X580" s="40" t="str">
        <f aca="false">IF($M580="","",$M580&amp;"#"&amp;COUNTIF($M$4:$M580,$M580))</f>
        <v/>
      </c>
      <c r="Y580" s="40" t="str">
        <f aca="false">IF($B580="","",IF($C580="","NIK kosong",IF(LEN($C580)&lt;&gt;16,"NIK bukan 16 digit",IF(COUNTIF($C$4:$C$2003,$C580&amp;"*")&gt;1,"NIK ganda",IF(AND($D580&lt;&gt;"",LEN($D580)&lt;&gt;16),"No. KK bukan 16 digit",IF(AND($F580="",$I580=""),"Alamat kosong",IF($N580="","Jabatan kosong",IF($O580="","No. HP kosong",IF(AND($R580&lt;&gt;"",$R580&lt;17),"Usia di bawah 17","")))))))))</f>
        <v/>
      </c>
      <c r="Z580" s="40" t="str">
        <f aca="false">IF($B580="","",IF(AND(OR(CARI!$C$5="",ISNUMBER(SEARCH(CARI!$C$5,$B580&amp;" "&amp;$C580&amp;" "&amp;$D580&amp;" "&amp;$O580&amp;" "&amp;$I580&amp;" "&amp;$F580&amp;" "&amp;$J580&amp;" "&amp;$K580&amp;" "&amp;$L580&amp;" "&amp;$V580))),OR(CARI!$C$6="",$F580=CARI!$C$6),OR(CARI!$C$7="",$G580=CARI!$C$7),OR(CARI!$C$8="",$T580=CARI!$C$8)),MAX($Z$3:Z579)+1,""))</f>
        <v/>
      </c>
      <c r="AA580" s="40" t="str">
        <f aca="false">IF($Y580="","",MAX($AA$3:AA579)+1)</f>
        <v/>
      </c>
      <c r="AB580" s="40" t="str">
        <f aca="false">IF($F580="","",$F580&amp;"#"&amp;COUNTIF($F$4:$F580,$F580))</f>
        <v/>
      </c>
      <c r="AC580" s="40" t="str">
        <f aca="false">IF($B580="","",IF(AND(OR(CETAK!$J$10="",$F580=CETAK!$J$10),OR(CETAK!$J$11="",$G580=CETAK!$J$11),OR(CETAK!$J$12="",$P580=CETAK!$J$12),OR(CETAK!$J$13="",$N580=CETAK!$J$13),OR(CETAK!$J$14="",$T580=CETAK!$J$14)),MAX($AC$3:AC579)+1,""))</f>
        <v/>
      </c>
      <c r="AD580" s="40" t="str">
        <f aca="false">IF($B580="","",IF(AND(OR(ABSENSI!$H$10="",$F580=ABSENSI!$H$10),OR(ABSENSI!$H$11="",$G580=ABSENSI!$H$11),OR(ABSENSI!$H$12="",$P580=ABSENSI!$H$12)),MAX($AD$3:AD579)+1,""))</f>
        <v/>
      </c>
      <c r="AE580" s="40" t="str">
        <f aca="false">IF($B580="","",IF(AND(OR(KARTU!$K$6="",$F580=KARTU!$K$6),OR(KARTU!$K$7="",$G580=KARTU!$K$7),OR(KARTU!$K$8="",$P580=KARTU!$K$8)),MAX($AE$3:AE579)+1,""))</f>
        <v/>
      </c>
    </row>
    <row r="581" customFormat="false" ht="15" hidden="false" customHeight="false" outlineLevel="0" collapsed="false">
      <c r="A581" s="35" t="str">
        <f aca="false">IF($B581="","",COUNTA($B$4:$B581))</f>
        <v/>
      </c>
      <c r="B581" s="36"/>
      <c r="C581" s="37"/>
      <c r="D581" s="37"/>
      <c r="E581" s="38"/>
      <c r="F581" s="36"/>
      <c r="G581" s="39"/>
      <c r="H581" s="39"/>
      <c r="I581" s="36"/>
      <c r="J581" s="36"/>
      <c r="K581" s="36"/>
      <c r="L581" s="36"/>
      <c r="M581" s="40" t="str">
        <f aca="false">IF($F581="","",$F581&amp;IF($G581="",""," - RT "&amp;$G581&amp;IF($H581="","","/"&amp;$H581)))</f>
        <v/>
      </c>
      <c r="N581" s="36"/>
      <c r="O581" s="37"/>
      <c r="P581" s="39"/>
      <c r="Q581" s="41"/>
      <c r="R581" s="35" t="str">
        <f aca="true">IF(OR($B581="",$Q581=""),"",DATEDIF($Q581,TODAY(),"Y"))</f>
        <v/>
      </c>
      <c r="S581" s="40" t="str">
        <f aca="false">IF($R581="","",INDEX(usia_label,MATCH($R581,usia_min,1)))</f>
        <v/>
      </c>
      <c r="T581" s="36"/>
      <c r="U581" s="41"/>
      <c r="V581" s="36"/>
      <c r="W581" s="36"/>
      <c r="X581" s="40" t="str">
        <f aca="false">IF($M581="","",$M581&amp;"#"&amp;COUNTIF($M$4:$M581,$M581))</f>
        <v/>
      </c>
      <c r="Y581" s="40" t="str">
        <f aca="false">IF($B581="","",IF($C581="","NIK kosong",IF(LEN($C581)&lt;&gt;16,"NIK bukan 16 digit",IF(COUNTIF($C$4:$C$2003,$C581&amp;"*")&gt;1,"NIK ganda",IF(AND($D581&lt;&gt;"",LEN($D581)&lt;&gt;16),"No. KK bukan 16 digit",IF(AND($F581="",$I581=""),"Alamat kosong",IF($N581="","Jabatan kosong",IF($O581="","No. HP kosong",IF(AND($R581&lt;&gt;"",$R581&lt;17),"Usia di bawah 17","")))))))))</f>
        <v/>
      </c>
      <c r="Z581" s="40" t="str">
        <f aca="false">IF($B581="","",IF(AND(OR(CARI!$C$5="",ISNUMBER(SEARCH(CARI!$C$5,$B581&amp;" "&amp;$C581&amp;" "&amp;$D581&amp;" "&amp;$O581&amp;" "&amp;$I581&amp;" "&amp;$F581&amp;" "&amp;$J581&amp;" "&amp;$K581&amp;" "&amp;$L581&amp;" "&amp;$V581))),OR(CARI!$C$6="",$F581=CARI!$C$6),OR(CARI!$C$7="",$G581=CARI!$C$7),OR(CARI!$C$8="",$T581=CARI!$C$8)),MAX($Z$3:Z580)+1,""))</f>
        <v/>
      </c>
      <c r="AA581" s="40" t="str">
        <f aca="false">IF($Y581="","",MAX($AA$3:AA580)+1)</f>
        <v/>
      </c>
      <c r="AB581" s="40" t="str">
        <f aca="false">IF($F581="","",$F581&amp;"#"&amp;COUNTIF($F$4:$F581,$F581))</f>
        <v/>
      </c>
      <c r="AC581" s="40" t="str">
        <f aca="false">IF($B581="","",IF(AND(OR(CETAK!$J$10="",$F581=CETAK!$J$10),OR(CETAK!$J$11="",$G581=CETAK!$J$11),OR(CETAK!$J$12="",$P581=CETAK!$J$12),OR(CETAK!$J$13="",$N581=CETAK!$J$13),OR(CETAK!$J$14="",$T581=CETAK!$J$14)),MAX($AC$3:AC580)+1,""))</f>
        <v/>
      </c>
      <c r="AD581" s="40" t="str">
        <f aca="false">IF($B581="","",IF(AND(OR(ABSENSI!$H$10="",$F581=ABSENSI!$H$10),OR(ABSENSI!$H$11="",$G581=ABSENSI!$H$11),OR(ABSENSI!$H$12="",$P581=ABSENSI!$H$12)),MAX($AD$3:AD580)+1,""))</f>
        <v/>
      </c>
      <c r="AE581" s="40" t="str">
        <f aca="false">IF($B581="","",IF(AND(OR(KARTU!$K$6="",$F581=KARTU!$K$6),OR(KARTU!$K$7="",$G581=KARTU!$K$7),OR(KARTU!$K$8="",$P581=KARTU!$K$8)),MAX($AE$3:AE580)+1,""))</f>
        <v/>
      </c>
    </row>
    <row r="582" customFormat="false" ht="15" hidden="false" customHeight="false" outlineLevel="0" collapsed="false">
      <c r="A582" s="35" t="str">
        <f aca="false">IF($B582="","",COUNTA($B$4:$B582))</f>
        <v/>
      </c>
      <c r="B582" s="36"/>
      <c r="C582" s="37"/>
      <c r="D582" s="37"/>
      <c r="E582" s="38"/>
      <c r="F582" s="36"/>
      <c r="G582" s="39"/>
      <c r="H582" s="39"/>
      <c r="I582" s="36"/>
      <c r="J582" s="36"/>
      <c r="K582" s="36"/>
      <c r="L582" s="36"/>
      <c r="M582" s="40" t="str">
        <f aca="false">IF($F582="","",$F582&amp;IF($G582="",""," - RT "&amp;$G582&amp;IF($H582="","","/"&amp;$H582)))</f>
        <v/>
      </c>
      <c r="N582" s="36"/>
      <c r="O582" s="37"/>
      <c r="P582" s="39"/>
      <c r="Q582" s="41"/>
      <c r="R582" s="35" t="str">
        <f aca="true">IF(OR($B582="",$Q582=""),"",DATEDIF($Q582,TODAY(),"Y"))</f>
        <v/>
      </c>
      <c r="S582" s="40" t="str">
        <f aca="false">IF($R582="","",INDEX(usia_label,MATCH($R582,usia_min,1)))</f>
        <v/>
      </c>
      <c r="T582" s="36"/>
      <c r="U582" s="41"/>
      <c r="V582" s="36"/>
      <c r="W582" s="36"/>
      <c r="X582" s="40" t="str">
        <f aca="false">IF($M582="","",$M582&amp;"#"&amp;COUNTIF($M$4:$M582,$M582))</f>
        <v/>
      </c>
      <c r="Y582" s="40" t="str">
        <f aca="false">IF($B582="","",IF($C582="","NIK kosong",IF(LEN($C582)&lt;&gt;16,"NIK bukan 16 digit",IF(COUNTIF($C$4:$C$2003,$C582&amp;"*")&gt;1,"NIK ganda",IF(AND($D582&lt;&gt;"",LEN($D582)&lt;&gt;16),"No. KK bukan 16 digit",IF(AND($F582="",$I582=""),"Alamat kosong",IF($N582="","Jabatan kosong",IF($O582="","No. HP kosong",IF(AND($R582&lt;&gt;"",$R582&lt;17),"Usia di bawah 17","")))))))))</f>
        <v/>
      </c>
      <c r="Z582" s="40" t="str">
        <f aca="false">IF($B582="","",IF(AND(OR(CARI!$C$5="",ISNUMBER(SEARCH(CARI!$C$5,$B582&amp;" "&amp;$C582&amp;" "&amp;$D582&amp;" "&amp;$O582&amp;" "&amp;$I582&amp;" "&amp;$F582&amp;" "&amp;$J582&amp;" "&amp;$K582&amp;" "&amp;$L582&amp;" "&amp;$V582))),OR(CARI!$C$6="",$F582=CARI!$C$6),OR(CARI!$C$7="",$G582=CARI!$C$7),OR(CARI!$C$8="",$T582=CARI!$C$8)),MAX($Z$3:Z581)+1,""))</f>
        <v/>
      </c>
      <c r="AA582" s="40" t="str">
        <f aca="false">IF($Y582="","",MAX($AA$3:AA581)+1)</f>
        <v/>
      </c>
      <c r="AB582" s="40" t="str">
        <f aca="false">IF($F582="","",$F582&amp;"#"&amp;COUNTIF($F$4:$F582,$F582))</f>
        <v/>
      </c>
      <c r="AC582" s="40" t="str">
        <f aca="false">IF($B582="","",IF(AND(OR(CETAK!$J$10="",$F582=CETAK!$J$10),OR(CETAK!$J$11="",$G582=CETAK!$J$11),OR(CETAK!$J$12="",$P582=CETAK!$J$12),OR(CETAK!$J$13="",$N582=CETAK!$J$13),OR(CETAK!$J$14="",$T582=CETAK!$J$14)),MAX($AC$3:AC581)+1,""))</f>
        <v/>
      </c>
      <c r="AD582" s="40" t="str">
        <f aca="false">IF($B582="","",IF(AND(OR(ABSENSI!$H$10="",$F582=ABSENSI!$H$10),OR(ABSENSI!$H$11="",$G582=ABSENSI!$H$11),OR(ABSENSI!$H$12="",$P582=ABSENSI!$H$12)),MAX($AD$3:AD581)+1,""))</f>
        <v/>
      </c>
      <c r="AE582" s="40" t="str">
        <f aca="false">IF($B582="","",IF(AND(OR(KARTU!$K$6="",$F582=KARTU!$K$6),OR(KARTU!$K$7="",$G582=KARTU!$K$7),OR(KARTU!$K$8="",$P582=KARTU!$K$8)),MAX($AE$3:AE581)+1,""))</f>
        <v/>
      </c>
    </row>
    <row r="583" customFormat="false" ht="15" hidden="false" customHeight="false" outlineLevel="0" collapsed="false">
      <c r="A583" s="35" t="str">
        <f aca="false">IF($B583="","",COUNTA($B$4:$B583))</f>
        <v/>
      </c>
      <c r="B583" s="36"/>
      <c r="C583" s="37"/>
      <c r="D583" s="37"/>
      <c r="E583" s="38"/>
      <c r="F583" s="36"/>
      <c r="G583" s="39"/>
      <c r="H583" s="39"/>
      <c r="I583" s="36"/>
      <c r="J583" s="36"/>
      <c r="K583" s="36"/>
      <c r="L583" s="36"/>
      <c r="M583" s="40" t="str">
        <f aca="false">IF($F583="","",$F583&amp;IF($G583="",""," - RT "&amp;$G583&amp;IF($H583="","","/"&amp;$H583)))</f>
        <v/>
      </c>
      <c r="N583" s="36"/>
      <c r="O583" s="37"/>
      <c r="P583" s="39"/>
      <c r="Q583" s="41"/>
      <c r="R583" s="35" t="str">
        <f aca="true">IF(OR($B583="",$Q583=""),"",DATEDIF($Q583,TODAY(),"Y"))</f>
        <v/>
      </c>
      <c r="S583" s="40" t="str">
        <f aca="false">IF($R583="","",INDEX(usia_label,MATCH($R583,usia_min,1)))</f>
        <v/>
      </c>
      <c r="T583" s="36"/>
      <c r="U583" s="41"/>
      <c r="V583" s="36"/>
      <c r="W583" s="36"/>
      <c r="X583" s="40" t="str">
        <f aca="false">IF($M583="","",$M583&amp;"#"&amp;COUNTIF($M$4:$M583,$M583))</f>
        <v/>
      </c>
      <c r="Y583" s="40" t="str">
        <f aca="false">IF($B583="","",IF($C583="","NIK kosong",IF(LEN($C583)&lt;&gt;16,"NIK bukan 16 digit",IF(COUNTIF($C$4:$C$2003,$C583&amp;"*")&gt;1,"NIK ganda",IF(AND($D583&lt;&gt;"",LEN($D583)&lt;&gt;16),"No. KK bukan 16 digit",IF(AND($F583="",$I583=""),"Alamat kosong",IF($N583="","Jabatan kosong",IF($O583="","No. HP kosong",IF(AND($R583&lt;&gt;"",$R583&lt;17),"Usia di bawah 17","")))))))))</f>
        <v/>
      </c>
      <c r="Z583" s="40" t="str">
        <f aca="false">IF($B583="","",IF(AND(OR(CARI!$C$5="",ISNUMBER(SEARCH(CARI!$C$5,$B583&amp;" "&amp;$C583&amp;" "&amp;$D583&amp;" "&amp;$O583&amp;" "&amp;$I583&amp;" "&amp;$F583&amp;" "&amp;$J583&amp;" "&amp;$K583&amp;" "&amp;$L583&amp;" "&amp;$V583))),OR(CARI!$C$6="",$F583=CARI!$C$6),OR(CARI!$C$7="",$G583=CARI!$C$7),OR(CARI!$C$8="",$T583=CARI!$C$8)),MAX($Z$3:Z582)+1,""))</f>
        <v/>
      </c>
      <c r="AA583" s="40" t="str">
        <f aca="false">IF($Y583="","",MAX($AA$3:AA582)+1)</f>
        <v/>
      </c>
      <c r="AB583" s="40" t="str">
        <f aca="false">IF($F583="","",$F583&amp;"#"&amp;COUNTIF($F$4:$F583,$F583))</f>
        <v/>
      </c>
      <c r="AC583" s="40" t="str">
        <f aca="false">IF($B583="","",IF(AND(OR(CETAK!$J$10="",$F583=CETAK!$J$10),OR(CETAK!$J$11="",$G583=CETAK!$J$11),OR(CETAK!$J$12="",$P583=CETAK!$J$12),OR(CETAK!$J$13="",$N583=CETAK!$J$13),OR(CETAK!$J$14="",$T583=CETAK!$J$14)),MAX($AC$3:AC582)+1,""))</f>
        <v/>
      </c>
      <c r="AD583" s="40" t="str">
        <f aca="false">IF($B583="","",IF(AND(OR(ABSENSI!$H$10="",$F583=ABSENSI!$H$10),OR(ABSENSI!$H$11="",$G583=ABSENSI!$H$11),OR(ABSENSI!$H$12="",$P583=ABSENSI!$H$12)),MAX($AD$3:AD582)+1,""))</f>
        <v/>
      </c>
      <c r="AE583" s="40" t="str">
        <f aca="false">IF($B583="","",IF(AND(OR(KARTU!$K$6="",$F583=KARTU!$K$6),OR(KARTU!$K$7="",$G583=KARTU!$K$7),OR(KARTU!$K$8="",$P583=KARTU!$K$8)),MAX($AE$3:AE582)+1,""))</f>
        <v/>
      </c>
    </row>
    <row r="584" customFormat="false" ht="15" hidden="false" customHeight="false" outlineLevel="0" collapsed="false">
      <c r="A584" s="35" t="str">
        <f aca="false">IF($B584="","",COUNTA($B$4:$B584))</f>
        <v/>
      </c>
      <c r="B584" s="36"/>
      <c r="C584" s="37"/>
      <c r="D584" s="37"/>
      <c r="E584" s="38"/>
      <c r="F584" s="36"/>
      <c r="G584" s="39"/>
      <c r="H584" s="39"/>
      <c r="I584" s="36"/>
      <c r="J584" s="36"/>
      <c r="K584" s="36"/>
      <c r="L584" s="36"/>
      <c r="M584" s="40" t="str">
        <f aca="false">IF($F584="","",$F584&amp;IF($G584="",""," - RT "&amp;$G584&amp;IF($H584="","","/"&amp;$H584)))</f>
        <v/>
      </c>
      <c r="N584" s="36"/>
      <c r="O584" s="37"/>
      <c r="P584" s="39"/>
      <c r="Q584" s="41"/>
      <c r="R584" s="35" t="str">
        <f aca="true">IF(OR($B584="",$Q584=""),"",DATEDIF($Q584,TODAY(),"Y"))</f>
        <v/>
      </c>
      <c r="S584" s="40" t="str">
        <f aca="false">IF($R584="","",INDEX(usia_label,MATCH($R584,usia_min,1)))</f>
        <v/>
      </c>
      <c r="T584" s="36"/>
      <c r="U584" s="41"/>
      <c r="V584" s="36"/>
      <c r="W584" s="36"/>
      <c r="X584" s="40" t="str">
        <f aca="false">IF($M584="","",$M584&amp;"#"&amp;COUNTIF($M$4:$M584,$M584))</f>
        <v/>
      </c>
      <c r="Y584" s="40" t="str">
        <f aca="false">IF($B584="","",IF($C584="","NIK kosong",IF(LEN($C584)&lt;&gt;16,"NIK bukan 16 digit",IF(COUNTIF($C$4:$C$2003,$C584&amp;"*")&gt;1,"NIK ganda",IF(AND($D584&lt;&gt;"",LEN($D584)&lt;&gt;16),"No. KK bukan 16 digit",IF(AND($F584="",$I584=""),"Alamat kosong",IF($N584="","Jabatan kosong",IF($O584="","No. HP kosong",IF(AND($R584&lt;&gt;"",$R584&lt;17),"Usia di bawah 17","")))))))))</f>
        <v/>
      </c>
      <c r="Z584" s="40" t="str">
        <f aca="false">IF($B584="","",IF(AND(OR(CARI!$C$5="",ISNUMBER(SEARCH(CARI!$C$5,$B584&amp;" "&amp;$C584&amp;" "&amp;$D584&amp;" "&amp;$O584&amp;" "&amp;$I584&amp;" "&amp;$F584&amp;" "&amp;$J584&amp;" "&amp;$K584&amp;" "&amp;$L584&amp;" "&amp;$V584))),OR(CARI!$C$6="",$F584=CARI!$C$6),OR(CARI!$C$7="",$G584=CARI!$C$7),OR(CARI!$C$8="",$T584=CARI!$C$8)),MAX($Z$3:Z583)+1,""))</f>
        <v/>
      </c>
      <c r="AA584" s="40" t="str">
        <f aca="false">IF($Y584="","",MAX($AA$3:AA583)+1)</f>
        <v/>
      </c>
      <c r="AB584" s="40" t="str">
        <f aca="false">IF($F584="","",$F584&amp;"#"&amp;COUNTIF($F$4:$F584,$F584))</f>
        <v/>
      </c>
      <c r="AC584" s="40" t="str">
        <f aca="false">IF($B584="","",IF(AND(OR(CETAK!$J$10="",$F584=CETAK!$J$10),OR(CETAK!$J$11="",$G584=CETAK!$J$11),OR(CETAK!$J$12="",$P584=CETAK!$J$12),OR(CETAK!$J$13="",$N584=CETAK!$J$13),OR(CETAK!$J$14="",$T584=CETAK!$J$14)),MAX($AC$3:AC583)+1,""))</f>
        <v/>
      </c>
      <c r="AD584" s="40" t="str">
        <f aca="false">IF($B584="","",IF(AND(OR(ABSENSI!$H$10="",$F584=ABSENSI!$H$10),OR(ABSENSI!$H$11="",$G584=ABSENSI!$H$11),OR(ABSENSI!$H$12="",$P584=ABSENSI!$H$12)),MAX($AD$3:AD583)+1,""))</f>
        <v/>
      </c>
      <c r="AE584" s="40" t="str">
        <f aca="false">IF($B584="","",IF(AND(OR(KARTU!$K$6="",$F584=KARTU!$K$6),OR(KARTU!$K$7="",$G584=KARTU!$K$7),OR(KARTU!$K$8="",$P584=KARTU!$K$8)),MAX($AE$3:AE583)+1,""))</f>
        <v/>
      </c>
    </row>
    <row r="585" customFormat="false" ht="15" hidden="false" customHeight="false" outlineLevel="0" collapsed="false">
      <c r="A585" s="35" t="str">
        <f aca="false">IF($B585="","",COUNTA($B$4:$B585))</f>
        <v/>
      </c>
      <c r="B585" s="36"/>
      <c r="C585" s="37"/>
      <c r="D585" s="37"/>
      <c r="E585" s="38"/>
      <c r="F585" s="36"/>
      <c r="G585" s="39"/>
      <c r="H585" s="39"/>
      <c r="I585" s="36"/>
      <c r="J585" s="36"/>
      <c r="K585" s="36"/>
      <c r="L585" s="36"/>
      <c r="M585" s="40" t="str">
        <f aca="false">IF($F585="","",$F585&amp;IF($G585="",""," - RT "&amp;$G585&amp;IF($H585="","","/"&amp;$H585)))</f>
        <v/>
      </c>
      <c r="N585" s="36"/>
      <c r="O585" s="37"/>
      <c r="P585" s="39"/>
      <c r="Q585" s="41"/>
      <c r="R585" s="35" t="str">
        <f aca="true">IF(OR($B585="",$Q585=""),"",DATEDIF($Q585,TODAY(),"Y"))</f>
        <v/>
      </c>
      <c r="S585" s="40" t="str">
        <f aca="false">IF($R585="","",INDEX(usia_label,MATCH($R585,usia_min,1)))</f>
        <v/>
      </c>
      <c r="T585" s="36"/>
      <c r="U585" s="41"/>
      <c r="V585" s="36"/>
      <c r="W585" s="36"/>
      <c r="X585" s="40" t="str">
        <f aca="false">IF($M585="","",$M585&amp;"#"&amp;COUNTIF($M$4:$M585,$M585))</f>
        <v/>
      </c>
      <c r="Y585" s="40" t="str">
        <f aca="false">IF($B585="","",IF($C585="","NIK kosong",IF(LEN($C585)&lt;&gt;16,"NIK bukan 16 digit",IF(COUNTIF($C$4:$C$2003,$C585&amp;"*")&gt;1,"NIK ganda",IF(AND($D585&lt;&gt;"",LEN($D585)&lt;&gt;16),"No. KK bukan 16 digit",IF(AND($F585="",$I585=""),"Alamat kosong",IF($N585="","Jabatan kosong",IF($O585="","No. HP kosong",IF(AND($R585&lt;&gt;"",$R585&lt;17),"Usia di bawah 17","")))))))))</f>
        <v/>
      </c>
      <c r="Z585" s="40" t="str">
        <f aca="false">IF($B585="","",IF(AND(OR(CARI!$C$5="",ISNUMBER(SEARCH(CARI!$C$5,$B585&amp;" "&amp;$C585&amp;" "&amp;$D585&amp;" "&amp;$O585&amp;" "&amp;$I585&amp;" "&amp;$F585&amp;" "&amp;$J585&amp;" "&amp;$K585&amp;" "&amp;$L585&amp;" "&amp;$V585))),OR(CARI!$C$6="",$F585=CARI!$C$6),OR(CARI!$C$7="",$G585=CARI!$C$7),OR(CARI!$C$8="",$T585=CARI!$C$8)),MAX($Z$3:Z584)+1,""))</f>
        <v/>
      </c>
      <c r="AA585" s="40" t="str">
        <f aca="false">IF($Y585="","",MAX($AA$3:AA584)+1)</f>
        <v/>
      </c>
      <c r="AB585" s="40" t="str">
        <f aca="false">IF($F585="","",$F585&amp;"#"&amp;COUNTIF($F$4:$F585,$F585))</f>
        <v/>
      </c>
      <c r="AC585" s="40" t="str">
        <f aca="false">IF($B585="","",IF(AND(OR(CETAK!$J$10="",$F585=CETAK!$J$10),OR(CETAK!$J$11="",$G585=CETAK!$J$11),OR(CETAK!$J$12="",$P585=CETAK!$J$12),OR(CETAK!$J$13="",$N585=CETAK!$J$13),OR(CETAK!$J$14="",$T585=CETAK!$J$14)),MAX($AC$3:AC584)+1,""))</f>
        <v/>
      </c>
      <c r="AD585" s="40" t="str">
        <f aca="false">IF($B585="","",IF(AND(OR(ABSENSI!$H$10="",$F585=ABSENSI!$H$10),OR(ABSENSI!$H$11="",$G585=ABSENSI!$H$11),OR(ABSENSI!$H$12="",$P585=ABSENSI!$H$12)),MAX($AD$3:AD584)+1,""))</f>
        <v/>
      </c>
      <c r="AE585" s="40" t="str">
        <f aca="false">IF($B585="","",IF(AND(OR(KARTU!$K$6="",$F585=KARTU!$K$6),OR(KARTU!$K$7="",$G585=KARTU!$K$7),OR(KARTU!$K$8="",$P585=KARTU!$K$8)),MAX($AE$3:AE584)+1,""))</f>
        <v/>
      </c>
    </row>
    <row r="586" customFormat="false" ht="15" hidden="false" customHeight="false" outlineLevel="0" collapsed="false">
      <c r="A586" s="35" t="str">
        <f aca="false">IF($B586="","",COUNTA($B$4:$B586))</f>
        <v/>
      </c>
      <c r="B586" s="36"/>
      <c r="C586" s="37"/>
      <c r="D586" s="37"/>
      <c r="E586" s="38"/>
      <c r="F586" s="36"/>
      <c r="G586" s="39"/>
      <c r="H586" s="39"/>
      <c r="I586" s="36"/>
      <c r="J586" s="36"/>
      <c r="K586" s="36"/>
      <c r="L586" s="36"/>
      <c r="M586" s="40" t="str">
        <f aca="false">IF($F586="","",$F586&amp;IF($G586="",""," - RT "&amp;$G586&amp;IF($H586="","","/"&amp;$H586)))</f>
        <v/>
      </c>
      <c r="N586" s="36"/>
      <c r="O586" s="37"/>
      <c r="P586" s="39"/>
      <c r="Q586" s="41"/>
      <c r="R586" s="35" t="str">
        <f aca="true">IF(OR($B586="",$Q586=""),"",DATEDIF($Q586,TODAY(),"Y"))</f>
        <v/>
      </c>
      <c r="S586" s="40" t="str">
        <f aca="false">IF($R586="","",INDEX(usia_label,MATCH($R586,usia_min,1)))</f>
        <v/>
      </c>
      <c r="T586" s="36"/>
      <c r="U586" s="41"/>
      <c r="V586" s="36"/>
      <c r="W586" s="36"/>
      <c r="X586" s="40" t="str">
        <f aca="false">IF($M586="","",$M586&amp;"#"&amp;COUNTIF($M$4:$M586,$M586))</f>
        <v/>
      </c>
      <c r="Y586" s="40" t="str">
        <f aca="false">IF($B586="","",IF($C586="","NIK kosong",IF(LEN($C586)&lt;&gt;16,"NIK bukan 16 digit",IF(COUNTIF($C$4:$C$2003,$C586&amp;"*")&gt;1,"NIK ganda",IF(AND($D586&lt;&gt;"",LEN($D586)&lt;&gt;16),"No. KK bukan 16 digit",IF(AND($F586="",$I586=""),"Alamat kosong",IF($N586="","Jabatan kosong",IF($O586="","No. HP kosong",IF(AND($R586&lt;&gt;"",$R586&lt;17),"Usia di bawah 17","")))))))))</f>
        <v/>
      </c>
      <c r="Z586" s="40" t="str">
        <f aca="false">IF($B586="","",IF(AND(OR(CARI!$C$5="",ISNUMBER(SEARCH(CARI!$C$5,$B586&amp;" "&amp;$C586&amp;" "&amp;$D586&amp;" "&amp;$O586&amp;" "&amp;$I586&amp;" "&amp;$F586&amp;" "&amp;$J586&amp;" "&amp;$K586&amp;" "&amp;$L586&amp;" "&amp;$V586))),OR(CARI!$C$6="",$F586=CARI!$C$6),OR(CARI!$C$7="",$G586=CARI!$C$7),OR(CARI!$C$8="",$T586=CARI!$C$8)),MAX($Z$3:Z585)+1,""))</f>
        <v/>
      </c>
      <c r="AA586" s="40" t="str">
        <f aca="false">IF($Y586="","",MAX($AA$3:AA585)+1)</f>
        <v/>
      </c>
      <c r="AB586" s="40" t="str">
        <f aca="false">IF($F586="","",$F586&amp;"#"&amp;COUNTIF($F$4:$F586,$F586))</f>
        <v/>
      </c>
      <c r="AC586" s="40" t="str">
        <f aca="false">IF($B586="","",IF(AND(OR(CETAK!$J$10="",$F586=CETAK!$J$10),OR(CETAK!$J$11="",$G586=CETAK!$J$11),OR(CETAK!$J$12="",$P586=CETAK!$J$12),OR(CETAK!$J$13="",$N586=CETAK!$J$13),OR(CETAK!$J$14="",$T586=CETAK!$J$14)),MAX($AC$3:AC585)+1,""))</f>
        <v/>
      </c>
      <c r="AD586" s="40" t="str">
        <f aca="false">IF($B586="","",IF(AND(OR(ABSENSI!$H$10="",$F586=ABSENSI!$H$10),OR(ABSENSI!$H$11="",$G586=ABSENSI!$H$11),OR(ABSENSI!$H$12="",$P586=ABSENSI!$H$12)),MAX($AD$3:AD585)+1,""))</f>
        <v/>
      </c>
      <c r="AE586" s="40" t="str">
        <f aca="false">IF($B586="","",IF(AND(OR(KARTU!$K$6="",$F586=KARTU!$K$6),OR(KARTU!$K$7="",$G586=KARTU!$K$7),OR(KARTU!$K$8="",$P586=KARTU!$K$8)),MAX($AE$3:AE585)+1,""))</f>
        <v/>
      </c>
    </row>
    <row r="587" customFormat="false" ht="15" hidden="false" customHeight="false" outlineLevel="0" collapsed="false">
      <c r="A587" s="35" t="str">
        <f aca="false">IF($B587="","",COUNTA($B$4:$B587))</f>
        <v/>
      </c>
      <c r="B587" s="36"/>
      <c r="C587" s="37"/>
      <c r="D587" s="37"/>
      <c r="E587" s="38"/>
      <c r="F587" s="36"/>
      <c r="G587" s="39"/>
      <c r="H587" s="39"/>
      <c r="I587" s="36"/>
      <c r="J587" s="36"/>
      <c r="K587" s="36"/>
      <c r="L587" s="36"/>
      <c r="M587" s="40" t="str">
        <f aca="false">IF($F587="","",$F587&amp;IF($G587="",""," - RT "&amp;$G587&amp;IF($H587="","","/"&amp;$H587)))</f>
        <v/>
      </c>
      <c r="N587" s="36"/>
      <c r="O587" s="37"/>
      <c r="P587" s="39"/>
      <c r="Q587" s="41"/>
      <c r="R587" s="35" t="str">
        <f aca="true">IF(OR($B587="",$Q587=""),"",DATEDIF($Q587,TODAY(),"Y"))</f>
        <v/>
      </c>
      <c r="S587" s="40" t="str">
        <f aca="false">IF($R587="","",INDEX(usia_label,MATCH($R587,usia_min,1)))</f>
        <v/>
      </c>
      <c r="T587" s="36"/>
      <c r="U587" s="41"/>
      <c r="V587" s="36"/>
      <c r="W587" s="36"/>
      <c r="X587" s="40" t="str">
        <f aca="false">IF($M587="","",$M587&amp;"#"&amp;COUNTIF($M$4:$M587,$M587))</f>
        <v/>
      </c>
      <c r="Y587" s="40" t="str">
        <f aca="false">IF($B587="","",IF($C587="","NIK kosong",IF(LEN($C587)&lt;&gt;16,"NIK bukan 16 digit",IF(COUNTIF($C$4:$C$2003,$C587&amp;"*")&gt;1,"NIK ganda",IF(AND($D587&lt;&gt;"",LEN($D587)&lt;&gt;16),"No. KK bukan 16 digit",IF(AND($F587="",$I587=""),"Alamat kosong",IF($N587="","Jabatan kosong",IF($O587="","No. HP kosong",IF(AND($R587&lt;&gt;"",$R587&lt;17),"Usia di bawah 17","")))))))))</f>
        <v/>
      </c>
      <c r="Z587" s="40" t="str">
        <f aca="false">IF($B587="","",IF(AND(OR(CARI!$C$5="",ISNUMBER(SEARCH(CARI!$C$5,$B587&amp;" "&amp;$C587&amp;" "&amp;$D587&amp;" "&amp;$O587&amp;" "&amp;$I587&amp;" "&amp;$F587&amp;" "&amp;$J587&amp;" "&amp;$K587&amp;" "&amp;$L587&amp;" "&amp;$V587))),OR(CARI!$C$6="",$F587=CARI!$C$6),OR(CARI!$C$7="",$G587=CARI!$C$7),OR(CARI!$C$8="",$T587=CARI!$C$8)),MAX($Z$3:Z586)+1,""))</f>
        <v/>
      </c>
      <c r="AA587" s="40" t="str">
        <f aca="false">IF($Y587="","",MAX($AA$3:AA586)+1)</f>
        <v/>
      </c>
      <c r="AB587" s="40" t="str">
        <f aca="false">IF($F587="","",$F587&amp;"#"&amp;COUNTIF($F$4:$F587,$F587))</f>
        <v/>
      </c>
      <c r="AC587" s="40" t="str">
        <f aca="false">IF($B587="","",IF(AND(OR(CETAK!$J$10="",$F587=CETAK!$J$10),OR(CETAK!$J$11="",$G587=CETAK!$J$11),OR(CETAK!$J$12="",$P587=CETAK!$J$12),OR(CETAK!$J$13="",$N587=CETAK!$J$13),OR(CETAK!$J$14="",$T587=CETAK!$J$14)),MAX($AC$3:AC586)+1,""))</f>
        <v/>
      </c>
      <c r="AD587" s="40" t="str">
        <f aca="false">IF($B587="","",IF(AND(OR(ABSENSI!$H$10="",$F587=ABSENSI!$H$10),OR(ABSENSI!$H$11="",$G587=ABSENSI!$H$11),OR(ABSENSI!$H$12="",$P587=ABSENSI!$H$12)),MAX($AD$3:AD586)+1,""))</f>
        <v/>
      </c>
      <c r="AE587" s="40" t="str">
        <f aca="false">IF($B587="","",IF(AND(OR(KARTU!$K$6="",$F587=KARTU!$K$6),OR(KARTU!$K$7="",$G587=KARTU!$K$7),OR(KARTU!$K$8="",$P587=KARTU!$K$8)),MAX($AE$3:AE586)+1,""))</f>
        <v/>
      </c>
    </row>
    <row r="588" customFormat="false" ht="15" hidden="false" customHeight="false" outlineLevel="0" collapsed="false">
      <c r="A588" s="35" t="str">
        <f aca="false">IF($B588="","",COUNTA($B$4:$B588))</f>
        <v/>
      </c>
      <c r="B588" s="36"/>
      <c r="C588" s="37"/>
      <c r="D588" s="37"/>
      <c r="E588" s="38"/>
      <c r="F588" s="36"/>
      <c r="G588" s="39"/>
      <c r="H588" s="39"/>
      <c r="I588" s="36"/>
      <c r="J588" s="36"/>
      <c r="K588" s="36"/>
      <c r="L588" s="36"/>
      <c r="M588" s="40" t="str">
        <f aca="false">IF($F588="","",$F588&amp;IF($G588="",""," - RT "&amp;$G588&amp;IF($H588="","","/"&amp;$H588)))</f>
        <v/>
      </c>
      <c r="N588" s="36"/>
      <c r="O588" s="37"/>
      <c r="P588" s="39"/>
      <c r="Q588" s="41"/>
      <c r="R588" s="35" t="str">
        <f aca="true">IF(OR($B588="",$Q588=""),"",DATEDIF($Q588,TODAY(),"Y"))</f>
        <v/>
      </c>
      <c r="S588" s="40" t="str">
        <f aca="false">IF($R588="","",INDEX(usia_label,MATCH($R588,usia_min,1)))</f>
        <v/>
      </c>
      <c r="T588" s="36"/>
      <c r="U588" s="41"/>
      <c r="V588" s="36"/>
      <c r="W588" s="36"/>
      <c r="X588" s="40" t="str">
        <f aca="false">IF($M588="","",$M588&amp;"#"&amp;COUNTIF($M$4:$M588,$M588))</f>
        <v/>
      </c>
      <c r="Y588" s="40" t="str">
        <f aca="false">IF($B588="","",IF($C588="","NIK kosong",IF(LEN($C588)&lt;&gt;16,"NIK bukan 16 digit",IF(COUNTIF($C$4:$C$2003,$C588&amp;"*")&gt;1,"NIK ganda",IF(AND($D588&lt;&gt;"",LEN($D588)&lt;&gt;16),"No. KK bukan 16 digit",IF(AND($F588="",$I588=""),"Alamat kosong",IF($N588="","Jabatan kosong",IF($O588="","No. HP kosong",IF(AND($R588&lt;&gt;"",$R588&lt;17),"Usia di bawah 17","")))))))))</f>
        <v/>
      </c>
      <c r="Z588" s="40" t="str">
        <f aca="false">IF($B588="","",IF(AND(OR(CARI!$C$5="",ISNUMBER(SEARCH(CARI!$C$5,$B588&amp;" "&amp;$C588&amp;" "&amp;$D588&amp;" "&amp;$O588&amp;" "&amp;$I588&amp;" "&amp;$F588&amp;" "&amp;$J588&amp;" "&amp;$K588&amp;" "&amp;$L588&amp;" "&amp;$V588))),OR(CARI!$C$6="",$F588=CARI!$C$6),OR(CARI!$C$7="",$G588=CARI!$C$7),OR(CARI!$C$8="",$T588=CARI!$C$8)),MAX($Z$3:Z587)+1,""))</f>
        <v/>
      </c>
      <c r="AA588" s="40" t="str">
        <f aca="false">IF($Y588="","",MAX($AA$3:AA587)+1)</f>
        <v/>
      </c>
      <c r="AB588" s="40" t="str">
        <f aca="false">IF($F588="","",$F588&amp;"#"&amp;COUNTIF($F$4:$F588,$F588))</f>
        <v/>
      </c>
      <c r="AC588" s="40" t="str">
        <f aca="false">IF($B588="","",IF(AND(OR(CETAK!$J$10="",$F588=CETAK!$J$10),OR(CETAK!$J$11="",$G588=CETAK!$J$11),OR(CETAK!$J$12="",$P588=CETAK!$J$12),OR(CETAK!$J$13="",$N588=CETAK!$J$13),OR(CETAK!$J$14="",$T588=CETAK!$J$14)),MAX($AC$3:AC587)+1,""))</f>
        <v/>
      </c>
      <c r="AD588" s="40" t="str">
        <f aca="false">IF($B588="","",IF(AND(OR(ABSENSI!$H$10="",$F588=ABSENSI!$H$10),OR(ABSENSI!$H$11="",$G588=ABSENSI!$H$11),OR(ABSENSI!$H$12="",$P588=ABSENSI!$H$12)),MAX($AD$3:AD587)+1,""))</f>
        <v/>
      </c>
      <c r="AE588" s="40" t="str">
        <f aca="false">IF($B588="","",IF(AND(OR(KARTU!$K$6="",$F588=KARTU!$K$6),OR(KARTU!$K$7="",$G588=KARTU!$K$7),OR(KARTU!$K$8="",$P588=KARTU!$K$8)),MAX($AE$3:AE587)+1,""))</f>
        <v/>
      </c>
    </row>
    <row r="589" customFormat="false" ht="15" hidden="false" customHeight="false" outlineLevel="0" collapsed="false">
      <c r="A589" s="35" t="str">
        <f aca="false">IF($B589="","",COUNTA($B$4:$B589))</f>
        <v/>
      </c>
      <c r="B589" s="36"/>
      <c r="C589" s="37"/>
      <c r="D589" s="37"/>
      <c r="E589" s="38"/>
      <c r="F589" s="36"/>
      <c r="G589" s="39"/>
      <c r="H589" s="39"/>
      <c r="I589" s="36"/>
      <c r="J589" s="36"/>
      <c r="K589" s="36"/>
      <c r="L589" s="36"/>
      <c r="M589" s="40" t="str">
        <f aca="false">IF($F589="","",$F589&amp;IF($G589="",""," - RT "&amp;$G589&amp;IF($H589="","","/"&amp;$H589)))</f>
        <v/>
      </c>
      <c r="N589" s="36"/>
      <c r="O589" s="37"/>
      <c r="P589" s="39"/>
      <c r="Q589" s="41"/>
      <c r="R589" s="35" t="str">
        <f aca="true">IF(OR($B589="",$Q589=""),"",DATEDIF($Q589,TODAY(),"Y"))</f>
        <v/>
      </c>
      <c r="S589" s="40" t="str">
        <f aca="false">IF($R589="","",INDEX(usia_label,MATCH($R589,usia_min,1)))</f>
        <v/>
      </c>
      <c r="T589" s="36"/>
      <c r="U589" s="41"/>
      <c r="V589" s="36"/>
      <c r="W589" s="36"/>
      <c r="X589" s="40" t="str">
        <f aca="false">IF($M589="","",$M589&amp;"#"&amp;COUNTIF($M$4:$M589,$M589))</f>
        <v/>
      </c>
      <c r="Y589" s="40" t="str">
        <f aca="false">IF($B589="","",IF($C589="","NIK kosong",IF(LEN($C589)&lt;&gt;16,"NIK bukan 16 digit",IF(COUNTIF($C$4:$C$2003,$C589&amp;"*")&gt;1,"NIK ganda",IF(AND($D589&lt;&gt;"",LEN($D589)&lt;&gt;16),"No. KK bukan 16 digit",IF(AND($F589="",$I589=""),"Alamat kosong",IF($N589="","Jabatan kosong",IF($O589="","No. HP kosong",IF(AND($R589&lt;&gt;"",$R589&lt;17),"Usia di bawah 17","")))))))))</f>
        <v/>
      </c>
      <c r="Z589" s="40" t="str">
        <f aca="false">IF($B589="","",IF(AND(OR(CARI!$C$5="",ISNUMBER(SEARCH(CARI!$C$5,$B589&amp;" "&amp;$C589&amp;" "&amp;$D589&amp;" "&amp;$O589&amp;" "&amp;$I589&amp;" "&amp;$F589&amp;" "&amp;$J589&amp;" "&amp;$K589&amp;" "&amp;$L589&amp;" "&amp;$V589))),OR(CARI!$C$6="",$F589=CARI!$C$6),OR(CARI!$C$7="",$G589=CARI!$C$7),OR(CARI!$C$8="",$T589=CARI!$C$8)),MAX($Z$3:Z588)+1,""))</f>
        <v/>
      </c>
      <c r="AA589" s="40" t="str">
        <f aca="false">IF($Y589="","",MAX($AA$3:AA588)+1)</f>
        <v/>
      </c>
      <c r="AB589" s="40" t="str">
        <f aca="false">IF($F589="","",$F589&amp;"#"&amp;COUNTIF($F$4:$F589,$F589))</f>
        <v/>
      </c>
      <c r="AC589" s="40" t="str">
        <f aca="false">IF($B589="","",IF(AND(OR(CETAK!$J$10="",$F589=CETAK!$J$10),OR(CETAK!$J$11="",$G589=CETAK!$J$11),OR(CETAK!$J$12="",$P589=CETAK!$J$12),OR(CETAK!$J$13="",$N589=CETAK!$J$13),OR(CETAK!$J$14="",$T589=CETAK!$J$14)),MAX($AC$3:AC588)+1,""))</f>
        <v/>
      </c>
      <c r="AD589" s="40" t="str">
        <f aca="false">IF($B589="","",IF(AND(OR(ABSENSI!$H$10="",$F589=ABSENSI!$H$10),OR(ABSENSI!$H$11="",$G589=ABSENSI!$H$11),OR(ABSENSI!$H$12="",$P589=ABSENSI!$H$12)),MAX($AD$3:AD588)+1,""))</f>
        <v/>
      </c>
      <c r="AE589" s="40" t="str">
        <f aca="false">IF($B589="","",IF(AND(OR(KARTU!$K$6="",$F589=KARTU!$K$6),OR(KARTU!$K$7="",$G589=KARTU!$K$7),OR(KARTU!$K$8="",$P589=KARTU!$K$8)),MAX($AE$3:AE588)+1,""))</f>
        <v/>
      </c>
    </row>
    <row r="590" customFormat="false" ht="15" hidden="false" customHeight="false" outlineLevel="0" collapsed="false">
      <c r="A590" s="35" t="str">
        <f aca="false">IF($B590="","",COUNTA($B$4:$B590))</f>
        <v/>
      </c>
      <c r="B590" s="36"/>
      <c r="C590" s="37"/>
      <c r="D590" s="37"/>
      <c r="E590" s="38"/>
      <c r="F590" s="36"/>
      <c r="G590" s="39"/>
      <c r="H590" s="39"/>
      <c r="I590" s="36"/>
      <c r="J590" s="36"/>
      <c r="K590" s="36"/>
      <c r="L590" s="36"/>
      <c r="M590" s="40" t="str">
        <f aca="false">IF($F590="","",$F590&amp;IF($G590="",""," - RT "&amp;$G590&amp;IF($H590="","","/"&amp;$H590)))</f>
        <v/>
      </c>
      <c r="N590" s="36"/>
      <c r="O590" s="37"/>
      <c r="P590" s="39"/>
      <c r="Q590" s="41"/>
      <c r="R590" s="35" t="str">
        <f aca="true">IF(OR($B590="",$Q590=""),"",DATEDIF($Q590,TODAY(),"Y"))</f>
        <v/>
      </c>
      <c r="S590" s="40" t="str">
        <f aca="false">IF($R590="","",INDEX(usia_label,MATCH($R590,usia_min,1)))</f>
        <v/>
      </c>
      <c r="T590" s="36"/>
      <c r="U590" s="41"/>
      <c r="V590" s="36"/>
      <c r="W590" s="36"/>
      <c r="X590" s="40" t="str">
        <f aca="false">IF($M590="","",$M590&amp;"#"&amp;COUNTIF($M$4:$M590,$M590))</f>
        <v/>
      </c>
      <c r="Y590" s="40" t="str">
        <f aca="false">IF($B590="","",IF($C590="","NIK kosong",IF(LEN($C590)&lt;&gt;16,"NIK bukan 16 digit",IF(COUNTIF($C$4:$C$2003,$C590&amp;"*")&gt;1,"NIK ganda",IF(AND($D590&lt;&gt;"",LEN($D590)&lt;&gt;16),"No. KK bukan 16 digit",IF(AND($F590="",$I590=""),"Alamat kosong",IF($N590="","Jabatan kosong",IF($O590="","No. HP kosong",IF(AND($R590&lt;&gt;"",$R590&lt;17),"Usia di bawah 17","")))))))))</f>
        <v/>
      </c>
      <c r="Z590" s="40" t="str">
        <f aca="false">IF($B590="","",IF(AND(OR(CARI!$C$5="",ISNUMBER(SEARCH(CARI!$C$5,$B590&amp;" "&amp;$C590&amp;" "&amp;$D590&amp;" "&amp;$O590&amp;" "&amp;$I590&amp;" "&amp;$F590&amp;" "&amp;$J590&amp;" "&amp;$K590&amp;" "&amp;$L590&amp;" "&amp;$V590))),OR(CARI!$C$6="",$F590=CARI!$C$6),OR(CARI!$C$7="",$G590=CARI!$C$7),OR(CARI!$C$8="",$T590=CARI!$C$8)),MAX($Z$3:Z589)+1,""))</f>
        <v/>
      </c>
      <c r="AA590" s="40" t="str">
        <f aca="false">IF($Y590="","",MAX($AA$3:AA589)+1)</f>
        <v/>
      </c>
      <c r="AB590" s="40" t="str">
        <f aca="false">IF($F590="","",$F590&amp;"#"&amp;COUNTIF($F$4:$F590,$F590))</f>
        <v/>
      </c>
      <c r="AC590" s="40" t="str">
        <f aca="false">IF($B590="","",IF(AND(OR(CETAK!$J$10="",$F590=CETAK!$J$10),OR(CETAK!$J$11="",$G590=CETAK!$J$11),OR(CETAK!$J$12="",$P590=CETAK!$J$12),OR(CETAK!$J$13="",$N590=CETAK!$J$13),OR(CETAK!$J$14="",$T590=CETAK!$J$14)),MAX($AC$3:AC589)+1,""))</f>
        <v/>
      </c>
      <c r="AD590" s="40" t="str">
        <f aca="false">IF($B590="","",IF(AND(OR(ABSENSI!$H$10="",$F590=ABSENSI!$H$10),OR(ABSENSI!$H$11="",$G590=ABSENSI!$H$11),OR(ABSENSI!$H$12="",$P590=ABSENSI!$H$12)),MAX($AD$3:AD589)+1,""))</f>
        <v/>
      </c>
      <c r="AE590" s="40" t="str">
        <f aca="false">IF($B590="","",IF(AND(OR(KARTU!$K$6="",$F590=KARTU!$K$6),OR(KARTU!$K$7="",$G590=KARTU!$K$7),OR(KARTU!$K$8="",$P590=KARTU!$K$8)),MAX($AE$3:AE589)+1,""))</f>
        <v/>
      </c>
    </row>
    <row r="591" customFormat="false" ht="15" hidden="false" customHeight="false" outlineLevel="0" collapsed="false">
      <c r="A591" s="35" t="str">
        <f aca="false">IF($B591="","",COUNTA($B$4:$B591))</f>
        <v/>
      </c>
      <c r="B591" s="36"/>
      <c r="C591" s="37"/>
      <c r="D591" s="37"/>
      <c r="E591" s="38"/>
      <c r="F591" s="36"/>
      <c r="G591" s="39"/>
      <c r="H591" s="39"/>
      <c r="I591" s="36"/>
      <c r="J591" s="36"/>
      <c r="K591" s="36"/>
      <c r="L591" s="36"/>
      <c r="M591" s="40" t="str">
        <f aca="false">IF($F591="","",$F591&amp;IF($G591="",""," - RT "&amp;$G591&amp;IF($H591="","","/"&amp;$H591)))</f>
        <v/>
      </c>
      <c r="N591" s="36"/>
      <c r="O591" s="37"/>
      <c r="P591" s="39"/>
      <c r="Q591" s="41"/>
      <c r="R591" s="35" t="str">
        <f aca="true">IF(OR($B591="",$Q591=""),"",DATEDIF($Q591,TODAY(),"Y"))</f>
        <v/>
      </c>
      <c r="S591" s="40" t="str">
        <f aca="false">IF($R591="","",INDEX(usia_label,MATCH($R591,usia_min,1)))</f>
        <v/>
      </c>
      <c r="T591" s="36"/>
      <c r="U591" s="41"/>
      <c r="V591" s="36"/>
      <c r="W591" s="36"/>
      <c r="X591" s="40" t="str">
        <f aca="false">IF($M591="","",$M591&amp;"#"&amp;COUNTIF($M$4:$M591,$M591))</f>
        <v/>
      </c>
      <c r="Y591" s="40" t="str">
        <f aca="false">IF($B591="","",IF($C591="","NIK kosong",IF(LEN($C591)&lt;&gt;16,"NIK bukan 16 digit",IF(COUNTIF($C$4:$C$2003,$C591&amp;"*")&gt;1,"NIK ganda",IF(AND($D591&lt;&gt;"",LEN($D591)&lt;&gt;16),"No. KK bukan 16 digit",IF(AND($F591="",$I591=""),"Alamat kosong",IF($N591="","Jabatan kosong",IF($O591="","No. HP kosong",IF(AND($R591&lt;&gt;"",$R591&lt;17),"Usia di bawah 17","")))))))))</f>
        <v/>
      </c>
      <c r="Z591" s="40" t="str">
        <f aca="false">IF($B591="","",IF(AND(OR(CARI!$C$5="",ISNUMBER(SEARCH(CARI!$C$5,$B591&amp;" "&amp;$C591&amp;" "&amp;$D591&amp;" "&amp;$O591&amp;" "&amp;$I591&amp;" "&amp;$F591&amp;" "&amp;$J591&amp;" "&amp;$K591&amp;" "&amp;$L591&amp;" "&amp;$V591))),OR(CARI!$C$6="",$F591=CARI!$C$6),OR(CARI!$C$7="",$G591=CARI!$C$7),OR(CARI!$C$8="",$T591=CARI!$C$8)),MAX($Z$3:Z590)+1,""))</f>
        <v/>
      </c>
      <c r="AA591" s="40" t="str">
        <f aca="false">IF($Y591="","",MAX($AA$3:AA590)+1)</f>
        <v/>
      </c>
      <c r="AB591" s="40" t="str">
        <f aca="false">IF($F591="","",$F591&amp;"#"&amp;COUNTIF($F$4:$F591,$F591))</f>
        <v/>
      </c>
      <c r="AC591" s="40" t="str">
        <f aca="false">IF($B591="","",IF(AND(OR(CETAK!$J$10="",$F591=CETAK!$J$10),OR(CETAK!$J$11="",$G591=CETAK!$J$11),OR(CETAK!$J$12="",$P591=CETAK!$J$12),OR(CETAK!$J$13="",$N591=CETAK!$J$13),OR(CETAK!$J$14="",$T591=CETAK!$J$14)),MAX($AC$3:AC590)+1,""))</f>
        <v/>
      </c>
      <c r="AD591" s="40" t="str">
        <f aca="false">IF($B591="","",IF(AND(OR(ABSENSI!$H$10="",$F591=ABSENSI!$H$10),OR(ABSENSI!$H$11="",$G591=ABSENSI!$H$11),OR(ABSENSI!$H$12="",$P591=ABSENSI!$H$12)),MAX($AD$3:AD590)+1,""))</f>
        <v/>
      </c>
      <c r="AE591" s="40" t="str">
        <f aca="false">IF($B591="","",IF(AND(OR(KARTU!$K$6="",$F591=KARTU!$K$6),OR(KARTU!$K$7="",$G591=KARTU!$K$7),OR(KARTU!$K$8="",$P591=KARTU!$K$8)),MAX($AE$3:AE590)+1,""))</f>
        <v/>
      </c>
    </row>
    <row r="592" customFormat="false" ht="15" hidden="false" customHeight="false" outlineLevel="0" collapsed="false">
      <c r="A592" s="35" t="str">
        <f aca="false">IF($B592="","",COUNTA($B$4:$B592))</f>
        <v/>
      </c>
      <c r="B592" s="36"/>
      <c r="C592" s="37"/>
      <c r="D592" s="37"/>
      <c r="E592" s="38"/>
      <c r="F592" s="36"/>
      <c r="G592" s="39"/>
      <c r="H592" s="39"/>
      <c r="I592" s="36"/>
      <c r="J592" s="36"/>
      <c r="K592" s="36"/>
      <c r="L592" s="36"/>
      <c r="M592" s="40" t="str">
        <f aca="false">IF($F592="","",$F592&amp;IF($G592="",""," - RT "&amp;$G592&amp;IF($H592="","","/"&amp;$H592)))</f>
        <v/>
      </c>
      <c r="N592" s="36"/>
      <c r="O592" s="37"/>
      <c r="P592" s="39"/>
      <c r="Q592" s="41"/>
      <c r="R592" s="35" t="str">
        <f aca="true">IF(OR($B592="",$Q592=""),"",DATEDIF($Q592,TODAY(),"Y"))</f>
        <v/>
      </c>
      <c r="S592" s="40" t="str">
        <f aca="false">IF($R592="","",INDEX(usia_label,MATCH($R592,usia_min,1)))</f>
        <v/>
      </c>
      <c r="T592" s="36"/>
      <c r="U592" s="41"/>
      <c r="V592" s="36"/>
      <c r="W592" s="36"/>
      <c r="X592" s="40" t="str">
        <f aca="false">IF($M592="","",$M592&amp;"#"&amp;COUNTIF($M$4:$M592,$M592))</f>
        <v/>
      </c>
      <c r="Y592" s="40" t="str">
        <f aca="false">IF($B592="","",IF($C592="","NIK kosong",IF(LEN($C592)&lt;&gt;16,"NIK bukan 16 digit",IF(COUNTIF($C$4:$C$2003,$C592&amp;"*")&gt;1,"NIK ganda",IF(AND($D592&lt;&gt;"",LEN($D592)&lt;&gt;16),"No. KK bukan 16 digit",IF(AND($F592="",$I592=""),"Alamat kosong",IF($N592="","Jabatan kosong",IF($O592="","No. HP kosong",IF(AND($R592&lt;&gt;"",$R592&lt;17),"Usia di bawah 17","")))))))))</f>
        <v/>
      </c>
      <c r="Z592" s="40" t="str">
        <f aca="false">IF($B592="","",IF(AND(OR(CARI!$C$5="",ISNUMBER(SEARCH(CARI!$C$5,$B592&amp;" "&amp;$C592&amp;" "&amp;$D592&amp;" "&amp;$O592&amp;" "&amp;$I592&amp;" "&amp;$F592&amp;" "&amp;$J592&amp;" "&amp;$K592&amp;" "&amp;$L592&amp;" "&amp;$V592))),OR(CARI!$C$6="",$F592=CARI!$C$6),OR(CARI!$C$7="",$G592=CARI!$C$7),OR(CARI!$C$8="",$T592=CARI!$C$8)),MAX($Z$3:Z591)+1,""))</f>
        <v/>
      </c>
      <c r="AA592" s="40" t="str">
        <f aca="false">IF($Y592="","",MAX($AA$3:AA591)+1)</f>
        <v/>
      </c>
      <c r="AB592" s="40" t="str">
        <f aca="false">IF($F592="","",$F592&amp;"#"&amp;COUNTIF($F$4:$F592,$F592))</f>
        <v/>
      </c>
      <c r="AC592" s="40" t="str">
        <f aca="false">IF($B592="","",IF(AND(OR(CETAK!$J$10="",$F592=CETAK!$J$10),OR(CETAK!$J$11="",$G592=CETAK!$J$11),OR(CETAK!$J$12="",$P592=CETAK!$J$12),OR(CETAK!$J$13="",$N592=CETAK!$J$13),OR(CETAK!$J$14="",$T592=CETAK!$J$14)),MAX($AC$3:AC591)+1,""))</f>
        <v/>
      </c>
      <c r="AD592" s="40" t="str">
        <f aca="false">IF($B592="","",IF(AND(OR(ABSENSI!$H$10="",$F592=ABSENSI!$H$10),OR(ABSENSI!$H$11="",$G592=ABSENSI!$H$11),OR(ABSENSI!$H$12="",$P592=ABSENSI!$H$12)),MAX($AD$3:AD591)+1,""))</f>
        <v/>
      </c>
      <c r="AE592" s="40" t="str">
        <f aca="false">IF($B592="","",IF(AND(OR(KARTU!$K$6="",$F592=KARTU!$K$6),OR(KARTU!$K$7="",$G592=KARTU!$K$7),OR(KARTU!$K$8="",$P592=KARTU!$K$8)),MAX($AE$3:AE591)+1,""))</f>
        <v/>
      </c>
    </row>
    <row r="593" customFormat="false" ht="15" hidden="false" customHeight="false" outlineLevel="0" collapsed="false">
      <c r="A593" s="35" t="str">
        <f aca="false">IF($B593="","",COUNTA($B$4:$B593))</f>
        <v/>
      </c>
      <c r="B593" s="36"/>
      <c r="C593" s="37"/>
      <c r="D593" s="37"/>
      <c r="E593" s="38"/>
      <c r="F593" s="36"/>
      <c r="G593" s="39"/>
      <c r="H593" s="39"/>
      <c r="I593" s="36"/>
      <c r="J593" s="36"/>
      <c r="K593" s="36"/>
      <c r="L593" s="36"/>
      <c r="M593" s="40" t="str">
        <f aca="false">IF($F593="","",$F593&amp;IF($G593="",""," - RT "&amp;$G593&amp;IF($H593="","","/"&amp;$H593)))</f>
        <v/>
      </c>
      <c r="N593" s="36"/>
      <c r="O593" s="37"/>
      <c r="P593" s="39"/>
      <c r="Q593" s="41"/>
      <c r="R593" s="35" t="str">
        <f aca="true">IF(OR($B593="",$Q593=""),"",DATEDIF($Q593,TODAY(),"Y"))</f>
        <v/>
      </c>
      <c r="S593" s="40" t="str">
        <f aca="false">IF($R593="","",INDEX(usia_label,MATCH($R593,usia_min,1)))</f>
        <v/>
      </c>
      <c r="T593" s="36"/>
      <c r="U593" s="41"/>
      <c r="V593" s="36"/>
      <c r="W593" s="36"/>
      <c r="X593" s="40" t="str">
        <f aca="false">IF($M593="","",$M593&amp;"#"&amp;COUNTIF($M$4:$M593,$M593))</f>
        <v/>
      </c>
      <c r="Y593" s="40" t="str">
        <f aca="false">IF($B593="","",IF($C593="","NIK kosong",IF(LEN($C593)&lt;&gt;16,"NIK bukan 16 digit",IF(COUNTIF($C$4:$C$2003,$C593&amp;"*")&gt;1,"NIK ganda",IF(AND($D593&lt;&gt;"",LEN($D593)&lt;&gt;16),"No. KK bukan 16 digit",IF(AND($F593="",$I593=""),"Alamat kosong",IF($N593="","Jabatan kosong",IF($O593="","No. HP kosong",IF(AND($R593&lt;&gt;"",$R593&lt;17),"Usia di bawah 17","")))))))))</f>
        <v/>
      </c>
      <c r="Z593" s="40" t="str">
        <f aca="false">IF($B593="","",IF(AND(OR(CARI!$C$5="",ISNUMBER(SEARCH(CARI!$C$5,$B593&amp;" "&amp;$C593&amp;" "&amp;$D593&amp;" "&amp;$O593&amp;" "&amp;$I593&amp;" "&amp;$F593&amp;" "&amp;$J593&amp;" "&amp;$K593&amp;" "&amp;$L593&amp;" "&amp;$V593))),OR(CARI!$C$6="",$F593=CARI!$C$6),OR(CARI!$C$7="",$G593=CARI!$C$7),OR(CARI!$C$8="",$T593=CARI!$C$8)),MAX($Z$3:Z592)+1,""))</f>
        <v/>
      </c>
      <c r="AA593" s="40" t="str">
        <f aca="false">IF($Y593="","",MAX($AA$3:AA592)+1)</f>
        <v/>
      </c>
      <c r="AB593" s="40" t="str">
        <f aca="false">IF($F593="","",$F593&amp;"#"&amp;COUNTIF($F$4:$F593,$F593))</f>
        <v/>
      </c>
      <c r="AC593" s="40" t="str">
        <f aca="false">IF($B593="","",IF(AND(OR(CETAK!$J$10="",$F593=CETAK!$J$10),OR(CETAK!$J$11="",$G593=CETAK!$J$11),OR(CETAK!$J$12="",$P593=CETAK!$J$12),OR(CETAK!$J$13="",$N593=CETAK!$J$13),OR(CETAK!$J$14="",$T593=CETAK!$J$14)),MAX($AC$3:AC592)+1,""))</f>
        <v/>
      </c>
      <c r="AD593" s="40" t="str">
        <f aca="false">IF($B593="","",IF(AND(OR(ABSENSI!$H$10="",$F593=ABSENSI!$H$10),OR(ABSENSI!$H$11="",$G593=ABSENSI!$H$11),OR(ABSENSI!$H$12="",$P593=ABSENSI!$H$12)),MAX($AD$3:AD592)+1,""))</f>
        <v/>
      </c>
      <c r="AE593" s="40" t="str">
        <f aca="false">IF($B593="","",IF(AND(OR(KARTU!$K$6="",$F593=KARTU!$K$6),OR(KARTU!$K$7="",$G593=KARTU!$K$7),OR(KARTU!$K$8="",$P593=KARTU!$K$8)),MAX($AE$3:AE592)+1,""))</f>
        <v/>
      </c>
    </row>
    <row r="594" customFormat="false" ht="15" hidden="false" customHeight="false" outlineLevel="0" collapsed="false">
      <c r="A594" s="35" t="str">
        <f aca="false">IF($B594="","",COUNTA($B$4:$B594))</f>
        <v/>
      </c>
      <c r="B594" s="36"/>
      <c r="C594" s="37"/>
      <c r="D594" s="37"/>
      <c r="E594" s="38"/>
      <c r="F594" s="36"/>
      <c r="G594" s="39"/>
      <c r="H594" s="39"/>
      <c r="I594" s="36"/>
      <c r="J594" s="36"/>
      <c r="K594" s="36"/>
      <c r="L594" s="36"/>
      <c r="M594" s="40" t="str">
        <f aca="false">IF($F594="","",$F594&amp;IF($G594="",""," - RT "&amp;$G594&amp;IF($H594="","","/"&amp;$H594)))</f>
        <v/>
      </c>
      <c r="N594" s="36"/>
      <c r="O594" s="37"/>
      <c r="P594" s="39"/>
      <c r="Q594" s="41"/>
      <c r="R594" s="35" t="str">
        <f aca="true">IF(OR($B594="",$Q594=""),"",DATEDIF($Q594,TODAY(),"Y"))</f>
        <v/>
      </c>
      <c r="S594" s="40" t="str">
        <f aca="false">IF($R594="","",INDEX(usia_label,MATCH($R594,usia_min,1)))</f>
        <v/>
      </c>
      <c r="T594" s="36"/>
      <c r="U594" s="41"/>
      <c r="V594" s="36"/>
      <c r="W594" s="36"/>
      <c r="X594" s="40" t="str">
        <f aca="false">IF($M594="","",$M594&amp;"#"&amp;COUNTIF($M$4:$M594,$M594))</f>
        <v/>
      </c>
      <c r="Y594" s="40" t="str">
        <f aca="false">IF($B594="","",IF($C594="","NIK kosong",IF(LEN($C594)&lt;&gt;16,"NIK bukan 16 digit",IF(COUNTIF($C$4:$C$2003,$C594&amp;"*")&gt;1,"NIK ganda",IF(AND($D594&lt;&gt;"",LEN($D594)&lt;&gt;16),"No. KK bukan 16 digit",IF(AND($F594="",$I594=""),"Alamat kosong",IF($N594="","Jabatan kosong",IF($O594="","No. HP kosong",IF(AND($R594&lt;&gt;"",$R594&lt;17),"Usia di bawah 17","")))))))))</f>
        <v/>
      </c>
      <c r="Z594" s="40" t="str">
        <f aca="false">IF($B594="","",IF(AND(OR(CARI!$C$5="",ISNUMBER(SEARCH(CARI!$C$5,$B594&amp;" "&amp;$C594&amp;" "&amp;$D594&amp;" "&amp;$O594&amp;" "&amp;$I594&amp;" "&amp;$F594&amp;" "&amp;$J594&amp;" "&amp;$K594&amp;" "&amp;$L594&amp;" "&amp;$V594))),OR(CARI!$C$6="",$F594=CARI!$C$6),OR(CARI!$C$7="",$G594=CARI!$C$7),OR(CARI!$C$8="",$T594=CARI!$C$8)),MAX($Z$3:Z593)+1,""))</f>
        <v/>
      </c>
      <c r="AA594" s="40" t="str">
        <f aca="false">IF($Y594="","",MAX($AA$3:AA593)+1)</f>
        <v/>
      </c>
      <c r="AB594" s="40" t="str">
        <f aca="false">IF($F594="","",$F594&amp;"#"&amp;COUNTIF($F$4:$F594,$F594))</f>
        <v/>
      </c>
      <c r="AC594" s="40" t="str">
        <f aca="false">IF($B594="","",IF(AND(OR(CETAK!$J$10="",$F594=CETAK!$J$10),OR(CETAK!$J$11="",$G594=CETAK!$J$11),OR(CETAK!$J$12="",$P594=CETAK!$J$12),OR(CETAK!$J$13="",$N594=CETAK!$J$13),OR(CETAK!$J$14="",$T594=CETAK!$J$14)),MAX($AC$3:AC593)+1,""))</f>
        <v/>
      </c>
      <c r="AD594" s="40" t="str">
        <f aca="false">IF($B594="","",IF(AND(OR(ABSENSI!$H$10="",$F594=ABSENSI!$H$10),OR(ABSENSI!$H$11="",$G594=ABSENSI!$H$11),OR(ABSENSI!$H$12="",$P594=ABSENSI!$H$12)),MAX($AD$3:AD593)+1,""))</f>
        <v/>
      </c>
      <c r="AE594" s="40" t="str">
        <f aca="false">IF($B594="","",IF(AND(OR(KARTU!$K$6="",$F594=KARTU!$K$6),OR(KARTU!$K$7="",$G594=KARTU!$K$7),OR(KARTU!$K$8="",$P594=KARTU!$K$8)),MAX($AE$3:AE593)+1,""))</f>
        <v/>
      </c>
    </row>
    <row r="595" customFormat="false" ht="15" hidden="false" customHeight="false" outlineLevel="0" collapsed="false">
      <c r="A595" s="35" t="str">
        <f aca="false">IF($B595="","",COUNTA($B$4:$B595))</f>
        <v/>
      </c>
      <c r="B595" s="36"/>
      <c r="C595" s="37"/>
      <c r="D595" s="37"/>
      <c r="E595" s="38"/>
      <c r="F595" s="36"/>
      <c r="G595" s="39"/>
      <c r="H595" s="39"/>
      <c r="I595" s="36"/>
      <c r="J595" s="36"/>
      <c r="K595" s="36"/>
      <c r="L595" s="36"/>
      <c r="M595" s="40" t="str">
        <f aca="false">IF($F595="","",$F595&amp;IF($G595="",""," - RT "&amp;$G595&amp;IF($H595="","","/"&amp;$H595)))</f>
        <v/>
      </c>
      <c r="N595" s="36"/>
      <c r="O595" s="37"/>
      <c r="P595" s="39"/>
      <c r="Q595" s="41"/>
      <c r="R595" s="35" t="str">
        <f aca="true">IF(OR($B595="",$Q595=""),"",DATEDIF($Q595,TODAY(),"Y"))</f>
        <v/>
      </c>
      <c r="S595" s="40" t="str">
        <f aca="false">IF($R595="","",INDEX(usia_label,MATCH($R595,usia_min,1)))</f>
        <v/>
      </c>
      <c r="T595" s="36"/>
      <c r="U595" s="41"/>
      <c r="V595" s="36"/>
      <c r="W595" s="36"/>
      <c r="X595" s="40" t="str">
        <f aca="false">IF($M595="","",$M595&amp;"#"&amp;COUNTIF($M$4:$M595,$M595))</f>
        <v/>
      </c>
      <c r="Y595" s="40" t="str">
        <f aca="false">IF($B595="","",IF($C595="","NIK kosong",IF(LEN($C595)&lt;&gt;16,"NIK bukan 16 digit",IF(COUNTIF($C$4:$C$2003,$C595&amp;"*")&gt;1,"NIK ganda",IF(AND($D595&lt;&gt;"",LEN($D595)&lt;&gt;16),"No. KK bukan 16 digit",IF(AND($F595="",$I595=""),"Alamat kosong",IF($N595="","Jabatan kosong",IF($O595="","No. HP kosong",IF(AND($R595&lt;&gt;"",$R595&lt;17),"Usia di bawah 17","")))))))))</f>
        <v/>
      </c>
      <c r="Z595" s="40" t="str">
        <f aca="false">IF($B595="","",IF(AND(OR(CARI!$C$5="",ISNUMBER(SEARCH(CARI!$C$5,$B595&amp;" "&amp;$C595&amp;" "&amp;$D595&amp;" "&amp;$O595&amp;" "&amp;$I595&amp;" "&amp;$F595&amp;" "&amp;$J595&amp;" "&amp;$K595&amp;" "&amp;$L595&amp;" "&amp;$V595))),OR(CARI!$C$6="",$F595=CARI!$C$6),OR(CARI!$C$7="",$G595=CARI!$C$7),OR(CARI!$C$8="",$T595=CARI!$C$8)),MAX($Z$3:Z594)+1,""))</f>
        <v/>
      </c>
      <c r="AA595" s="40" t="str">
        <f aca="false">IF($Y595="","",MAX($AA$3:AA594)+1)</f>
        <v/>
      </c>
      <c r="AB595" s="40" t="str">
        <f aca="false">IF($F595="","",$F595&amp;"#"&amp;COUNTIF($F$4:$F595,$F595))</f>
        <v/>
      </c>
      <c r="AC595" s="40" t="str">
        <f aca="false">IF($B595="","",IF(AND(OR(CETAK!$J$10="",$F595=CETAK!$J$10),OR(CETAK!$J$11="",$G595=CETAK!$J$11),OR(CETAK!$J$12="",$P595=CETAK!$J$12),OR(CETAK!$J$13="",$N595=CETAK!$J$13),OR(CETAK!$J$14="",$T595=CETAK!$J$14)),MAX($AC$3:AC594)+1,""))</f>
        <v/>
      </c>
      <c r="AD595" s="40" t="str">
        <f aca="false">IF($B595="","",IF(AND(OR(ABSENSI!$H$10="",$F595=ABSENSI!$H$10),OR(ABSENSI!$H$11="",$G595=ABSENSI!$H$11),OR(ABSENSI!$H$12="",$P595=ABSENSI!$H$12)),MAX($AD$3:AD594)+1,""))</f>
        <v/>
      </c>
      <c r="AE595" s="40" t="str">
        <f aca="false">IF($B595="","",IF(AND(OR(KARTU!$K$6="",$F595=KARTU!$K$6),OR(KARTU!$K$7="",$G595=KARTU!$K$7),OR(KARTU!$K$8="",$P595=KARTU!$K$8)),MAX($AE$3:AE594)+1,""))</f>
        <v/>
      </c>
    </row>
    <row r="596" customFormat="false" ht="15" hidden="false" customHeight="false" outlineLevel="0" collapsed="false">
      <c r="A596" s="35" t="str">
        <f aca="false">IF($B596="","",COUNTA($B$4:$B596))</f>
        <v/>
      </c>
      <c r="B596" s="36"/>
      <c r="C596" s="37"/>
      <c r="D596" s="37"/>
      <c r="E596" s="38"/>
      <c r="F596" s="36"/>
      <c r="G596" s="39"/>
      <c r="H596" s="39"/>
      <c r="I596" s="36"/>
      <c r="J596" s="36"/>
      <c r="K596" s="36"/>
      <c r="L596" s="36"/>
      <c r="M596" s="40" t="str">
        <f aca="false">IF($F596="","",$F596&amp;IF($G596="",""," - RT "&amp;$G596&amp;IF($H596="","","/"&amp;$H596)))</f>
        <v/>
      </c>
      <c r="N596" s="36"/>
      <c r="O596" s="37"/>
      <c r="P596" s="39"/>
      <c r="Q596" s="41"/>
      <c r="R596" s="35" t="str">
        <f aca="true">IF(OR($B596="",$Q596=""),"",DATEDIF($Q596,TODAY(),"Y"))</f>
        <v/>
      </c>
      <c r="S596" s="40" t="str">
        <f aca="false">IF($R596="","",INDEX(usia_label,MATCH($R596,usia_min,1)))</f>
        <v/>
      </c>
      <c r="T596" s="36"/>
      <c r="U596" s="41"/>
      <c r="V596" s="36"/>
      <c r="W596" s="36"/>
      <c r="X596" s="40" t="str">
        <f aca="false">IF($M596="","",$M596&amp;"#"&amp;COUNTIF($M$4:$M596,$M596))</f>
        <v/>
      </c>
      <c r="Y596" s="40" t="str">
        <f aca="false">IF($B596="","",IF($C596="","NIK kosong",IF(LEN($C596)&lt;&gt;16,"NIK bukan 16 digit",IF(COUNTIF($C$4:$C$2003,$C596&amp;"*")&gt;1,"NIK ganda",IF(AND($D596&lt;&gt;"",LEN($D596)&lt;&gt;16),"No. KK bukan 16 digit",IF(AND($F596="",$I596=""),"Alamat kosong",IF($N596="","Jabatan kosong",IF($O596="","No. HP kosong",IF(AND($R596&lt;&gt;"",$R596&lt;17),"Usia di bawah 17","")))))))))</f>
        <v/>
      </c>
      <c r="Z596" s="40" t="str">
        <f aca="false">IF($B596="","",IF(AND(OR(CARI!$C$5="",ISNUMBER(SEARCH(CARI!$C$5,$B596&amp;" "&amp;$C596&amp;" "&amp;$D596&amp;" "&amp;$O596&amp;" "&amp;$I596&amp;" "&amp;$F596&amp;" "&amp;$J596&amp;" "&amp;$K596&amp;" "&amp;$L596&amp;" "&amp;$V596))),OR(CARI!$C$6="",$F596=CARI!$C$6),OR(CARI!$C$7="",$G596=CARI!$C$7),OR(CARI!$C$8="",$T596=CARI!$C$8)),MAX($Z$3:Z595)+1,""))</f>
        <v/>
      </c>
      <c r="AA596" s="40" t="str">
        <f aca="false">IF($Y596="","",MAX($AA$3:AA595)+1)</f>
        <v/>
      </c>
      <c r="AB596" s="40" t="str">
        <f aca="false">IF($F596="","",$F596&amp;"#"&amp;COUNTIF($F$4:$F596,$F596))</f>
        <v/>
      </c>
      <c r="AC596" s="40" t="str">
        <f aca="false">IF($B596="","",IF(AND(OR(CETAK!$J$10="",$F596=CETAK!$J$10),OR(CETAK!$J$11="",$G596=CETAK!$J$11),OR(CETAK!$J$12="",$P596=CETAK!$J$12),OR(CETAK!$J$13="",$N596=CETAK!$J$13),OR(CETAK!$J$14="",$T596=CETAK!$J$14)),MAX($AC$3:AC595)+1,""))</f>
        <v/>
      </c>
      <c r="AD596" s="40" t="str">
        <f aca="false">IF($B596="","",IF(AND(OR(ABSENSI!$H$10="",$F596=ABSENSI!$H$10),OR(ABSENSI!$H$11="",$G596=ABSENSI!$H$11),OR(ABSENSI!$H$12="",$P596=ABSENSI!$H$12)),MAX($AD$3:AD595)+1,""))</f>
        <v/>
      </c>
      <c r="AE596" s="40" t="str">
        <f aca="false">IF($B596="","",IF(AND(OR(KARTU!$K$6="",$F596=KARTU!$K$6),OR(KARTU!$K$7="",$G596=KARTU!$K$7),OR(KARTU!$K$8="",$P596=KARTU!$K$8)),MAX($AE$3:AE595)+1,""))</f>
        <v/>
      </c>
    </row>
    <row r="597" customFormat="false" ht="15" hidden="false" customHeight="false" outlineLevel="0" collapsed="false">
      <c r="A597" s="35" t="str">
        <f aca="false">IF($B597="","",COUNTA($B$4:$B597))</f>
        <v/>
      </c>
      <c r="B597" s="36"/>
      <c r="C597" s="37"/>
      <c r="D597" s="37"/>
      <c r="E597" s="38"/>
      <c r="F597" s="36"/>
      <c r="G597" s="39"/>
      <c r="H597" s="39"/>
      <c r="I597" s="36"/>
      <c r="J597" s="36"/>
      <c r="K597" s="36"/>
      <c r="L597" s="36"/>
      <c r="M597" s="40" t="str">
        <f aca="false">IF($F597="","",$F597&amp;IF($G597="",""," - RT "&amp;$G597&amp;IF($H597="","","/"&amp;$H597)))</f>
        <v/>
      </c>
      <c r="N597" s="36"/>
      <c r="O597" s="37"/>
      <c r="P597" s="39"/>
      <c r="Q597" s="41"/>
      <c r="R597" s="35" t="str">
        <f aca="true">IF(OR($B597="",$Q597=""),"",DATEDIF($Q597,TODAY(),"Y"))</f>
        <v/>
      </c>
      <c r="S597" s="40" t="str">
        <f aca="false">IF($R597="","",INDEX(usia_label,MATCH($R597,usia_min,1)))</f>
        <v/>
      </c>
      <c r="T597" s="36"/>
      <c r="U597" s="41"/>
      <c r="V597" s="36"/>
      <c r="W597" s="36"/>
      <c r="X597" s="40" t="str">
        <f aca="false">IF($M597="","",$M597&amp;"#"&amp;COUNTIF($M$4:$M597,$M597))</f>
        <v/>
      </c>
      <c r="Y597" s="40" t="str">
        <f aca="false">IF($B597="","",IF($C597="","NIK kosong",IF(LEN($C597)&lt;&gt;16,"NIK bukan 16 digit",IF(COUNTIF($C$4:$C$2003,$C597&amp;"*")&gt;1,"NIK ganda",IF(AND($D597&lt;&gt;"",LEN($D597)&lt;&gt;16),"No. KK bukan 16 digit",IF(AND($F597="",$I597=""),"Alamat kosong",IF($N597="","Jabatan kosong",IF($O597="","No. HP kosong",IF(AND($R597&lt;&gt;"",$R597&lt;17),"Usia di bawah 17","")))))))))</f>
        <v/>
      </c>
      <c r="Z597" s="40" t="str">
        <f aca="false">IF($B597="","",IF(AND(OR(CARI!$C$5="",ISNUMBER(SEARCH(CARI!$C$5,$B597&amp;" "&amp;$C597&amp;" "&amp;$D597&amp;" "&amp;$O597&amp;" "&amp;$I597&amp;" "&amp;$F597&amp;" "&amp;$J597&amp;" "&amp;$K597&amp;" "&amp;$L597&amp;" "&amp;$V597))),OR(CARI!$C$6="",$F597=CARI!$C$6),OR(CARI!$C$7="",$G597=CARI!$C$7),OR(CARI!$C$8="",$T597=CARI!$C$8)),MAX($Z$3:Z596)+1,""))</f>
        <v/>
      </c>
      <c r="AA597" s="40" t="str">
        <f aca="false">IF($Y597="","",MAX($AA$3:AA596)+1)</f>
        <v/>
      </c>
      <c r="AB597" s="40" t="str">
        <f aca="false">IF($F597="","",$F597&amp;"#"&amp;COUNTIF($F$4:$F597,$F597))</f>
        <v/>
      </c>
      <c r="AC597" s="40" t="str">
        <f aca="false">IF($B597="","",IF(AND(OR(CETAK!$J$10="",$F597=CETAK!$J$10),OR(CETAK!$J$11="",$G597=CETAK!$J$11),OR(CETAK!$J$12="",$P597=CETAK!$J$12),OR(CETAK!$J$13="",$N597=CETAK!$J$13),OR(CETAK!$J$14="",$T597=CETAK!$J$14)),MAX($AC$3:AC596)+1,""))</f>
        <v/>
      </c>
      <c r="AD597" s="40" t="str">
        <f aca="false">IF($B597="","",IF(AND(OR(ABSENSI!$H$10="",$F597=ABSENSI!$H$10),OR(ABSENSI!$H$11="",$G597=ABSENSI!$H$11),OR(ABSENSI!$H$12="",$P597=ABSENSI!$H$12)),MAX($AD$3:AD596)+1,""))</f>
        <v/>
      </c>
      <c r="AE597" s="40" t="str">
        <f aca="false">IF($B597="","",IF(AND(OR(KARTU!$K$6="",$F597=KARTU!$K$6),OR(KARTU!$K$7="",$G597=KARTU!$K$7),OR(KARTU!$K$8="",$P597=KARTU!$K$8)),MAX($AE$3:AE596)+1,""))</f>
        <v/>
      </c>
    </row>
    <row r="598" customFormat="false" ht="15" hidden="false" customHeight="false" outlineLevel="0" collapsed="false">
      <c r="A598" s="35" t="str">
        <f aca="false">IF($B598="","",COUNTA($B$4:$B598))</f>
        <v/>
      </c>
      <c r="B598" s="36"/>
      <c r="C598" s="37"/>
      <c r="D598" s="37"/>
      <c r="E598" s="38"/>
      <c r="F598" s="36"/>
      <c r="G598" s="39"/>
      <c r="H598" s="39"/>
      <c r="I598" s="36"/>
      <c r="J598" s="36"/>
      <c r="K598" s="36"/>
      <c r="L598" s="36"/>
      <c r="M598" s="40" t="str">
        <f aca="false">IF($F598="","",$F598&amp;IF($G598="",""," - RT "&amp;$G598&amp;IF($H598="","","/"&amp;$H598)))</f>
        <v/>
      </c>
      <c r="N598" s="36"/>
      <c r="O598" s="37"/>
      <c r="P598" s="39"/>
      <c r="Q598" s="41"/>
      <c r="R598" s="35" t="str">
        <f aca="true">IF(OR($B598="",$Q598=""),"",DATEDIF($Q598,TODAY(),"Y"))</f>
        <v/>
      </c>
      <c r="S598" s="40" t="str">
        <f aca="false">IF($R598="","",INDEX(usia_label,MATCH($R598,usia_min,1)))</f>
        <v/>
      </c>
      <c r="T598" s="36"/>
      <c r="U598" s="41"/>
      <c r="V598" s="36"/>
      <c r="W598" s="36"/>
      <c r="X598" s="40" t="str">
        <f aca="false">IF($M598="","",$M598&amp;"#"&amp;COUNTIF($M$4:$M598,$M598))</f>
        <v/>
      </c>
      <c r="Y598" s="40" t="str">
        <f aca="false">IF($B598="","",IF($C598="","NIK kosong",IF(LEN($C598)&lt;&gt;16,"NIK bukan 16 digit",IF(COUNTIF($C$4:$C$2003,$C598&amp;"*")&gt;1,"NIK ganda",IF(AND($D598&lt;&gt;"",LEN($D598)&lt;&gt;16),"No. KK bukan 16 digit",IF(AND($F598="",$I598=""),"Alamat kosong",IF($N598="","Jabatan kosong",IF($O598="","No. HP kosong",IF(AND($R598&lt;&gt;"",$R598&lt;17),"Usia di bawah 17","")))))))))</f>
        <v/>
      </c>
      <c r="Z598" s="40" t="str">
        <f aca="false">IF($B598="","",IF(AND(OR(CARI!$C$5="",ISNUMBER(SEARCH(CARI!$C$5,$B598&amp;" "&amp;$C598&amp;" "&amp;$D598&amp;" "&amp;$O598&amp;" "&amp;$I598&amp;" "&amp;$F598&amp;" "&amp;$J598&amp;" "&amp;$K598&amp;" "&amp;$L598&amp;" "&amp;$V598))),OR(CARI!$C$6="",$F598=CARI!$C$6),OR(CARI!$C$7="",$G598=CARI!$C$7),OR(CARI!$C$8="",$T598=CARI!$C$8)),MAX($Z$3:Z597)+1,""))</f>
        <v/>
      </c>
      <c r="AA598" s="40" t="str">
        <f aca="false">IF($Y598="","",MAX($AA$3:AA597)+1)</f>
        <v/>
      </c>
      <c r="AB598" s="40" t="str">
        <f aca="false">IF($F598="","",$F598&amp;"#"&amp;COUNTIF($F$4:$F598,$F598))</f>
        <v/>
      </c>
      <c r="AC598" s="40" t="str">
        <f aca="false">IF($B598="","",IF(AND(OR(CETAK!$J$10="",$F598=CETAK!$J$10),OR(CETAK!$J$11="",$G598=CETAK!$J$11),OR(CETAK!$J$12="",$P598=CETAK!$J$12),OR(CETAK!$J$13="",$N598=CETAK!$J$13),OR(CETAK!$J$14="",$T598=CETAK!$J$14)),MAX($AC$3:AC597)+1,""))</f>
        <v/>
      </c>
      <c r="AD598" s="40" t="str">
        <f aca="false">IF($B598="","",IF(AND(OR(ABSENSI!$H$10="",$F598=ABSENSI!$H$10),OR(ABSENSI!$H$11="",$G598=ABSENSI!$H$11),OR(ABSENSI!$H$12="",$P598=ABSENSI!$H$12)),MAX($AD$3:AD597)+1,""))</f>
        <v/>
      </c>
      <c r="AE598" s="40" t="str">
        <f aca="false">IF($B598="","",IF(AND(OR(KARTU!$K$6="",$F598=KARTU!$K$6),OR(KARTU!$K$7="",$G598=KARTU!$K$7),OR(KARTU!$K$8="",$P598=KARTU!$K$8)),MAX($AE$3:AE597)+1,""))</f>
        <v/>
      </c>
    </row>
    <row r="599" customFormat="false" ht="15" hidden="false" customHeight="false" outlineLevel="0" collapsed="false">
      <c r="A599" s="35" t="str">
        <f aca="false">IF($B599="","",COUNTA($B$4:$B599))</f>
        <v/>
      </c>
      <c r="B599" s="36"/>
      <c r="C599" s="37"/>
      <c r="D599" s="37"/>
      <c r="E599" s="38"/>
      <c r="F599" s="36"/>
      <c r="G599" s="39"/>
      <c r="H599" s="39"/>
      <c r="I599" s="36"/>
      <c r="J599" s="36"/>
      <c r="K599" s="36"/>
      <c r="L599" s="36"/>
      <c r="M599" s="40" t="str">
        <f aca="false">IF($F599="","",$F599&amp;IF($G599="",""," - RT "&amp;$G599&amp;IF($H599="","","/"&amp;$H599)))</f>
        <v/>
      </c>
      <c r="N599" s="36"/>
      <c r="O599" s="37"/>
      <c r="P599" s="39"/>
      <c r="Q599" s="41"/>
      <c r="R599" s="35" t="str">
        <f aca="true">IF(OR($B599="",$Q599=""),"",DATEDIF($Q599,TODAY(),"Y"))</f>
        <v/>
      </c>
      <c r="S599" s="40" t="str">
        <f aca="false">IF($R599="","",INDEX(usia_label,MATCH($R599,usia_min,1)))</f>
        <v/>
      </c>
      <c r="T599" s="36"/>
      <c r="U599" s="41"/>
      <c r="V599" s="36"/>
      <c r="W599" s="36"/>
      <c r="X599" s="40" t="str">
        <f aca="false">IF($M599="","",$M599&amp;"#"&amp;COUNTIF($M$4:$M599,$M599))</f>
        <v/>
      </c>
      <c r="Y599" s="40" t="str">
        <f aca="false">IF($B599="","",IF($C599="","NIK kosong",IF(LEN($C599)&lt;&gt;16,"NIK bukan 16 digit",IF(COUNTIF($C$4:$C$2003,$C599&amp;"*")&gt;1,"NIK ganda",IF(AND($D599&lt;&gt;"",LEN($D599)&lt;&gt;16),"No. KK bukan 16 digit",IF(AND($F599="",$I599=""),"Alamat kosong",IF($N599="","Jabatan kosong",IF($O599="","No. HP kosong",IF(AND($R599&lt;&gt;"",$R599&lt;17),"Usia di bawah 17","")))))))))</f>
        <v/>
      </c>
      <c r="Z599" s="40" t="str">
        <f aca="false">IF($B599="","",IF(AND(OR(CARI!$C$5="",ISNUMBER(SEARCH(CARI!$C$5,$B599&amp;" "&amp;$C599&amp;" "&amp;$D599&amp;" "&amp;$O599&amp;" "&amp;$I599&amp;" "&amp;$F599&amp;" "&amp;$J599&amp;" "&amp;$K599&amp;" "&amp;$L599&amp;" "&amp;$V599))),OR(CARI!$C$6="",$F599=CARI!$C$6),OR(CARI!$C$7="",$G599=CARI!$C$7),OR(CARI!$C$8="",$T599=CARI!$C$8)),MAX($Z$3:Z598)+1,""))</f>
        <v/>
      </c>
      <c r="AA599" s="40" t="str">
        <f aca="false">IF($Y599="","",MAX($AA$3:AA598)+1)</f>
        <v/>
      </c>
      <c r="AB599" s="40" t="str">
        <f aca="false">IF($F599="","",$F599&amp;"#"&amp;COUNTIF($F$4:$F599,$F599))</f>
        <v/>
      </c>
      <c r="AC599" s="40" t="str">
        <f aca="false">IF($B599="","",IF(AND(OR(CETAK!$J$10="",$F599=CETAK!$J$10),OR(CETAK!$J$11="",$G599=CETAK!$J$11),OR(CETAK!$J$12="",$P599=CETAK!$J$12),OR(CETAK!$J$13="",$N599=CETAK!$J$13),OR(CETAK!$J$14="",$T599=CETAK!$J$14)),MAX($AC$3:AC598)+1,""))</f>
        <v/>
      </c>
      <c r="AD599" s="40" t="str">
        <f aca="false">IF($B599="","",IF(AND(OR(ABSENSI!$H$10="",$F599=ABSENSI!$H$10),OR(ABSENSI!$H$11="",$G599=ABSENSI!$H$11),OR(ABSENSI!$H$12="",$P599=ABSENSI!$H$12)),MAX($AD$3:AD598)+1,""))</f>
        <v/>
      </c>
      <c r="AE599" s="40" t="str">
        <f aca="false">IF($B599="","",IF(AND(OR(KARTU!$K$6="",$F599=KARTU!$K$6),OR(KARTU!$K$7="",$G599=KARTU!$K$7),OR(KARTU!$K$8="",$P599=KARTU!$K$8)),MAX($AE$3:AE598)+1,""))</f>
        <v/>
      </c>
    </row>
    <row r="600" customFormat="false" ht="15" hidden="false" customHeight="false" outlineLevel="0" collapsed="false">
      <c r="A600" s="35" t="str">
        <f aca="false">IF($B600="","",COUNTA($B$4:$B600))</f>
        <v/>
      </c>
      <c r="B600" s="36"/>
      <c r="C600" s="37"/>
      <c r="D600" s="37"/>
      <c r="E600" s="38"/>
      <c r="F600" s="36"/>
      <c r="G600" s="39"/>
      <c r="H600" s="39"/>
      <c r="I600" s="36"/>
      <c r="J600" s="36"/>
      <c r="K600" s="36"/>
      <c r="L600" s="36"/>
      <c r="M600" s="40" t="str">
        <f aca="false">IF($F600="","",$F600&amp;IF($G600="",""," - RT "&amp;$G600&amp;IF($H600="","","/"&amp;$H600)))</f>
        <v/>
      </c>
      <c r="N600" s="36"/>
      <c r="O600" s="37"/>
      <c r="P600" s="39"/>
      <c r="Q600" s="41"/>
      <c r="R600" s="35" t="str">
        <f aca="true">IF(OR($B600="",$Q600=""),"",DATEDIF($Q600,TODAY(),"Y"))</f>
        <v/>
      </c>
      <c r="S600" s="40" t="str">
        <f aca="false">IF($R600="","",INDEX(usia_label,MATCH($R600,usia_min,1)))</f>
        <v/>
      </c>
      <c r="T600" s="36"/>
      <c r="U600" s="41"/>
      <c r="V600" s="36"/>
      <c r="W600" s="36"/>
      <c r="X600" s="40" t="str">
        <f aca="false">IF($M600="","",$M600&amp;"#"&amp;COUNTIF($M$4:$M600,$M600))</f>
        <v/>
      </c>
      <c r="Y600" s="40" t="str">
        <f aca="false">IF($B600="","",IF($C600="","NIK kosong",IF(LEN($C600)&lt;&gt;16,"NIK bukan 16 digit",IF(COUNTIF($C$4:$C$2003,$C600&amp;"*")&gt;1,"NIK ganda",IF(AND($D600&lt;&gt;"",LEN($D600)&lt;&gt;16),"No. KK bukan 16 digit",IF(AND($F600="",$I600=""),"Alamat kosong",IF($N600="","Jabatan kosong",IF($O600="","No. HP kosong",IF(AND($R600&lt;&gt;"",$R600&lt;17),"Usia di bawah 17","")))))))))</f>
        <v/>
      </c>
      <c r="Z600" s="40" t="str">
        <f aca="false">IF($B600="","",IF(AND(OR(CARI!$C$5="",ISNUMBER(SEARCH(CARI!$C$5,$B600&amp;" "&amp;$C600&amp;" "&amp;$D600&amp;" "&amp;$O600&amp;" "&amp;$I600&amp;" "&amp;$F600&amp;" "&amp;$J600&amp;" "&amp;$K600&amp;" "&amp;$L600&amp;" "&amp;$V600))),OR(CARI!$C$6="",$F600=CARI!$C$6),OR(CARI!$C$7="",$G600=CARI!$C$7),OR(CARI!$C$8="",$T600=CARI!$C$8)),MAX($Z$3:Z599)+1,""))</f>
        <v/>
      </c>
      <c r="AA600" s="40" t="str">
        <f aca="false">IF($Y600="","",MAX($AA$3:AA599)+1)</f>
        <v/>
      </c>
      <c r="AB600" s="40" t="str">
        <f aca="false">IF($F600="","",$F600&amp;"#"&amp;COUNTIF($F$4:$F600,$F600))</f>
        <v/>
      </c>
      <c r="AC600" s="40" t="str">
        <f aca="false">IF($B600="","",IF(AND(OR(CETAK!$J$10="",$F600=CETAK!$J$10),OR(CETAK!$J$11="",$G600=CETAK!$J$11),OR(CETAK!$J$12="",$P600=CETAK!$J$12),OR(CETAK!$J$13="",$N600=CETAK!$J$13),OR(CETAK!$J$14="",$T600=CETAK!$J$14)),MAX($AC$3:AC599)+1,""))</f>
        <v/>
      </c>
      <c r="AD600" s="40" t="str">
        <f aca="false">IF($B600="","",IF(AND(OR(ABSENSI!$H$10="",$F600=ABSENSI!$H$10),OR(ABSENSI!$H$11="",$G600=ABSENSI!$H$11),OR(ABSENSI!$H$12="",$P600=ABSENSI!$H$12)),MAX($AD$3:AD599)+1,""))</f>
        <v/>
      </c>
      <c r="AE600" s="40" t="str">
        <f aca="false">IF($B600="","",IF(AND(OR(KARTU!$K$6="",$F600=KARTU!$K$6),OR(KARTU!$K$7="",$G600=KARTU!$K$7),OR(KARTU!$K$8="",$P600=KARTU!$K$8)),MAX($AE$3:AE599)+1,""))</f>
        <v/>
      </c>
    </row>
    <row r="601" customFormat="false" ht="15" hidden="false" customHeight="false" outlineLevel="0" collapsed="false">
      <c r="A601" s="35" t="str">
        <f aca="false">IF($B601="","",COUNTA($B$4:$B601))</f>
        <v/>
      </c>
      <c r="B601" s="36"/>
      <c r="C601" s="37"/>
      <c r="D601" s="37"/>
      <c r="E601" s="38"/>
      <c r="F601" s="36"/>
      <c r="G601" s="39"/>
      <c r="H601" s="39"/>
      <c r="I601" s="36"/>
      <c r="J601" s="36"/>
      <c r="K601" s="36"/>
      <c r="L601" s="36"/>
      <c r="M601" s="40" t="str">
        <f aca="false">IF($F601="","",$F601&amp;IF($G601="",""," - RT "&amp;$G601&amp;IF($H601="","","/"&amp;$H601)))</f>
        <v/>
      </c>
      <c r="N601" s="36"/>
      <c r="O601" s="37"/>
      <c r="P601" s="39"/>
      <c r="Q601" s="41"/>
      <c r="R601" s="35" t="str">
        <f aca="true">IF(OR($B601="",$Q601=""),"",DATEDIF($Q601,TODAY(),"Y"))</f>
        <v/>
      </c>
      <c r="S601" s="40" t="str">
        <f aca="false">IF($R601="","",INDEX(usia_label,MATCH($R601,usia_min,1)))</f>
        <v/>
      </c>
      <c r="T601" s="36"/>
      <c r="U601" s="41"/>
      <c r="V601" s="36"/>
      <c r="W601" s="36"/>
      <c r="X601" s="40" t="str">
        <f aca="false">IF($M601="","",$M601&amp;"#"&amp;COUNTIF($M$4:$M601,$M601))</f>
        <v/>
      </c>
      <c r="Y601" s="40" t="str">
        <f aca="false">IF($B601="","",IF($C601="","NIK kosong",IF(LEN($C601)&lt;&gt;16,"NIK bukan 16 digit",IF(COUNTIF($C$4:$C$2003,$C601&amp;"*")&gt;1,"NIK ganda",IF(AND($D601&lt;&gt;"",LEN($D601)&lt;&gt;16),"No. KK bukan 16 digit",IF(AND($F601="",$I601=""),"Alamat kosong",IF($N601="","Jabatan kosong",IF($O601="","No. HP kosong",IF(AND($R601&lt;&gt;"",$R601&lt;17),"Usia di bawah 17","")))))))))</f>
        <v/>
      </c>
      <c r="Z601" s="40" t="str">
        <f aca="false">IF($B601="","",IF(AND(OR(CARI!$C$5="",ISNUMBER(SEARCH(CARI!$C$5,$B601&amp;" "&amp;$C601&amp;" "&amp;$D601&amp;" "&amp;$O601&amp;" "&amp;$I601&amp;" "&amp;$F601&amp;" "&amp;$J601&amp;" "&amp;$K601&amp;" "&amp;$L601&amp;" "&amp;$V601))),OR(CARI!$C$6="",$F601=CARI!$C$6),OR(CARI!$C$7="",$G601=CARI!$C$7),OR(CARI!$C$8="",$T601=CARI!$C$8)),MAX($Z$3:Z600)+1,""))</f>
        <v/>
      </c>
      <c r="AA601" s="40" t="str">
        <f aca="false">IF($Y601="","",MAX($AA$3:AA600)+1)</f>
        <v/>
      </c>
      <c r="AB601" s="40" t="str">
        <f aca="false">IF($F601="","",$F601&amp;"#"&amp;COUNTIF($F$4:$F601,$F601))</f>
        <v/>
      </c>
      <c r="AC601" s="40" t="str">
        <f aca="false">IF($B601="","",IF(AND(OR(CETAK!$J$10="",$F601=CETAK!$J$10),OR(CETAK!$J$11="",$G601=CETAK!$J$11),OR(CETAK!$J$12="",$P601=CETAK!$J$12),OR(CETAK!$J$13="",$N601=CETAK!$J$13),OR(CETAK!$J$14="",$T601=CETAK!$J$14)),MAX($AC$3:AC600)+1,""))</f>
        <v/>
      </c>
      <c r="AD601" s="40" t="str">
        <f aca="false">IF($B601="","",IF(AND(OR(ABSENSI!$H$10="",$F601=ABSENSI!$H$10),OR(ABSENSI!$H$11="",$G601=ABSENSI!$H$11),OR(ABSENSI!$H$12="",$P601=ABSENSI!$H$12)),MAX($AD$3:AD600)+1,""))</f>
        <v/>
      </c>
      <c r="AE601" s="40" t="str">
        <f aca="false">IF($B601="","",IF(AND(OR(KARTU!$K$6="",$F601=KARTU!$K$6),OR(KARTU!$K$7="",$G601=KARTU!$K$7),OR(KARTU!$K$8="",$P601=KARTU!$K$8)),MAX($AE$3:AE600)+1,""))</f>
        <v/>
      </c>
    </row>
    <row r="602" customFormat="false" ht="15" hidden="false" customHeight="false" outlineLevel="0" collapsed="false">
      <c r="A602" s="35" t="str">
        <f aca="false">IF($B602="","",COUNTA($B$4:$B602))</f>
        <v/>
      </c>
      <c r="B602" s="36"/>
      <c r="C602" s="37"/>
      <c r="D602" s="37"/>
      <c r="E602" s="38"/>
      <c r="F602" s="36"/>
      <c r="G602" s="39"/>
      <c r="H602" s="39"/>
      <c r="I602" s="36"/>
      <c r="J602" s="36"/>
      <c r="K602" s="36"/>
      <c r="L602" s="36"/>
      <c r="M602" s="40" t="str">
        <f aca="false">IF($F602="","",$F602&amp;IF($G602="",""," - RT "&amp;$G602&amp;IF($H602="","","/"&amp;$H602)))</f>
        <v/>
      </c>
      <c r="N602" s="36"/>
      <c r="O602" s="37"/>
      <c r="P602" s="39"/>
      <c r="Q602" s="41"/>
      <c r="R602" s="35" t="str">
        <f aca="true">IF(OR($B602="",$Q602=""),"",DATEDIF($Q602,TODAY(),"Y"))</f>
        <v/>
      </c>
      <c r="S602" s="40" t="str">
        <f aca="false">IF($R602="","",INDEX(usia_label,MATCH($R602,usia_min,1)))</f>
        <v/>
      </c>
      <c r="T602" s="36"/>
      <c r="U602" s="41"/>
      <c r="V602" s="36"/>
      <c r="W602" s="36"/>
      <c r="X602" s="40" t="str">
        <f aca="false">IF($M602="","",$M602&amp;"#"&amp;COUNTIF($M$4:$M602,$M602))</f>
        <v/>
      </c>
      <c r="Y602" s="40" t="str">
        <f aca="false">IF($B602="","",IF($C602="","NIK kosong",IF(LEN($C602)&lt;&gt;16,"NIK bukan 16 digit",IF(COUNTIF($C$4:$C$2003,$C602&amp;"*")&gt;1,"NIK ganda",IF(AND($D602&lt;&gt;"",LEN($D602)&lt;&gt;16),"No. KK bukan 16 digit",IF(AND($F602="",$I602=""),"Alamat kosong",IF($N602="","Jabatan kosong",IF($O602="","No. HP kosong",IF(AND($R602&lt;&gt;"",$R602&lt;17),"Usia di bawah 17","")))))))))</f>
        <v/>
      </c>
      <c r="Z602" s="40" t="str">
        <f aca="false">IF($B602="","",IF(AND(OR(CARI!$C$5="",ISNUMBER(SEARCH(CARI!$C$5,$B602&amp;" "&amp;$C602&amp;" "&amp;$D602&amp;" "&amp;$O602&amp;" "&amp;$I602&amp;" "&amp;$F602&amp;" "&amp;$J602&amp;" "&amp;$K602&amp;" "&amp;$L602&amp;" "&amp;$V602))),OR(CARI!$C$6="",$F602=CARI!$C$6),OR(CARI!$C$7="",$G602=CARI!$C$7),OR(CARI!$C$8="",$T602=CARI!$C$8)),MAX($Z$3:Z601)+1,""))</f>
        <v/>
      </c>
      <c r="AA602" s="40" t="str">
        <f aca="false">IF($Y602="","",MAX($AA$3:AA601)+1)</f>
        <v/>
      </c>
      <c r="AB602" s="40" t="str">
        <f aca="false">IF($F602="","",$F602&amp;"#"&amp;COUNTIF($F$4:$F602,$F602))</f>
        <v/>
      </c>
      <c r="AC602" s="40" t="str">
        <f aca="false">IF($B602="","",IF(AND(OR(CETAK!$J$10="",$F602=CETAK!$J$10),OR(CETAK!$J$11="",$G602=CETAK!$J$11),OR(CETAK!$J$12="",$P602=CETAK!$J$12),OR(CETAK!$J$13="",$N602=CETAK!$J$13),OR(CETAK!$J$14="",$T602=CETAK!$J$14)),MAX($AC$3:AC601)+1,""))</f>
        <v/>
      </c>
      <c r="AD602" s="40" t="str">
        <f aca="false">IF($B602="","",IF(AND(OR(ABSENSI!$H$10="",$F602=ABSENSI!$H$10),OR(ABSENSI!$H$11="",$G602=ABSENSI!$H$11),OR(ABSENSI!$H$12="",$P602=ABSENSI!$H$12)),MAX($AD$3:AD601)+1,""))</f>
        <v/>
      </c>
      <c r="AE602" s="40" t="str">
        <f aca="false">IF($B602="","",IF(AND(OR(KARTU!$K$6="",$F602=KARTU!$K$6),OR(KARTU!$K$7="",$G602=KARTU!$K$7),OR(KARTU!$K$8="",$P602=KARTU!$K$8)),MAX($AE$3:AE601)+1,""))</f>
        <v/>
      </c>
    </row>
    <row r="603" customFormat="false" ht="15" hidden="false" customHeight="false" outlineLevel="0" collapsed="false">
      <c r="A603" s="35" t="str">
        <f aca="false">IF($B603="","",COUNTA($B$4:$B603))</f>
        <v/>
      </c>
      <c r="B603" s="36"/>
      <c r="C603" s="37"/>
      <c r="D603" s="37"/>
      <c r="E603" s="38"/>
      <c r="F603" s="36"/>
      <c r="G603" s="39"/>
      <c r="H603" s="39"/>
      <c r="I603" s="36"/>
      <c r="J603" s="36"/>
      <c r="K603" s="36"/>
      <c r="L603" s="36"/>
      <c r="M603" s="40" t="str">
        <f aca="false">IF($F603="","",$F603&amp;IF($G603="",""," - RT "&amp;$G603&amp;IF($H603="","","/"&amp;$H603)))</f>
        <v/>
      </c>
      <c r="N603" s="36"/>
      <c r="O603" s="37"/>
      <c r="P603" s="39"/>
      <c r="Q603" s="41"/>
      <c r="R603" s="35" t="str">
        <f aca="true">IF(OR($B603="",$Q603=""),"",DATEDIF($Q603,TODAY(),"Y"))</f>
        <v/>
      </c>
      <c r="S603" s="40" t="str">
        <f aca="false">IF($R603="","",INDEX(usia_label,MATCH($R603,usia_min,1)))</f>
        <v/>
      </c>
      <c r="T603" s="36"/>
      <c r="U603" s="41"/>
      <c r="V603" s="36"/>
      <c r="W603" s="36"/>
      <c r="X603" s="40" t="str">
        <f aca="false">IF($M603="","",$M603&amp;"#"&amp;COUNTIF($M$4:$M603,$M603))</f>
        <v/>
      </c>
      <c r="Y603" s="40" t="str">
        <f aca="false">IF($B603="","",IF($C603="","NIK kosong",IF(LEN($C603)&lt;&gt;16,"NIK bukan 16 digit",IF(COUNTIF($C$4:$C$2003,$C603&amp;"*")&gt;1,"NIK ganda",IF(AND($D603&lt;&gt;"",LEN($D603)&lt;&gt;16),"No. KK bukan 16 digit",IF(AND($F603="",$I603=""),"Alamat kosong",IF($N603="","Jabatan kosong",IF($O603="","No. HP kosong",IF(AND($R603&lt;&gt;"",$R603&lt;17),"Usia di bawah 17","")))))))))</f>
        <v/>
      </c>
      <c r="Z603" s="40" t="str">
        <f aca="false">IF($B603="","",IF(AND(OR(CARI!$C$5="",ISNUMBER(SEARCH(CARI!$C$5,$B603&amp;" "&amp;$C603&amp;" "&amp;$D603&amp;" "&amp;$O603&amp;" "&amp;$I603&amp;" "&amp;$F603&amp;" "&amp;$J603&amp;" "&amp;$K603&amp;" "&amp;$L603&amp;" "&amp;$V603))),OR(CARI!$C$6="",$F603=CARI!$C$6),OR(CARI!$C$7="",$G603=CARI!$C$7),OR(CARI!$C$8="",$T603=CARI!$C$8)),MAX($Z$3:Z602)+1,""))</f>
        <v/>
      </c>
      <c r="AA603" s="40" t="str">
        <f aca="false">IF($Y603="","",MAX($AA$3:AA602)+1)</f>
        <v/>
      </c>
      <c r="AB603" s="40" t="str">
        <f aca="false">IF($F603="","",$F603&amp;"#"&amp;COUNTIF($F$4:$F603,$F603))</f>
        <v/>
      </c>
      <c r="AC603" s="40" t="str">
        <f aca="false">IF($B603="","",IF(AND(OR(CETAK!$J$10="",$F603=CETAK!$J$10),OR(CETAK!$J$11="",$G603=CETAK!$J$11),OR(CETAK!$J$12="",$P603=CETAK!$J$12),OR(CETAK!$J$13="",$N603=CETAK!$J$13),OR(CETAK!$J$14="",$T603=CETAK!$J$14)),MAX($AC$3:AC602)+1,""))</f>
        <v/>
      </c>
      <c r="AD603" s="40" t="str">
        <f aca="false">IF($B603="","",IF(AND(OR(ABSENSI!$H$10="",$F603=ABSENSI!$H$10),OR(ABSENSI!$H$11="",$G603=ABSENSI!$H$11),OR(ABSENSI!$H$12="",$P603=ABSENSI!$H$12)),MAX($AD$3:AD602)+1,""))</f>
        <v/>
      </c>
      <c r="AE603" s="40" t="str">
        <f aca="false">IF($B603="","",IF(AND(OR(KARTU!$K$6="",$F603=KARTU!$K$6),OR(KARTU!$K$7="",$G603=KARTU!$K$7),OR(KARTU!$K$8="",$P603=KARTU!$K$8)),MAX($AE$3:AE602)+1,""))</f>
        <v/>
      </c>
    </row>
    <row r="604" customFormat="false" ht="15" hidden="false" customHeight="false" outlineLevel="0" collapsed="false">
      <c r="A604" s="35" t="str">
        <f aca="false">IF($B604="","",COUNTA($B$4:$B604))</f>
        <v/>
      </c>
      <c r="B604" s="36"/>
      <c r="C604" s="37"/>
      <c r="D604" s="37"/>
      <c r="E604" s="38"/>
      <c r="F604" s="36"/>
      <c r="G604" s="39"/>
      <c r="H604" s="39"/>
      <c r="I604" s="36"/>
      <c r="J604" s="36"/>
      <c r="K604" s="36"/>
      <c r="L604" s="36"/>
      <c r="M604" s="40" t="str">
        <f aca="false">IF($F604="","",$F604&amp;IF($G604="",""," - RT "&amp;$G604&amp;IF($H604="","","/"&amp;$H604)))</f>
        <v/>
      </c>
      <c r="N604" s="36"/>
      <c r="O604" s="37"/>
      <c r="P604" s="39"/>
      <c r="Q604" s="41"/>
      <c r="R604" s="35" t="str">
        <f aca="true">IF(OR($B604="",$Q604=""),"",DATEDIF($Q604,TODAY(),"Y"))</f>
        <v/>
      </c>
      <c r="S604" s="40" t="str">
        <f aca="false">IF($R604="","",INDEX(usia_label,MATCH($R604,usia_min,1)))</f>
        <v/>
      </c>
      <c r="T604" s="36"/>
      <c r="U604" s="41"/>
      <c r="V604" s="36"/>
      <c r="W604" s="36"/>
      <c r="X604" s="40" t="str">
        <f aca="false">IF($M604="","",$M604&amp;"#"&amp;COUNTIF($M$4:$M604,$M604))</f>
        <v/>
      </c>
      <c r="Y604" s="40" t="str">
        <f aca="false">IF($B604="","",IF($C604="","NIK kosong",IF(LEN($C604)&lt;&gt;16,"NIK bukan 16 digit",IF(COUNTIF($C$4:$C$2003,$C604&amp;"*")&gt;1,"NIK ganda",IF(AND($D604&lt;&gt;"",LEN($D604)&lt;&gt;16),"No. KK bukan 16 digit",IF(AND($F604="",$I604=""),"Alamat kosong",IF($N604="","Jabatan kosong",IF($O604="","No. HP kosong",IF(AND($R604&lt;&gt;"",$R604&lt;17),"Usia di bawah 17","")))))))))</f>
        <v/>
      </c>
      <c r="Z604" s="40" t="str">
        <f aca="false">IF($B604="","",IF(AND(OR(CARI!$C$5="",ISNUMBER(SEARCH(CARI!$C$5,$B604&amp;" "&amp;$C604&amp;" "&amp;$D604&amp;" "&amp;$O604&amp;" "&amp;$I604&amp;" "&amp;$F604&amp;" "&amp;$J604&amp;" "&amp;$K604&amp;" "&amp;$L604&amp;" "&amp;$V604))),OR(CARI!$C$6="",$F604=CARI!$C$6),OR(CARI!$C$7="",$G604=CARI!$C$7),OR(CARI!$C$8="",$T604=CARI!$C$8)),MAX($Z$3:Z603)+1,""))</f>
        <v/>
      </c>
      <c r="AA604" s="40" t="str">
        <f aca="false">IF($Y604="","",MAX($AA$3:AA603)+1)</f>
        <v/>
      </c>
      <c r="AB604" s="40" t="str">
        <f aca="false">IF($F604="","",$F604&amp;"#"&amp;COUNTIF($F$4:$F604,$F604))</f>
        <v/>
      </c>
      <c r="AC604" s="40" t="str">
        <f aca="false">IF($B604="","",IF(AND(OR(CETAK!$J$10="",$F604=CETAK!$J$10),OR(CETAK!$J$11="",$G604=CETAK!$J$11),OR(CETAK!$J$12="",$P604=CETAK!$J$12),OR(CETAK!$J$13="",$N604=CETAK!$J$13),OR(CETAK!$J$14="",$T604=CETAK!$J$14)),MAX($AC$3:AC603)+1,""))</f>
        <v/>
      </c>
      <c r="AD604" s="40" t="str">
        <f aca="false">IF($B604="","",IF(AND(OR(ABSENSI!$H$10="",$F604=ABSENSI!$H$10),OR(ABSENSI!$H$11="",$G604=ABSENSI!$H$11),OR(ABSENSI!$H$12="",$P604=ABSENSI!$H$12)),MAX($AD$3:AD603)+1,""))</f>
        <v/>
      </c>
      <c r="AE604" s="40" t="str">
        <f aca="false">IF($B604="","",IF(AND(OR(KARTU!$K$6="",$F604=KARTU!$K$6),OR(KARTU!$K$7="",$G604=KARTU!$K$7),OR(KARTU!$K$8="",$P604=KARTU!$K$8)),MAX($AE$3:AE603)+1,""))</f>
        <v/>
      </c>
    </row>
    <row r="605" customFormat="false" ht="15" hidden="false" customHeight="false" outlineLevel="0" collapsed="false">
      <c r="A605" s="35" t="str">
        <f aca="false">IF($B605="","",COUNTA($B$4:$B605))</f>
        <v/>
      </c>
      <c r="B605" s="36"/>
      <c r="C605" s="37"/>
      <c r="D605" s="37"/>
      <c r="E605" s="38"/>
      <c r="F605" s="36"/>
      <c r="G605" s="39"/>
      <c r="H605" s="39"/>
      <c r="I605" s="36"/>
      <c r="J605" s="36"/>
      <c r="K605" s="36"/>
      <c r="L605" s="36"/>
      <c r="M605" s="40" t="str">
        <f aca="false">IF($F605="","",$F605&amp;IF($G605="",""," - RT "&amp;$G605&amp;IF($H605="","","/"&amp;$H605)))</f>
        <v/>
      </c>
      <c r="N605" s="36"/>
      <c r="O605" s="37"/>
      <c r="P605" s="39"/>
      <c r="Q605" s="41"/>
      <c r="R605" s="35" t="str">
        <f aca="true">IF(OR($B605="",$Q605=""),"",DATEDIF($Q605,TODAY(),"Y"))</f>
        <v/>
      </c>
      <c r="S605" s="40" t="str">
        <f aca="false">IF($R605="","",INDEX(usia_label,MATCH($R605,usia_min,1)))</f>
        <v/>
      </c>
      <c r="T605" s="36"/>
      <c r="U605" s="41"/>
      <c r="V605" s="36"/>
      <c r="W605" s="36"/>
      <c r="X605" s="40" t="str">
        <f aca="false">IF($M605="","",$M605&amp;"#"&amp;COUNTIF($M$4:$M605,$M605))</f>
        <v/>
      </c>
      <c r="Y605" s="40" t="str">
        <f aca="false">IF($B605="","",IF($C605="","NIK kosong",IF(LEN($C605)&lt;&gt;16,"NIK bukan 16 digit",IF(COUNTIF($C$4:$C$2003,$C605&amp;"*")&gt;1,"NIK ganda",IF(AND($D605&lt;&gt;"",LEN($D605)&lt;&gt;16),"No. KK bukan 16 digit",IF(AND($F605="",$I605=""),"Alamat kosong",IF($N605="","Jabatan kosong",IF($O605="","No. HP kosong",IF(AND($R605&lt;&gt;"",$R605&lt;17),"Usia di bawah 17","")))))))))</f>
        <v/>
      </c>
      <c r="Z605" s="40" t="str">
        <f aca="false">IF($B605="","",IF(AND(OR(CARI!$C$5="",ISNUMBER(SEARCH(CARI!$C$5,$B605&amp;" "&amp;$C605&amp;" "&amp;$D605&amp;" "&amp;$O605&amp;" "&amp;$I605&amp;" "&amp;$F605&amp;" "&amp;$J605&amp;" "&amp;$K605&amp;" "&amp;$L605&amp;" "&amp;$V605))),OR(CARI!$C$6="",$F605=CARI!$C$6),OR(CARI!$C$7="",$G605=CARI!$C$7),OR(CARI!$C$8="",$T605=CARI!$C$8)),MAX($Z$3:Z604)+1,""))</f>
        <v/>
      </c>
      <c r="AA605" s="40" t="str">
        <f aca="false">IF($Y605="","",MAX($AA$3:AA604)+1)</f>
        <v/>
      </c>
      <c r="AB605" s="40" t="str">
        <f aca="false">IF($F605="","",$F605&amp;"#"&amp;COUNTIF($F$4:$F605,$F605))</f>
        <v/>
      </c>
      <c r="AC605" s="40" t="str">
        <f aca="false">IF($B605="","",IF(AND(OR(CETAK!$J$10="",$F605=CETAK!$J$10),OR(CETAK!$J$11="",$G605=CETAK!$J$11),OR(CETAK!$J$12="",$P605=CETAK!$J$12),OR(CETAK!$J$13="",$N605=CETAK!$J$13),OR(CETAK!$J$14="",$T605=CETAK!$J$14)),MAX($AC$3:AC604)+1,""))</f>
        <v/>
      </c>
      <c r="AD605" s="40" t="str">
        <f aca="false">IF($B605="","",IF(AND(OR(ABSENSI!$H$10="",$F605=ABSENSI!$H$10),OR(ABSENSI!$H$11="",$G605=ABSENSI!$H$11),OR(ABSENSI!$H$12="",$P605=ABSENSI!$H$12)),MAX($AD$3:AD604)+1,""))</f>
        <v/>
      </c>
      <c r="AE605" s="40" t="str">
        <f aca="false">IF($B605="","",IF(AND(OR(KARTU!$K$6="",$F605=KARTU!$K$6),OR(KARTU!$K$7="",$G605=KARTU!$K$7),OR(KARTU!$K$8="",$P605=KARTU!$K$8)),MAX($AE$3:AE604)+1,""))</f>
        <v/>
      </c>
    </row>
    <row r="606" customFormat="false" ht="15" hidden="false" customHeight="false" outlineLevel="0" collapsed="false">
      <c r="A606" s="35" t="str">
        <f aca="false">IF($B606="","",COUNTA($B$4:$B606))</f>
        <v/>
      </c>
      <c r="B606" s="36"/>
      <c r="C606" s="37"/>
      <c r="D606" s="37"/>
      <c r="E606" s="38"/>
      <c r="F606" s="36"/>
      <c r="G606" s="39"/>
      <c r="H606" s="39"/>
      <c r="I606" s="36"/>
      <c r="J606" s="36"/>
      <c r="K606" s="36"/>
      <c r="L606" s="36"/>
      <c r="M606" s="40" t="str">
        <f aca="false">IF($F606="","",$F606&amp;IF($G606="",""," - RT "&amp;$G606&amp;IF($H606="","","/"&amp;$H606)))</f>
        <v/>
      </c>
      <c r="N606" s="36"/>
      <c r="O606" s="37"/>
      <c r="P606" s="39"/>
      <c r="Q606" s="41"/>
      <c r="R606" s="35" t="str">
        <f aca="true">IF(OR($B606="",$Q606=""),"",DATEDIF($Q606,TODAY(),"Y"))</f>
        <v/>
      </c>
      <c r="S606" s="40" t="str">
        <f aca="false">IF($R606="","",INDEX(usia_label,MATCH($R606,usia_min,1)))</f>
        <v/>
      </c>
      <c r="T606" s="36"/>
      <c r="U606" s="41"/>
      <c r="V606" s="36"/>
      <c r="W606" s="36"/>
      <c r="X606" s="40" t="str">
        <f aca="false">IF($M606="","",$M606&amp;"#"&amp;COUNTIF($M$4:$M606,$M606))</f>
        <v/>
      </c>
      <c r="Y606" s="40" t="str">
        <f aca="false">IF($B606="","",IF($C606="","NIK kosong",IF(LEN($C606)&lt;&gt;16,"NIK bukan 16 digit",IF(COUNTIF($C$4:$C$2003,$C606&amp;"*")&gt;1,"NIK ganda",IF(AND($D606&lt;&gt;"",LEN($D606)&lt;&gt;16),"No. KK bukan 16 digit",IF(AND($F606="",$I606=""),"Alamat kosong",IF($N606="","Jabatan kosong",IF($O606="","No. HP kosong",IF(AND($R606&lt;&gt;"",$R606&lt;17),"Usia di bawah 17","")))))))))</f>
        <v/>
      </c>
      <c r="Z606" s="40" t="str">
        <f aca="false">IF($B606="","",IF(AND(OR(CARI!$C$5="",ISNUMBER(SEARCH(CARI!$C$5,$B606&amp;" "&amp;$C606&amp;" "&amp;$D606&amp;" "&amp;$O606&amp;" "&amp;$I606&amp;" "&amp;$F606&amp;" "&amp;$J606&amp;" "&amp;$K606&amp;" "&amp;$L606&amp;" "&amp;$V606))),OR(CARI!$C$6="",$F606=CARI!$C$6),OR(CARI!$C$7="",$G606=CARI!$C$7),OR(CARI!$C$8="",$T606=CARI!$C$8)),MAX($Z$3:Z605)+1,""))</f>
        <v/>
      </c>
      <c r="AA606" s="40" t="str">
        <f aca="false">IF($Y606="","",MAX($AA$3:AA605)+1)</f>
        <v/>
      </c>
      <c r="AB606" s="40" t="str">
        <f aca="false">IF($F606="","",$F606&amp;"#"&amp;COUNTIF($F$4:$F606,$F606))</f>
        <v/>
      </c>
      <c r="AC606" s="40" t="str">
        <f aca="false">IF($B606="","",IF(AND(OR(CETAK!$J$10="",$F606=CETAK!$J$10),OR(CETAK!$J$11="",$G606=CETAK!$J$11),OR(CETAK!$J$12="",$P606=CETAK!$J$12),OR(CETAK!$J$13="",$N606=CETAK!$J$13),OR(CETAK!$J$14="",$T606=CETAK!$J$14)),MAX($AC$3:AC605)+1,""))</f>
        <v/>
      </c>
      <c r="AD606" s="40" t="str">
        <f aca="false">IF($B606="","",IF(AND(OR(ABSENSI!$H$10="",$F606=ABSENSI!$H$10),OR(ABSENSI!$H$11="",$G606=ABSENSI!$H$11),OR(ABSENSI!$H$12="",$P606=ABSENSI!$H$12)),MAX($AD$3:AD605)+1,""))</f>
        <v/>
      </c>
      <c r="AE606" s="40" t="str">
        <f aca="false">IF($B606="","",IF(AND(OR(KARTU!$K$6="",$F606=KARTU!$K$6),OR(KARTU!$K$7="",$G606=KARTU!$K$7),OR(KARTU!$K$8="",$P606=KARTU!$K$8)),MAX($AE$3:AE605)+1,""))</f>
        <v/>
      </c>
    </row>
    <row r="607" customFormat="false" ht="15" hidden="false" customHeight="false" outlineLevel="0" collapsed="false">
      <c r="A607" s="35" t="str">
        <f aca="false">IF($B607="","",COUNTA($B$4:$B607))</f>
        <v/>
      </c>
      <c r="B607" s="36"/>
      <c r="C607" s="37"/>
      <c r="D607" s="37"/>
      <c r="E607" s="38"/>
      <c r="F607" s="36"/>
      <c r="G607" s="39"/>
      <c r="H607" s="39"/>
      <c r="I607" s="36"/>
      <c r="J607" s="36"/>
      <c r="K607" s="36"/>
      <c r="L607" s="36"/>
      <c r="M607" s="40" t="str">
        <f aca="false">IF($F607="","",$F607&amp;IF($G607="",""," - RT "&amp;$G607&amp;IF($H607="","","/"&amp;$H607)))</f>
        <v/>
      </c>
      <c r="N607" s="36"/>
      <c r="O607" s="37"/>
      <c r="P607" s="39"/>
      <c r="Q607" s="41"/>
      <c r="R607" s="35" t="str">
        <f aca="true">IF(OR($B607="",$Q607=""),"",DATEDIF($Q607,TODAY(),"Y"))</f>
        <v/>
      </c>
      <c r="S607" s="40" t="str">
        <f aca="false">IF($R607="","",INDEX(usia_label,MATCH($R607,usia_min,1)))</f>
        <v/>
      </c>
      <c r="T607" s="36"/>
      <c r="U607" s="41"/>
      <c r="V607" s="36"/>
      <c r="W607" s="36"/>
      <c r="X607" s="40" t="str">
        <f aca="false">IF($M607="","",$M607&amp;"#"&amp;COUNTIF($M$4:$M607,$M607))</f>
        <v/>
      </c>
      <c r="Y607" s="40" t="str">
        <f aca="false">IF($B607="","",IF($C607="","NIK kosong",IF(LEN($C607)&lt;&gt;16,"NIK bukan 16 digit",IF(COUNTIF($C$4:$C$2003,$C607&amp;"*")&gt;1,"NIK ganda",IF(AND($D607&lt;&gt;"",LEN($D607)&lt;&gt;16),"No. KK bukan 16 digit",IF(AND($F607="",$I607=""),"Alamat kosong",IF($N607="","Jabatan kosong",IF($O607="","No. HP kosong",IF(AND($R607&lt;&gt;"",$R607&lt;17),"Usia di bawah 17","")))))))))</f>
        <v/>
      </c>
      <c r="Z607" s="40" t="str">
        <f aca="false">IF($B607="","",IF(AND(OR(CARI!$C$5="",ISNUMBER(SEARCH(CARI!$C$5,$B607&amp;" "&amp;$C607&amp;" "&amp;$D607&amp;" "&amp;$O607&amp;" "&amp;$I607&amp;" "&amp;$F607&amp;" "&amp;$J607&amp;" "&amp;$K607&amp;" "&amp;$L607&amp;" "&amp;$V607))),OR(CARI!$C$6="",$F607=CARI!$C$6),OR(CARI!$C$7="",$G607=CARI!$C$7),OR(CARI!$C$8="",$T607=CARI!$C$8)),MAX($Z$3:Z606)+1,""))</f>
        <v/>
      </c>
      <c r="AA607" s="40" t="str">
        <f aca="false">IF($Y607="","",MAX($AA$3:AA606)+1)</f>
        <v/>
      </c>
      <c r="AB607" s="40" t="str">
        <f aca="false">IF($F607="","",$F607&amp;"#"&amp;COUNTIF($F$4:$F607,$F607))</f>
        <v/>
      </c>
      <c r="AC607" s="40" t="str">
        <f aca="false">IF($B607="","",IF(AND(OR(CETAK!$J$10="",$F607=CETAK!$J$10),OR(CETAK!$J$11="",$G607=CETAK!$J$11),OR(CETAK!$J$12="",$P607=CETAK!$J$12),OR(CETAK!$J$13="",$N607=CETAK!$J$13),OR(CETAK!$J$14="",$T607=CETAK!$J$14)),MAX($AC$3:AC606)+1,""))</f>
        <v/>
      </c>
      <c r="AD607" s="40" t="str">
        <f aca="false">IF($B607="","",IF(AND(OR(ABSENSI!$H$10="",$F607=ABSENSI!$H$10),OR(ABSENSI!$H$11="",$G607=ABSENSI!$H$11),OR(ABSENSI!$H$12="",$P607=ABSENSI!$H$12)),MAX($AD$3:AD606)+1,""))</f>
        <v/>
      </c>
      <c r="AE607" s="40" t="str">
        <f aca="false">IF($B607="","",IF(AND(OR(KARTU!$K$6="",$F607=KARTU!$K$6),OR(KARTU!$K$7="",$G607=KARTU!$K$7),OR(KARTU!$K$8="",$P607=KARTU!$K$8)),MAX($AE$3:AE606)+1,""))</f>
        <v/>
      </c>
    </row>
    <row r="608" customFormat="false" ht="15" hidden="false" customHeight="false" outlineLevel="0" collapsed="false">
      <c r="A608" s="35" t="str">
        <f aca="false">IF($B608="","",COUNTA($B$4:$B608))</f>
        <v/>
      </c>
      <c r="B608" s="36"/>
      <c r="C608" s="37"/>
      <c r="D608" s="37"/>
      <c r="E608" s="38"/>
      <c r="F608" s="36"/>
      <c r="G608" s="39"/>
      <c r="H608" s="39"/>
      <c r="I608" s="36"/>
      <c r="J608" s="36"/>
      <c r="K608" s="36"/>
      <c r="L608" s="36"/>
      <c r="M608" s="40" t="str">
        <f aca="false">IF($F608="","",$F608&amp;IF($G608="",""," - RT "&amp;$G608&amp;IF($H608="","","/"&amp;$H608)))</f>
        <v/>
      </c>
      <c r="N608" s="36"/>
      <c r="O608" s="37"/>
      <c r="P608" s="39"/>
      <c r="Q608" s="41"/>
      <c r="R608" s="35" t="str">
        <f aca="true">IF(OR($B608="",$Q608=""),"",DATEDIF($Q608,TODAY(),"Y"))</f>
        <v/>
      </c>
      <c r="S608" s="40" t="str">
        <f aca="false">IF($R608="","",INDEX(usia_label,MATCH($R608,usia_min,1)))</f>
        <v/>
      </c>
      <c r="T608" s="36"/>
      <c r="U608" s="41"/>
      <c r="V608" s="36"/>
      <c r="W608" s="36"/>
      <c r="X608" s="40" t="str">
        <f aca="false">IF($M608="","",$M608&amp;"#"&amp;COUNTIF($M$4:$M608,$M608))</f>
        <v/>
      </c>
      <c r="Y608" s="40" t="str">
        <f aca="false">IF($B608="","",IF($C608="","NIK kosong",IF(LEN($C608)&lt;&gt;16,"NIK bukan 16 digit",IF(COUNTIF($C$4:$C$2003,$C608&amp;"*")&gt;1,"NIK ganda",IF(AND($D608&lt;&gt;"",LEN($D608)&lt;&gt;16),"No. KK bukan 16 digit",IF(AND($F608="",$I608=""),"Alamat kosong",IF($N608="","Jabatan kosong",IF($O608="","No. HP kosong",IF(AND($R608&lt;&gt;"",$R608&lt;17),"Usia di bawah 17","")))))))))</f>
        <v/>
      </c>
      <c r="Z608" s="40" t="str">
        <f aca="false">IF($B608="","",IF(AND(OR(CARI!$C$5="",ISNUMBER(SEARCH(CARI!$C$5,$B608&amp;" "&amp;$C608&amp;" "&amp;$D608&amp;" "&amp;$O608&amp;" "&amp;$I608&amp;" "&amp;$F608&amp;" "&amp;$J608&amp;" "&amp;$K608&amp;" "&amp;$L608&amp;" "&amp;$V608))),OR(CARI!$C$6="",$F608=CARI!$C$6),OR(CARI!$C$7="",$G608=CARI!$C$7),OR(CARI!$C$8="",$T608=CARI!$C$8)),MAX($Z$3:Z607)+1,""))</f>
        <v/>
      </c>
      <c r="AA608" s="40" t="str">
        <f aca="false">IF($Y608="","",MAX($AA$3:AA607)+1)</f>
        <v/>
      </c>
      <c r="AB608" s="40" t="str">
        <f aca="false">IF($F608="","",$F608&amp;"#"&amp;COUNTIF($F$4:$F608,$F608))</f>
        <v/>
      </c>
      <c r="AC608" s="40" t="str">
        <f aca="false">IF($B608="","",IF(AND(OR(CETAK!$J$10="",$F608=CETAK!$J$10),OR(CETAK!$J$11="",$G608=CETAK!$J$11),OR(CETAK!$J$12="",$P608=CETAK!$J$12),OR(CETAK!$J$13="",$N608=CETAK!$J$13),OR(CETAK!$J$14="",$T608=CETAK!$J$14)),MAX($AC$3:AC607)+1,""))</f>
        <v/>
      </c>
      <c r="AD608" s="40" t="str">
        <f aca="false">IF($B608="","",IF(AND(OR(ABSENSI!$H$10="",$F608=ABSENSI!$H$10),OR(ABSENSI!$H$11="",$G608=ABSENSI!$H$11),OR(ABSENSI!$H$12="",$P608=ABSENSI!$H$12)),MAX($AD$3:AD607)+1,""))</f>
        <v/>
      </c>
      <c r="AE608" s="40" t="str">
        <f aca="false">IF($B608="","",IF(AND(OR(KARTU!$K$6="",$F608=KARTU!$K$6),OR(KARTU!$K$7="",$G608=KARTU!$K$7),OR(KARTU!$K$8="",$P608=KARTU!$K$8)),MAX($AE$3:AE607)+1,""))</f>
        <v/>
      </c>
    </row>
    <row r="609" customFormat="false" ht="15" hidden="false" customHeight="false" outlineLevel="0" collapsed="false">
      <c r="A609" s="35" t="str">
        <f aca="false">IF($B609="","",COUNTA($B$4:$B609))</f>
        <v/>
      </c>
      <c r="B609" s="36"/>
      <c r="C609" s="37"/>
      <c r="D609" s="37"/>
      <c r="E609" s="38"/>
      <c r="F609" s="36"/>
      <c r="G609" s="39"/>
      <c r="H609" s="39"/>
      <c r="I609" s="36"/>
      <c r="J609" s="36"/>
      <c r="K609" s="36"/>
      <c r="L609" s="36"/>
      <c r="M609" s="40" t="str">
        <f aca="false">IF($F609="","",$F609&amp;IF($G609="",""," - RT "&amp;$G609&amp;IF($H609="","","/"&amp;$H609)))</f>
        <v/>
      </c>
      <c r="N609" s="36"/>
      <c r="O609" s="37"/>
      <c r="P609" s="39"/>
      <c r="Q609" s="41"/>
      <c r="R609" s="35" t="str">
        <f aca="true">IF(OR($B609="",$Q609=""),"",DATEDIF($Q609,TODAY(),"Y"))</f>
        <v/>
      </c>
      <c r="S609" s="40" t="str">
        <f aca="false">IF($R609="","",INDEX(usia_label,MATCH($R609,usia_min,1)))</f>
        <v/>
      </c>
      <c r="T609" s="36"/>
      <c r="U609" s="41"/>
      <c r="V609" s="36"/>
      <c r="W609" s="36"/>
      <c r="X609" s="40" t="str">
        <f aca="false">IF($M609="","",$M609&amp;"#"&amp;COUNTIF($M$4:$M609,$M609))</f>
        <v/>
      </c>
      <c r="Y609" s="40" t="str">
        <f aca="false">IF($B609="","",IF($C609="","NIK kosong",IF(LEN($C609)&lt;&gt;16,"NIK bukan 16 digit",IF(COUNTIF($C$4:$C$2003,$C609&amp;"*")&gt;1,"NIK ganda",IF(AND($D609&lt;&gt;"",LEN($D609)&lt;&gt;16),"No. KK bukan 16 digit",IF(AND($F609="",$I609=""),"Alamat kosong",IF($N609="","Jabatan kosong",IF($O609="","No. HP kosong",IF(AND($R609&lt;&gt;"",$R609&lt;17),"Usia di bawah 17","")))))))))</f>
        <v/>
      </c>
      <c r="Z609" s="40" t="str">
        <f aca="false">IF($B609="","",IF(AND(OR(CARI!$C$5="",ISNUMBER(SEARCH(CARI!$C$5,$B609&amp;" "&amp;$C609&amp;" "&amp;$D609&amp;" "&amp;$O609&amp;" "&amp;$I609&amp;" "&amp;$F609&amp;" "&amp;$J609&amp;" "&amp;$K609&amp;" "&amp;$L609&amp;" "&amp;$V609))),OR(CARI!$C$6="",$F609=CARI!$C$6),OR(CARI!$C$7="",$G609=CARI!$C$7),OR(CARI!$C$8="",$T609=CARI!$C$8)),MAX($Z$3:Z608)+1,""))</f>
        <v/>
      </c>
      <c r="AA609" s="40" t="str">
        <f aca="false">IF($Y609="","",MAX($AA$3:AA608)+1)</f>
        <v/>
      </c>
      <c r="AB609" s="40" t="str">
        <f aca="false">IF($F609="","",$F609&amp;"#"&amp;COUNTIF($F$4:$F609,$F609))</f>
        <v/>
      </c>
      <c r="AC609" s="40" t="str">
        <f aca="false">IF($B609="","",IF(AND(OR(CETAK!$J$10="",$F609=CETAK!$J$10),OR(CETAK!$J$11="",$G609=CETAK!$J$11),OR(CETAK!$J$12="",$P609=CETAK!$J$12),OR(CETAK!$J$13="",$N609=CETAK!$J$13),OR(CETAK!$J$14="",$T609=CETAK!$J$14)),MAX($AC$3:AC608)+1,""))</f>
        <v/>
      </c>
      <c r="AD609" s="40" t="str">
        <f aca="false">IF($B609="","",IF(AND(OR(ABSENSI!$H$10="",$F609=ABSENSI!$H$10),OR(ABSENSI!$H$11="",$G609=ABSENSI!$H$11),OR(ABSENSI!$H$12="",$P609=ABSENSI!$H$12)),MAX($AD$3:AD608)+1,""))</f>
        <v/>
      </c>
      <c r="AE609" s="40" t="str">
        <f aca="false">IF($B609="","",IF(AND(OR(KARTU!$K$6="",$F609=KARTU!$K$6),OR(KARTU!$K$7="",$G609=KARTU!$K$7),OR(KARTU!$K$8="",$P609=KARTU!$K$8)),MAX($AE$3:AE608)+1,""))</f>
        <v/>
      </c>
    </row>
    <row r="610" customFormat="false" ht="15" hidden="false" customHeight="false" outlineLevel="0" collapsed="false">
      <c r="A610" s="35" t="str">
        <f aca="false">IF($B610="","",COUNTA($B$4:$B610))</f>
        <v/>
      </c>
      <c r="B610" s="36"/>
      <c r="C610" s="37"/>
      <c r="D610" s="37"/>
      <c r="E610" s="38"/>
      <c r="F610" s="36"/>
      <c r="G610" s="39"/>
      <c r="H610" s="39"/>
      <c r="I610" s="36"/>
      <c r="J610" s="36"/>
      <c r="K610" s="36"/>
      <c r="L610" s="36"/>
      <c r="M610" s="40" t="str">
        <f aca="false">IF($F610="","",$F610&amp;IF($G610="",""," - RT "&amp;$G610&amp;IF($H610="","","/"&amp;$H610)))</f>
        <v/>
      </c>
      <c r="N610" s="36"/>
      <c r="O610" s="37"/>
      <c r="P610" s="39"/>
      <c r="Q610" s="41"/>
      <c r="R610" s="35" t="str">
        <f aca="true">IF(OR($B610="",$Q610=""),"",DATEDIF($Q610,TODAY(),"Y"))</f>
        <v/>
      </c>
      <c r="S610" s="40" t="str">
        <f aca="false">IF($R610="","",INDEX(usia_label,MATCH($R610,usia_min,1)))</f>
        <v/>
      </c>
      <c r="T610" s="36"/>
      <c r="U610" s="41"/>
      <c r="V610" s="36"/>
      <c r="W610" s="36"/>
      <c r="X610" s="40" t="str">
        <f aca="false">IF($M610="","",$M610&amp;"#"&amp;COUNTIF($M$4:$M610,$M610))</f>
        <v/>
      </c>
      <c r="Y610" s="40" t="str">
        <f aca="false">IF($B610="","",IF($C610="","NIK kosong",IF(LEN($C610)&lt;&gt;16,"NIK bukan 16 digit",IF(COUNTIF($C$4:$C$2003,$C610&amp;"*")&gt;1,"NIK ganda",IF(AND($D610&lt;&gt;"",LEN($D610)&lt;&gt;16),"No. KK bukan 16 digit",IF(AND($F610="",$I610=""),"Alamat kosong",IF($N610="","Jabatan kosong",IF($O610="","No. HP kosong",IF(AND($R610&lt;&gt;"",$R610&lt;17),"Usia di bawah 17","")))))))))</f>
        <v/>
      </c>
      <c r="Z610" s="40" t="str">
        <f aca="false">IF($B610="","",IF(AND(OR(CARI!$C$5="",ISNUMBER(SEARCH(CARI!$C$5,$B610&amp;" "&amp;$C610&amp;" "&amp;$D610&amp;" "&amp;$O610&amp;" "&amp;$I610&amp;" "&amp;$F610&amp;" "&amp;$J610&amp;" "&amp;$K610&amp;" "&amp;$L610&amp;" "&amp;$V610))),OR(CARI!$C$6="",$F610=CARI!$C$6),OR(CARI!$C$7="",$G610=CARI!$C$7),OR(CARI!$C$8="",$T610=CARI!$C$8)),MAX($Z$3:Z609)+1,""))</f>
        <v/>
      </c>
      <c r="AA610" s="40" t="str">
        <f aca="false">IF($Y610="","",MAX($AA$3:AA609)+1)</f>
        <v/>
      </c>
      <c r="AB610" s="40" t="str">
        <f aca="false">IF($F610="","",$F610&amp;"#"&amp;COUNTIF($F$4:$F610,$F610))</f>
        <v/>
      </c>
      <c r="AC610" s="40" t="str">
        <f aca="false">IF($B610="","",IF(AND(OR(CETAK!$J$10="",$F610=CETAK!$J$10),OR(CETAK!$J$11="",$G610=CETAK!$J$11),OR(CETAK!$J$12="",$P610=CETAK!$J$12),OR(CETAK!$J$13="",$N610=CETAK!$J$13),OR(CETAK!$J$14="",$T610=CETAK!$J$14)),MAX($AC$3:AC609)+1,""))</f>
        <v/>
      </c>
      <c r="AD610" s="40" t="str">
        <f aca="false">IF($B610="","",IF(AND(OR(ABSENSI!$H$10="",$F610=ABSENSI!$H$10),OR(ABSENSI!$H$11="",$G610=ABSENSI!$H$11),OR(ABSENSI!$H$12="",$P610=ABSENSI!$H$12)),MAX($AD$3:AD609)+1,""))</f>
        <v/>
      </c>
      <c r="AE610" s="40" t="str">
        <f aca="false">IF($B610="","",IF(AND(OR(KARTU!$K$6="",$F610=KARTU!$K$6),OR(KARTU!$K$7="",$G610=KARTU!$K$7),OR(KARTU!$K$8="",$P610=KARTU!$K$8)),MAX($AE$3:AE609)+1,""))</f>
        <v/>
      </c>
    </row>
    <row r="611" customFormat="false" ht="15" hidden="false" customHeight="false" outlineLevel="0" collapsed="false">
      <c r="A611" s="35" t="str">
        <f aca="false">IF($B611="","",COUNTA($B$4:$B611))</f>
        <v/>
      </c>
      <c r="B611" s="36"/>
      <c r="C611" s="37"/>
      <c r="D611" s="37"/>
      <c r="E611" s="38"/>
      <c r="F611" s="36"/>
      <c r="G611" s="39"/>
      <c r="H611" s="39"/>
      <c r="I611" s="36"/>
      <c r="J611" s="36"/>
      <c r="K611" s="36"/>
      <c r="L611" s="36"/>
      <c r="M611" s="40" t="str">
        <f aca="false">IF($F611="","",$F611&amp;IF($G611="",""," - RT "&amp;$G611&amp;IF($H611="","","/"&amp;$H611)))</f>
        <v/>
      </c>
      <c r="N611" s="36"/>
      <c r="O611" s="37"/>
      <c r="P611" s="39"/>
      <c r="Q611" s="41"/>
      <c r="R611" s="35" t="str">
        <f aca="true">IF(OR($B611="",$Q611=""),"",DATEDIF($Q611,TODAY(),"Y"))</f>
        <v/>
      </c>
      <c r="S611" s="40" t="str">
        <f aca="false">IF($R611="","",INDEX(usia_label,MATCH($R611,usia_min,1)))</f>
        <v/>
      </c>
      <c r="T611" s="36"/>
      <c r="U611" s="41"/>
      <c r="V611" s="36"/>
      <c r="W611" s="36"/>
      <c r="X611" s="40" t="str">
        <f aca="false">IF($M611="","",$M611&amp;"#"&amp;COUNTIF($M$4:$M611,$M611))</f>
        <v/>
      </c>
      <c r="Y611" s="40" t="str">
        <f aca="false">IF($B611="","",IF($C611="","NIK kosong",IF(LEN($C611)&lt;&gt;16,"NIK bukan 16 digit",IF(COUNTIF($C$4:$C$2003,$C611&amp;"*")&gt;1,"NIK ganda",IF(AND($D611&lt;&gt;"",LEN($D611)&lt;&gt;16),"No. KK bukan 16 digit",IF(AND($F611="",$I611=""),"Alamat kosong",IF($N611="","Jabatan kosong",IF($O611="","No. HP kosong",IF(AND($R611&lt;&gt;"",$R611&lt;17),"Usia di bawah 17","")))))))))</f>
        <v/>
      </c>
      <c r="Z611" s="40" t="str">
        <f aca="false">IF($B611="","",IF(AND(OR(CARI!$C$5="",ISNUMBER(SEARCH(CARI!$C$5,$B611&amp;" "&amp;$C611&amp;" "&amp;$D611&amp;" "&amp;$O611&amp;" "&amp;$I611&amp;" "&amp;$F611&amp;" "&amp;$J611&amp;" "&amp;$K611&amp;" "&amp;$L611&amp;" "&amp;$V611))),OR(CARI!$C$6="",$F611=CARI!$C$6),OR(CARI!$C$7="",$G611=CARI!$C$7),OR(CARI!$C$8="",$T611=CARI!$C$8)),MAX($Z$3:Z610)+1,""))</f>
        <v/>
      </c>
      <c r="AA611" s="40" t="str">
        <f aca="false">IF($Y611="","",MAX($AA$3:AA610)+1)</f>
        <v/>
      </c>
      <c r="AB611" s="40" t="str">
        <f aca="false">IF($F611="","",$F611&amp;"#"&amp;COUNTIF($F$4:$F611,$F611))</f>
        <v/>
      </c>
      <c r="AC611" s="40" t="str">
        <f aca="false">IF($B611="","",IF(AND(OR(CETAK!$J$10="",$F611=CETAK!$J$10),OR(CETAK!$J$11="",$G611=CETAK!$J$11),OR(CETAK!$J$12="",$P611=CETAK!$J$12),OR(CETAK!$J$13="",$N611=CETAK!$J$13),OR(CETAK!$J$14="",$T611=CETAK!$J$14)),MAX($AC$3:AC610)+1,""))</f>
        <v/>
      </c>
      <c r="AD611" s="40" t="str">
        <f aca="false">IF($B611="","",IF(AND(OR(ABSENSI!$H$10="",$F611=ABSENSI!$H$10),OR(ABSENSI!$H$11="",$G611=ABSENSI!$H$11),OR(ABSENSI!$H$12="",$P611=ABSENSI!$H$12)),MAX($AD$3:AD610)+1,""))</f>
        <v/>
      </c>
      <c r="AE611" s="40" t="str">
        <f aca="false">IF($B611="","",IF(AND(OR(KARTU!$K$6="",$F611=KARTU!$K$6),OR(KARTU!$K$7="",$G611=KARTU!$K$7),OR(KARTU!$K$8="",$P611=KARTU!$K$8)),MAX($AE$3:AE610)+1,""))</f>
        <v/>
      </c>
    </row>
    <row r="612" customFormat="false" ht="15" hidden="false" customHeight="false" outlineLevel="0" collapsed="false">
      <c r="A612" s="35" t="str">
        <f aca="false">IF($B612="","",COUNTA($B$4:$B612))</f>
        <v/>
      </c>
      <c r="B612" s="36"/>
      <c r="C612" s="37"/>
      <c r="D612" s="37"/>
      <c r="E612" s="38"/>
      <c r="F612" s="36"/>
      <c r="G612" s="39"/>
      <c r="H612" s="39"/>
      <c r="I612" s="36"/>
      <c r="J612" s="36"/>
      <c r="K612" s="36"/>
      <c r="L612" s="36"/>
      <c r="M612" s="40" t="str">
        <f aca="false">IF($F612="","",$F612&amp;IF($G612="",""," - RT "&amp;$G612&amp;IF($H612="","","/"&amp;$H612)))</f>
        <v/>
      </c>
      <c r="N612" s="36"/>
      <c r="O612" s="37"/>
      <c r="P612" s="39"/>
      <c r="Q612" s="41"/>
      <c r="R612" s="35" t="str">
        <f aca="true">IF(OR($B612="",$Q612=""),"",DATEDIF($Q612,TODAY(),"Y"))</f>
        <v/>
      </c>
      <c r="S612" s="40" t="str">
        <f aca="false">IF($R612="","",INDEX(usia_label,MATCH($R612,usia_min,1)))</f>
        <v/>
      </c>
      <c r="T612" s="36"/>
      <c r="U612" s="41"/>
      <c r="V612" s="36"/>
      <c r="W612" s="36"/>
      <c r="X612" s="40" t="str">
        <f aca="false">IF($M612="","",$M612&amp;"#"&amp;COUNTIF($M$4:$M612,$M612))</f>
        <v/>
      </c>
      <c r="Y612" s="40" t="str">
        <f aca="false">IF($B612="","",IF($C612="","NIK kosong",IF(LEN($C612)&lt;&gt;16,"NIK bukan 16 digit",IF(COUNTIF($C$4:$C$2003,$C612&amp;"*")&gt;1,"NIK ganda",IF(AND($D612&lt;&gt;"",LEN($D612)&lt;&gt;16),"No. KK bukan 16 digit",IF(AND($F612="",$I612=""),"Alamat kosong",IF($N612="","Jabatan kosong",IF($O612="","No. HP kosong",IF(AND($R612&lt;&gt;"",$R612&lt;17),"Usia di bawah 17","")))))))))</f>
        <v/>
      </c>
      <c r="Z612" s="40" t="str">
        <f aca="false">IF($B612="","",IF(AND(OR(CARI!$C$5="",ISNUMBER(SEARCH(CARI!$C$5,$B612&amp;" "&amp;$C612&amp;" "&amp;$D612&amp;" "&amp;$O612&amp;" "&amp;$I612&amp;" "&amp;$F612&amp;" "&amp;$J612&amp;" "&amp;$K612&amp;" "&amp;$L612&amp;" "&amp;$V612))),OR(CARI!$C$6="",$F612=CARI!$C$6),OR(CARI!$C$7="",$G612=CARI!$C$7),OR(CARI!$C$8="",$T612=CARI!$C$8)),MAX($Z$3:Z611)+1,""))</f>
        <v/>
      </c>
      <c r="AA612" s="40" t="str">
        <f aca="false">IF($Y612="","",MAX($AA$3:AA611)+1)</f>
        <v/>
      </c>
      <c r="AB612" s="40" t="str">
        <f aca="false">IF($F612="","",$F612&amp;"#"&amp;COUNTIF($F$4:$F612,$F612))</f>
        <v/>
      </c>
      <c r="AC612" s="40" t="str">
        <f aca="false">IF($B612="","",IF(AND(OR(CETAK!$J$10="",$F612=CETAK!$J$10),OR(CETAK!$J$11="",$G612=CETAK!$J$11),OR(CETAK!$J$12="",$P612=CETAK!$J$12),OR(CETAK!$J$13="",$N612=CETAK!$J$13),OR(CETAK!$J$14="",$T612=CETAK!$J$14)),MAX($AC$3:AC611)+1,""))</f>
        <v/>
      </c>
      <c r="AD612" s="40" t="str">
        <f aca="false">IF($B612="","",IF(AND(OR(ABSENSI!$H$10="",$F612=ABSENSI!$H$10),OR(ABSENSI!$H$11="",$G612=ABSENSI!$H$11),OR(ABSENSI!$H$12="",$P612=ABSENSI!$H$12)),MAX($AD$3:AD611)+1,""))</f>
        <v/>
      </c>
      <c r="AE612" s="40" t="str">
        <f aca="false">IF($B612="","",IF(AND(OR(KARTU!$K$6="",$F612=KARTU!$K$6),OR(KARTU!$K$7="",$G612=KARTU!$K$7),OR(KARTU!$K$8="",$P612=KARTU!$K$8)),MAX($AE$3:AE611)+1,""))</f>
        <v/>
      </c>
    </row>
    <row r="613" customFormat="false" ht="15" hidden="false" customHeight="false" outlineLevel="0" collapsed="false">
      <c r="A613" s="35" t="str">
        <f aca="false">IF($B613="","",COUNTA($B$4:$B613))</f>
        <v/>
      </c>
      <c r="B613" s="36"/>
      <c r="C613" s="37"/>
      <c r="D613" s="37"/>
      <c r="E613" s="38"/>
      <c r="F613" s="36"/>
      <c r="G613" s="39"/>
      <c r="H613" s="39"/>
      <c r="I613" s="36"/>
      <c r="J613" s="36"/>
      <c r="K613" s="36"/>
      <c r="L613" s="36"/>
      <c r="M613" s="40" t="str">
        <f aca="false">IF($F613="","",$F613&amp;IF($G613="",""," - RT "&amp;$G613&amp;IF($H613="","","/"&amp;$H613)))</f>
        <v/>
      </c>
      <c r="N613" s="36"/>
      <c r="O613" s="37"/>
      <c r="P613" s="39"/>
      <c r="Q613" s="41"/>
      <c r="R613" s="35" t="str">
        <f aca="true">IF(OR($B613="",$Q613=""),"",DATEDIF($Q613,TODAY(),"Y"))</f>
        <v/>
      </c>
      <c r="S613" s="40" t="str">
        <f aca="false">IF($R613="","",INDEX(usia_label,MATCH($R613,usia_min,1)))</f>
        <v/>
      </c>
      <c r="T613" s="36"/>
      <c r="U613" s="41"/>
      <c r="V613" s="36"/>
      <c r="W613" s="36"/>
      <c r="X613" s="40" t="str">
        <f aca="false">IF($M613="","",$M613&amp;"#"&amp;COUNTIF($M$4:$M613,$M613))</f>
        <v/>
      </c>
      <c r="Y613" s="40" t="str">
        <f aca="false">IF($B613="","",IF($C613="","NIK kosong",IF(LEN($C613)&lt;&gt;16,"NIK bukan 16 digit",IF(COUNTIF($C$4:$C$2003,$C613&amp;"*")&gt;1,"NIK ganda",IF(AND($D613&lt;&gt;"",LEN($D613)&lt;&gt;16),"No. KK bukan 16 digit",IF(AND($F613="",$I613=""),"Alamat kosong",IF($N613="","Jabatan kosong",IF($O613="","No. HP kosong",IF(AND($R613&lt;&gt;"",$R613&lt;17),"Usia di bawah 17","")))))))))</f>
        <v/>
      </c>
      <c r="Z613" s="40" t="str">
        <f aca="false">IF($B613="","",IF(AND(OR(CARI!$C$5="",ISNUMBER(SEARCH(CARI!$C$5,$B613&amp;" "&amp;$C613&amp;" "&amp;$D613&amp;" "&amp;$O613&amp;" "&amp;$I613&amp;" "&amp;$F613&amp;" "&amp;$J613&amp;" "&amp;$K613&amp;" "&amp;$L613&amp;" "&amp;$V613))),OR(CARI!$C$6="",$F613=CARI!$C$6),OR(CARI!$C$7="",$G613=CARI!$C$7),OR(CARI!$C$8="",$T613=CARI!$C$8)),MAX($Z$3:Z612)+1,""))</f>
        <v/>
      </c>
      <c r="AA613" s="40" t="str">
        <f aca="false">IF($Y613="","",MAX($AA$3:AA612)+1)</f>
        <v/>
      </c>
      <c r="AB613" s="40" t="str">
        <f aca="false">IF($F613="","",$F613&amp;"#"&amp;COUNTIF($F$4:$F613,$F613))</f>
        <v/>
      </c>
      <c r="AC613" s="40" t="str">
        <f aca="false">IF($B613="","",IF(AND(OR(CETAK!$J$10="",$F613=CETAK!$J$10),OR(CETAK!$J$11="",$G613=CETAK!$J$11),OR(CETAK!$J$12="",$P613=CETAK!$J$12),OR(CETAK!$J$13="",$N613=CETAK!$J$13),OR(CETAK!$J$14="",$T613=CETAK!$J$14)),MAX($AC$3:AC612)+1,""))</f>
        <v/>
      </c>
      <c r="AD613" s="40" t="str">
        <f aca="false">IF($B613="","",IF(AND(OR(ABSENSI!$H$10="",$F613=ABSENSI!$H$10),OR(ABSENSI!$H$11="",$G613=ABSENSI!$H$11),OR(ABSENSI!$H$12="",$P613=ABSENSI!$H$12)),MAX($AD$3:AD612)+1,""))</f>
        <v/>
      </c>
      <c r="AE613" s="40" t="str">
        <f aca="false">IF($B613="","",IF(AND(OR(KARTU!$K$6="",$F613=KARTU!$K$6),OR(KARTU!$K$7="",$G613=KARTU!$K$7),OR(KARTU!$K$8="",$P613=KARTU!$K$8)),MAX($AE$3:AE612)+1,""))</f>
        <v/>
      </c>
    </row>
    <row r="614" customFormat="false" ht="15" hidden="false" customHeight="false" outlineLevel="0" collapsed="false">
      <c r="A614" s="35" t="str">
        <f aca="false">IF($B614="","",COUNTA($B$4:$B614))</f>
        <v/>
      </c>
      <c r="B614" s="36"/>
      <c r="C614" s="37"/>
      <c r="D614" s="37"/>
      <c r="E614" s="38"/>
      <c r="F614" s="36"/>
      <c r="G614" s="39"/>
      <c r="H614" s="39"/>
      <c r="I614" s="36"/>
      <c r="J614" s="36"/>
      <c r="K614" s="36"/>
      <c r="L614" s="36"/>
      <c r="M614" s="40" t="str">
        <f aca="false">IF($F614="","",$F614&amp;IF($G614="",""," - RT "&amp;$G614&amp;IF($H614="","","/"&amp;$H614)))</f>
        <v/>
      </c>
      <c r="N614" s="36"/>
      <c r="O614" s="37"/>
      <c r="P614" s="39"/>
      <c r="Q614" s="41"/>
      <c r="R614" s="35" t="str">
        <f aca="true">IF(OR($B614="",$Q614=""),"",DATEDIF($Q614,TODAY(),"Y"))</f>
        <v/>
      </c>
      <c r="S614" s="40" t="str">
        <f aca="false">IF($R614="","",INDEX(usia_label,MATCH($R614,usia_min,1)))</f>
        <v/>
      </c>
      <c r="T614" s="36"/>
      <c r="U614" s="41"/>
      <c r="V614" s="36"/>
      <c r="W614" s="36"/>
      <c r="X614" s="40" t="str">
        <f aca="false">IF($M614="","",$M614&amp;"#"&amp;COUNTIF($M$4:$M614,$M614))</f>
        <v/>
      </c>
      <c r="Y614" s="40" t="str">
        <f aca="false">IF($B614="","",IF($C614="","NIK kosong",IF(LEN($C614)&lt;&gt;16,"NIK bukan 16 digit",IF(COUNTIF($C$4:$C$2003,$C614&amp;"*")&gt;1,"NIK ganda",IF(AND($D614&lt;&gt;"",LEN($D614)&lt;&gt;16),"No. KK bukan 16 digit",IF(AND($F614="",$I614=""),"Alamat kosong",IF($N614="","Jabatan kosong",IF($O614="","No. HP kosong",IF(AND($R614&lt;&gt;"",$R614&lt;17),"Usia di bawah 17","")))))))))</f>
        <v/>
      </c>
      <c r="Z614" s="40" t="str">
        <f aca="false">IF($B614="","",IF(AND(OR(CARI!$C$5="",ISNUMBER(SEARCH(CARI!$C$5,$B614&amp;" "&amp;$C614&amp;" "&amp;$D614&amp;" "&amp;$O614&amp;" "&amp;$I614&amp;" "&amp;$F614&amp;" "&amp;$J614&amp;" "&amp;$K614&amp;" "&amp;$L614&amp;" "&amp;$V614))),OR(CARI!$C$6="",$F614=CARI!$C$6),OR(CARI!$C$7="",$G614=CARI!$C$7),OR(CARI!$C$8="",$T614=CARI!$C$8)),MAX($Z$3:Z613)+1,""))</f>
        <v/>
      </c>
      <c r="AA614" s="40" t="str">
        <f aca="false">IF($Y614="","",MAX($AA$3:AA613)+1)</f>
        <v/>
      </c>
      <c r="AB614" s="40" t="str">
        <f aca="false">IF($F614="","",$F614&amp;"#"&amp;COUNTIF($F$4:$F614,$F614))</f>
        <v/>
      </c>
      <c r="AC614" s="40" t="str">
        <f aca="false">IF($B614="","",IF(AND(OR(CETAK!$J$10="",$F614=CETAK!$J$10),OR(CETAK!$J$11="",$G614=CETAK!$J$11),OR(CETAK!$J$12="",$P614=CETAK!$J$12),OR(CETAK!$J$13="",$N614=CETAK!$J$13),OR(CETAK!$J$14="",$T614=CETAK!$J$14)),MAX($AC$3:AC613)+1,""))</f>
        <v/>
      </c>
      <c r="AD614" s="40" t="str">
        <f aca="false">IF($B614="","",IF(AND(OR(ABSENSI!$H$10="",$F614=ABSENSI!$H$10),OR(ABSENSI!$H$11="",$G614=ABSENSI!$H$11),OR(ABSENSI!$H$12="",$P614=ABSENSI!$H$12)),MAX($AD$3:AD613)+1,""))</f>
        <v/>
      </c>
      <c r="AE614" s="40" t="str">
        <f aca="false">IF($B614="","",IF(AND(OR(KARTU!$K$6="",$F614=KARTU!$K$6),OR(KARTU!$K$7="",$G614=KARTU!$K$7),OR(KARTU!$K$8="",$P614=KARTU!$K$8)),MAX($AE$3:AE613)+1,""))</f>
        <v/>
      </c>
    </row>
    <row r="615" customFormat="false" ht="15" hidden="false" customHeight="false" outlineLevel="0" collapsed="false">
      <c r="A615" s="35" t="str">
        <f aca="false">IF($B615="","",COUNTA($B$4:$B615))</f>
        <v/>
      </c>
      <c r="B615" s="36"/>
      <c r="C615" s="37"/>
      <c r="D615" s="37"/>
      <c r="E615" s="38"/>
      <c r="F615" s="36"/>
      <c r="G615" s="39"/>
      <c r="H615" s="39"/>
      <c r="I615" s="36"/>
      <c r="J615" s="36"/>
      <c r="K615" s="36"/>
      <c r="L615" s="36"/>
      <c r="M615" s="40" t="str">
        <f aca="false">IF($F615="","",$F615&amp;IF($G615="",""," - RT "&amp;$G615&amp;IF($H615="","","/"&amp;$H615)))</f>
        <v/>
      </c>
      <c r="N615" s="36"/>
      <c r="O615" s="37"/>
      <c r="P615" s="39"/>
      <c r="Q615" s="41"/>
      <c r="R615" s="35" t="str">
        <f aca="true">IF(OR($B615="",$Q615=""),"",DATEDIF($Q615,TODAY(),"Y"))</f>
        <v/>
      </c>
      <c r="S615" s="40" t="str">
        <f aca="false">IF($R615="","",INDEX(usia_label,MATCH($R615,usia_min,1)))</f>
        <v/>
      </c>
      <c r="T615" s="36"/>
      <c r="U615" s="41"/>
      <c r="V615" s="36"/>
      <c r="W615" s="36"/>
      <c r="X615" s="40" t="str">
        <f aca="false">IF($M615="","",$M615&amp;"#"&amp;COUNTIF($M$4:$M615,$M615))</f>
        <v/>
      </c>
      <c r="Y615" s="40" t="str">
        <f aca="false">IF($B615="","",IF($C615="","NIK kosong",IF(LEN($C615)&lt;&gt;16,"NIK bukan 16 digit",IF(COUNTIF($C$4:$C$2003,$C615&amp;"*")&gt;1,"NIK ganda",IF(AND($D615&lt;&gt;"",LEN($D615)&lt;&gt;16),"No. KK bukan 16 digit",IF(AND($F615="",$I615=""),"Alamat kosong",IF($N615="","Jabatan kosong",IF($O615="","No. HP kosong",IF(AND($R615&lt;&gt;"",$R615&lt;17),"Usia di bawah 17","")))))))))</f>
        <v/>
      </c>
      <c r="Z615" s="40" t="str">
        <f aca="false">IF($B615="","",IF(AND(OR(CARI!$C$5="",ISNUMBER(SEARCH(CARI!$C$5,$B615&amp;" "&amp;$C615&amp;" "&amp;$D615&amp;" "&amp;$O615&amp;" "&amp;$I615&amp;" "&amp;$F615&amp;" "&amp;$J615&amp;" "&amp;$K615&amp;" "&amp;$L615&amp;" "&amp;$V615))),OR(CARI!$C$6="",$F615=CARI!$C$6),OR(CARI!$C$7="",$G615=CARI!$C$7),OR(CARI!$C$8="",$T615=CARI!$C$8)),MAX($Z$3:Z614)+1,""))</f>
        <v/>
      </c>
      <c r="AA615" s="40" t="str">
        <f aca="false">IF($Y615="","",MAX($AA$3:AA614)+1)</f>
        <v/>
      </c>
      <c r="AB615" s="40" t="str">
        <f aca="false">IF($F615="","",$F615&amp;"#"&amp;COUNTIF($F$4:$F615,$F615))</f>
        <v/>
      </c>
      <c r="AC615" s="40" t="str">
        <f aca="false">IF($B615="","",IF(AND(OR(CETAK!$J$10="",$F615=CETAK!$J$10),OR(CETAK!$J$11="",$G615=CETAK!$J$11),OR(CETAK!$J$12="",$P615=CETAK!$J$12),OR(CETAK!$J$13="",$N615=CETAK!$J$13),OR(CETAK!$J$14="",$T615=CETAK!$J$14)),MAX($AC$3:AC614)+1,""))</f>
        <v/>
      </c>
      <c r="AD615" s="40" t="str">
        <f aca="false">IF($B615="","",IF(AND(OR(ABSENSI!$H$10="",$F615=ABSENSI!$H$10),OR(ABSENSI!$H$11="",$G615=ABSENSI!$H$11),OR(ABSENSI!$H$12="",$P615=ABSENSI!$H$12)),MAX($AD$3:AD614)+1,""))</f>
        <v/>
      </c>
      <c r="AE615" s="40" t="str">
        <f aca="false">IF($B615="","",IF(AND(OR(KARTU!$K$6="",$F615=KARTU!$K$6),OR(KARTU!$K$7="",$G615=KARTU!$K$7),OR(KARTU!$K$8="",$P615=KARTU!$K$8)),MAX($AE$3:AE614)+1,""))</f>
        <v/>
      </c>
    </row>
    <row r="616" customFormat="false" ht="15" hidden="false" customHeight="false" outlineLevel="0" collapsed="false">
      <c r="A616" s="35" t="str">
        <f aca="false">IF($B616="","",COUNTA($B$4:$B616))</f>
        <v/>
      </c>
      <c r="B616" s="36"/>
      <c r="C616" s="37"/>
      <c r="D616" s="37"/>
      <c r="E616" s="38"/>
      <c r="F616" s="36"/>
      <c r="G616" s="39"/>
      <c r="H616" s="39"/>
      <c r="I616" s="36"/>
      <c r="J616" s="36"/>
      <c r="K616" s="36"/>
      <c r="L616" s="36"/>
      <c r="M616" s="40" t="str">
        <f aca="false">IF($F616="","",$F616&amp;IF($G616="",""," - RT "&amp;$G616&amp;IF($H616="","","/"&amp;$H616)))</f>
        <v/>
      </c>
      <c r="N616" s="36"/>
      <c r="O616" s="37"/>
      <c r="P616" s="39"/>
      <c r="Q616" s="41"/>
      <c r="R616" s="35" t="str">
        <f aca="true">IF(OR($B616="",$Q616=""),"",DATEDIF($Q616,TODAY(),"Y"))</f>
        <v/>
      </c>
      <c r="S616" s="40" t="str">
        <f aca="false">IF($R616="","",INDEX(usia_label,MATCH($R616,usia_min,1)))</f>
        <v/>
      </c>
      <c r="T616" s="36"/>
      <c r="U616" s="41"/>
      <c r="V616" s="36"/>
      <c r="W616" s="36"/>
      <c r="X616" s="40" t="str">
        <f aca="false">IF($M616="","",$M616&amp;"#"&amp;COUNTIF($M$4:$M616,$M616))</f>
        <v/>
      </c>
      <c r="Y616" s="40" t="str">
        <f aca="false">IF($B616="","",IF($C616="","NIK kosong",IF(LEN($C616)&lt;&gt;16,"NIK bukan 16 digit",IF(COUNTIF($C$4:$C$2003,$C616&amp;"*")&gt;1,"NIK ganda",IF(AND($D616&lt;&gt;"",LEN($D616)&lt;&gt;16),"No. KK bukan 16 digit",IF(AND($F616="",$I616=""),"Alamat kosong",IF($N616="","Jabatan kosong",IF($O616="","No. HP kosong",IF(AND($R616&lt;&gt;"",$R616&lt;17),"Usia di bawah 17","")))))))))</f>
        <v/>
      </c>
      <c r="Z616" s="40" t="str">
        <f aca="false">IF($B616="","",IF(AND(OR(CARI!$C$5="",ISNUMBER(SEARCH(CARI!$C$5,$B616&amp;" "&amp;$C616&amp;" "&amp;$D616&amp;" "&amp;$O616&amp;" "&amp;$I616&amp;" "&amp;$F616&amp;" "&amp;$J616&amp;" "&amp;$K616&amp;" "&amp;$L616&amp;" "&amp;$V616))),OR(CARI!$C$6="",$F616=CARI!$C$6),OR(CARI!$C$7="",$G616=CARI!$C$7),OR(CARI!$C$8="",$T616=CARI!$C$8)),MAX($Z$3:Z615)+1,""))</f>
        <v/>
      </c>
      <c r="AA616" s="40" t="str">
        <f aca="false">IF($Y616="","",MAX($AA$3:AA615)+1)</f>
        <v/>
      </c>
      <c r="AB616" s="40" t="str">
        <f aca="false">IF($F616="","",$F616&amp;"#"&amp;COUNTIF($F$4:$F616,$F616))</f>
        <v/>
      </c>
      <c r="AC616" s="40" t="str">
        <f aca="false">IF($B616="","",IF(AND(OR(CETAK!$J$10="",$F616=CETAK!$J$10),OR(CETAK!$J$11="",$G616=CETAK!$J$11),OR(CETAK!$J$12="",$P616=CETAK!$J$12),OR(CETAK!$J$13="",$N616=CETAK!$J$13),OR(CETAK!$J$14="",$T616=CETAK!$J$14)),MAX($AC$3:AC615)+1,""))</f>
        <v/>
      </c>
      <c r="AD616" s="40" t="str">
        <f aca="false">IF($B616="","",IF(AND(OR(ABSENSI!$H$10="",$F616=ABSENSI!$H$10),OR(ABSENSI!$H$11="",$G616=ABSENSI!$H$11),OR(ABSENSI!$H$12="",$P616=ABSENSI!$H$12)),MAX($AD$3:AD615)+1,""))</f>
        <v/>
      </c>
      <c r="AE616" s="40" t="str">
        <f aca="false">IF($B616="","",IF(AND(OR(KARTU!$K$6="",$F616=KARTU!$K$6),OR(KARTU!$K$7="",$G616=KARTU!$K$7),OR(KARTU!$K$8="",$P616=KARTU!$K$8)),MAX($AE$3:AE615)+1,""))</f>
        <v/>
      </c>
    </row>
    <row r="617" customFormat="false" ht="15" hidden="false" customHeight="false" outlineLevel="0" collapsed="false">
      <c r="A617" s="35" t="str">
        <f aca="false">IF($B617="","",COUNTA($B$4:$B617))</f>
        <v/>
      </c>
      <c r="B617" s="36"/>
      <c r="C617" s="37"/>
      <c r="D617" s="37"/>
      <c r="E617" s="38"/>
      <c r="F617" s="36"/>
      <c r="G617" s="39"/>
      <c r="H617" s="39"/>
      <c r="I617" s="36"/>
      <c r="J617" s="36"/>
      <c r="K617" s="36"/>
      <c r="L617" s="36"/>
      <c r="M617" s="40" t="str">
        <f aca="false">IF($F617="","",$F617&amp;IF($G617="",""," - RT "&amp;$G617&amp;IF($H617="","","/"&amp;$H617)))</f>
        <v/>
      </c>
      <c r="N617" s="36"/>
      <c r="O617" s="37"/>
      <c r="P617" s="39"/>
      <c r="Q617" s="41"/>
      <c r="R617" s="35" t="str">
        <f aca="true">IF(OR($B617="",$Q617=""),"",DATEDIF($Q617,TODAY(),"Y"))</f>
        <v/>
      </c>
      <c r="S617" s="40" t="str">
        <f aca="false">IF($R617="","",INDEX(usia_label,MATCH($R617,usia_min,1)))</f>
        <v/>
      </c>
      <c r="T617" s="36"/>
      <c r="U617" s="41"/>
      <c r="V617" s="36"/>
      <c r="W617" s="36"/>
      <c r="X617" s="40" t="str">
        <f aca="false">IF($M617="","",$M617&amp;"#"&amp;COUNTIF($M$4:$M617,$M617))</f>
        <v/>
      </c>
      <c r="Y617" s="40" t="str">
        <f aca="false">IF($B617="","",IF($C617="","NIK kosong",IF(LEN($C617)&lt;&gt;16,"NIK bukan 16 digit",IF(COUNTIF($C$4:$C$2003,$C617&amp;"*")&gt;1,"NIK ganda",IF(AND($D617&lt;&gt;"",LEN($D617)&lt;&gt;16),"No. KK bukan 16 digit",IF(AND($F617="",$I617=""),"Alamat kosong",IF($N617="","Jabatan kosong",IF($O617="","No. HP kosong",IF(AND($R617&lt;&gt;"",$R617&lt;17),"Usia di bawah 17","")))))))))</f>
        <v/>
      </c>
      <c r="Z617" s="40" t="str">
        <f aca="false">IF($B617="","",IF(AND(OR(CARI!$C$5="",ISNUMBER(SEARCH(CARI!$C$5,$B617&amp;" "&amp;$C617&amp;" "&amp;$D617&amp;" "&amp;$O617&amp;" "&amp;$I617&amp;" "&amp;$F617&amp;" "&amp;$J617&amp;" "&amp;$K617&amp;" "&amp;$L617&amp;" "&amp;$V617))),OR(CARI!$C$6="",$F617=CARI!$C$6),OR(CARI!$C$7="",$G617=CARI!$C$7),OR(CARI!$C$8="",$T617=CARI!$C$8)),MAX($Z$3:Z616)+1,""))</f>
        <v/>
      </c>
      <c r="AA617" s="40" t="str">
        <f aca="false">IF($Y617="","",MAX($AA$3:AA616)+1)</f>
        <v/>
      </c>
      <c r="AB617" s="40" t="str">
        <f aca="false">IF($F617="","",$F617&amp;"#"&amp;COUNTIF($F$4:$F617,$F617))</f>
        <v/>
      </c>
      <c r="AC617" s="40" t="str">
        <f aca="false">IF($B617="","",IF(AND(OR(CETAK!$J$10="",$F617=CETAK!$J$10),OR(CETAK!$J$11="",$G617=CETAK!$J$11),OR(CETAK!$J$12="",$P617=CETAK!$J$12),OR(CETAK!$J$13="",$N617=CETAK!$J$13),OR(CETAK!$J$14="",$T617=CETAK!$J$14)),MAX($AC$3:AC616)+1,""))</f>
        <v/>
      </c>
      <c r="AD617" s="40" t="str">
        <f aca="false">IF($B617="","",IF(AND(OR(ABSENSI!$H$10="",$F617=ABSENSI!$H$10),OR(ABSENSI!$H$11="",$G617=ABSENSI!$H$11),OR(ABSENSI!$H$12="",$P617=ABSENSI!$H$12)),MAX($AD$3:AD616)+1,""))</f>
        <v/>
      </c>
      <c r="AE617" s="40" t="str">
        <f aca="false">IF($B617="","",IF(AND(OR(KARTU!$K$6="",$F617=KARTU!$K$6),OR(KARTU!$K$7="",$G617=KARTU!$K$7),OR(KARTU!$K$8="",$P617=KARTU!$K$8)),MAX($AE$3:AE616)+1,""))</f>
        <v/>
      </c>
    </row>
    <row r="618" customFormat="false" ht="15" hidden="false" customHeight="false" outlineLevel="0" collapsed="false">
      <c r="A618" s="35" t="str">
        <f aca="false">IF($B618="","",COUNTA($B$4:$B618))</f>
        <v/>
      </c>
      <c r="B618" s="36"/>
      <c r="C618" s="37"/>
      <c r="D618" s="37"/>
      <c r="E618" s="38"/>
      <c r="F618" s="36"/>
      <c r="G618" s="39"/>
      <c r="H618" s="39"/>
      <c r="I618" s="36"/>
      <c r="J618" s="36"/>
      <c r="K618" s="36"/>
      <c r="L618" s="36"/>
      <c r="M618" s="40" t="str">
        <f aca="false">IF($F618="","",$F618&amp;IF($G618="",""," - RT "&amp;$G618&amp;IF($H618="","","/"&amp;$H618)))</f>
        <v/>
      </c>
      <c r="N618" s="36"/>
      <c r="O618" s="37"/>
      <c r="P618" s="39"/>
      <c r="Q618" s="41"/>
      <c r="R618" s="35" t="str">
        <f aca="true">IF(OR($B618="",$Q618=""),"",DATEDIF($Q618,TODAY(),"Y"))</f>
        <v/>
      </c>
      <c r="S618" s="40" t="str">
        <f aca="false">IF($R618="","",INDEX(usia_label,MATCH($R618,usia_min,1)))</f>
        <v/>
      </c>
      <c r="T618" s="36"/>
      <c r="U618" s="41"/>
      <c r="V618" s="36"/>
      <c r="W618" s="36"/>
      <c r="X618" s="40" t="str">
        <f aca="false">IF($M618="","",$M618&amp;"#"&amp;COUNTIF($M$4:$M618,$M618))</f>
        <v/>
      </c>
      <c r="Y618" s="40" t="str">
        <f aca="false">IF($B618="","",IF($C618="","NIK kosong",IF(LEN($C618)&lt;&gt;16,"NIK bukan 16 digit",IF(COUNTIF($C$4:$C$2003,$C618&amp;"*")&gt;1,"NIK ganda",IF(AND($D618&lt;&gt;"",LEN($D618)&lt;&gt;16),"No. KK bukan 16 digit",IF(AND($F618="",$I618=""),"Alamat kosong",IF($N618="","Jabatan kosong",IF($O618="","No. HP kosong",IF(AND($R618&lt;&gt;"",$R618&lt;17),"Usia di bawah 17","")))))))))</f>
        <v/>
      </c>
      <c r="Z618" s="40" t="str">
        <f aca="false">IF($B618="","",IF(AND(OR(CARI!$C$5="",ISNUMBER(SEARCH(CARI!$C$5,$B618&amp;" "&amp;$C618&amp;" "&amp;$D618&amp;" "&amp;$O618&amp;" "&amp;$I618&amp;" "&amp;$F618&amp;" "&amp;$J618&amp;" "&amp;$K618&amp;" "&amp;$L618&amp;" "&amp;$V618))),OR(CARI!$C$6="",$F618=CARI!$C$6),OR(CARI!$C$7="",$G618=CARI!$C$7),OR(CARI!$C$8="",$T618=CARI!$C$8)),MAX($Z$3:Z617)+1,""))</f>
        <v/>
      </c>
      <c r="AA618" s="40" t="str">
        <f aca="false">IF($Y618="","",MAX($AA$3:AA617)+1)</f>
        <v/>
      </c>
      <c r="AB618" s="40" t="str">
        <f aca="false">IF($F618="","",$F618&amp;"#"&amp;COUNTIF($F$4:$F618,$F618))</f>
        <v/>
      </c>
      <c r="AC618" s="40" t="str">
        <f aca="false">IF($B618="","",IF(AND(OR(CETAK!$J$10="",$F618=CETAK!$J$10),OR(CETAK!$J$11="",$G618=CETAK!$J$11),OR(CETAK!$J$12="",$P618=CETAK!$J$12),OR(CETAK!$J$13="",$N618=CETAK!$J$13),OR(CETAK!$J$14="",$T618=CETAK!$J$14)),MAX($AC$3:AC617)+1,""))</f>
        <v/>
      </c>
      <c r="AD618" s="40" t="str">
        <f aca="false">IF($B618="","",IF(AND(OR(ABSENSI!$H$10="",$F618=ABSENSI!$H$10),OR(ABSENSI!$H$11="",$G618=ABSENSI!$H$11),OR(ABSENSI!$H$12="",$P618=ABSENSI!$H$12)),MAX($AD$3:AD617)+1,""))</f>
        <v/>
      </c>
      <c r="AE618" s="40" t="str">
        <f aca="false">IF($B618="","",IF(AND(OR(KARTU!$K$6="",$F618=KARTU!$K$6),OR(KARTU!$K$7="",$G618=KARTU!$K$7),OR(KARTU!$K$8="",$P618=KARTU!$K$8)),MAX($AE$3:AE617)+1,""))</f>
        <v/>
      </c>
    </row>
    <row r="619" customFormat="false" ht="15" hidden="false" customHeight="false" outlineLevel="0" collapsed="false">
      <c r="A619" s="35" t="str">
        <f aca="false">IF($B619="","",COUNTA($B$4:$B619))</f>
        <v/>
      </c>
      <c r="B619" s="36"/>
      <c r="C619" s="37"/>
      <c r="D619" s="37"/>
      <c r="E619" s="38"/>
      <c r="F619" s="36"/>
      <c r="G619" s="39"/>
      <c r="H619" s="39"/>
      <c r="I619" s="36"/>
      <c r="J619" s="36"/>
      <c r="K619" s="36"/>
      <c r="L619" s="36"/>
      <c r="M619" s="40" t="str">
        <f aca="false">IF($F619="","",$F619&amp;IF($G619="",""," - RT "&amp;$G619&amp;IF($H619="","","/"&amp;$H619)))</f>
        <v/>
      </c>
      <c r="N619" s="36"/>
      <c r="O619" s="37"/>
      <c r="P619" s="39"/>
      <c r="Q619" s="41"/>
      <c r="R619" s="35" t="str">
        <f aca="true">IF(OR($B619="",$Q619=""),"",DATEDIF($Q619,TODAY(),"Y"))</f>
        <v/>
      </c>
      <c r="S619" s="40" t="str">
        <f aca="false">IF($R619="","",INDEX(usia_label,MATCH($R619,usia_min,1)))</f>
        <v/>
      </c>
      <c r="T619" s="36"/>
      <c r="U619" s="41"/>
      <c r="V619" s="36"/>
      <c r="W619" s="36"/>
      <c r="X619" s="40" t="str">
        <f aca="false">IF($M619="","",$M619&amp;"#"&amp;COUNTIF($M$4:$M619,$M619))</f>
        <v/>
      </c>
      <c r="Y619" s="40" t="str">
        <f aca="false">IF($B619="","",IF($C619="","NIK kosong",IF(LEN($C619)&lt;&gt;16,"NIK bukan 16 digit",IF(COUNTIF($C$4:$C$2003,$C619&amp;"*")&gt;1,"NIK ganda",IF(AND($D619&lt;&gt;"",LEN($D619)&lt;&gt;16),"No. KK bukan 16 digit",IF(AND($F619="",$I619=""),"Alamat kosong",IF($N619="","Jabatan kosong",IF($O619="","No. HP kosong",IF(AND($R619&lt;&gt;"",$R619&lt;17),"Usia di bawah 17","")))))))))</f>
        <v/>
      </c>
      <c r="Z619" s="40" t="str">
        <f aca="false">IF($B619="","",IF(AND(OR(CARI!$C$5="",ISNUMBER(SEARCH(CARI!$C$5,$B619&amp;" "&amp;$C619&amp;" "&amp;$D619&amp;" "&amp;$O619&amp;" "&amp;$I619&amp;" "&amp;$F619&amp;" "&amp;$J619&amp;" "&amp;$K619&amp;" "&amp;$L619&amp;" "&amp;$V619))),OR(CARI!$C$6="",$F619=CARI!$C$6),OR(CARI!$C$7="",$G619=CARI!$C$7),OR(CARI!$C$8="",$T619=CARI!$C$8)),MAX($Z$3:Z618)+1,""))</f>
        <v/>
      </c>
      <c r="AA619" s="40" t="str">
        <f aca="false">IF($Y619="","",MAX($AA$3:AA618)+1)</f>
        <v/>
      </c>
      <c r="AB619" s="40" t="str">
        <f aca="false">IF($F619="","",$F619&amp;"#"&amp;COUNTIF($F$4:$F619,$F619))</f>
        <v/>
      </c>
      <c r="AC619" s="40" t="str">
        <f aca="false">IF($B619="","",IF(AND(OR(CETAK!$J$10="",$F619=CETAK!$J$10),OR(CETAK!$J$11="",$G619=CETAK!$J$11),OR(CETAK!$J$12="",$P619=CETAK!$J$12),OR(CETAK!$J$13="",$N619=CETAK!$J$13),OR(CETAK!$J$14="",$T619=CETAK!$J$14)),MAX($AC$3:AC618)+1,""))</f>
        <v/>
      </c>
      <c r="AD619" s="40" t="str">
        <f aca="false">IF($B619="","",IF(AND(OR(ABSENSI!$H$10="",$F619=ABSENSI!$H$10),OR(ABSENSI!$H$11="",$G619=ABSENSI!$H$11),OR(ABSENSI!$H$12="",$P619=ABSENSI!$H$12)),MAX($AD$3:AD618)+1,""))</f>
        <v/>
      </c>
      <c r="AE619" s="40" t="str">
        <f aca="false">IF($B619="","",IF(AND(OR(KARTU!$K$6="",$F619=KARTU!$K$6),OR(KARTU!$K$7="",$G619=KARTU!$K$7),OR(KARTU!$K$8="",$P619=KARTU!$K$8)),MAX($AE$3:AE618)+1,""))</f>
        <v/>
      </c>
    </row>
    <row r="620" customFormat="false" ht="15" hidden="false" customHeight="false" outlineLevel="0" collapsed="false">
      <c r="A620" s="35" t="str">
        <f aca="false">IF($B620="","",COUNTA($B$4:$B620))</f>
        <v/>
      </c>
      <c r="B620" s="36"/>
      <c r="C620" s="37"/>
      <c r="D620" s="37"/>
      <c r="E620" s="38"/>
      <c r="F620" s="36"/>
      <c r="G620" s="39"/>
      <c r="H620" s="39"/>
      <c r="I620" s="36"/>
      <c r="J620" s="36"/>
      <c r="K620" s="36"/>
      <c r="L620" s="36"/>
      <c r="M620" s="40" t="str">
        <f aca="false">IF($F620="","",$F620&amp;IF($G620="",""," - RT "&amp;$G620&amp;IF($H620="","","/"&amp;$H620)))</f>
        <v/>
      </c>
      <c r="N620" s="36"/>
      <c r="O620" s="37"/>
      <c r="P620" s="39"/>
      <c r="Q620" s="41"/>
      <c r="R620" s="35" t="str">
        <f aca="true">IF(OR($B620="",$Q620=""),"",DATEDIF($Q620,TODAY(),"Y"))</f>
        <v/>
      </c>
      <c r="S620" s="40" t="str">
        <f aca="false">IF($R620="","",INDEX(usia_label,MATCH($R620,usia_min,1)))</f>
        <v/>
      </c>
      <c r="T620" s="36"/>
      <c r="U620" s="41"/>
      <c r="V620" s="36"/>
      <c r="W620" s="36"/>
      <c r="X620" s="40" t="str">
        <f aca="false">IF($M620="","",$M620&amp;"#"&amp;COUNTIF($M$4:$M620,$M620))</f>
        <v/>
      </c>
      <c r="Y620" s="40" t="str">
        <f aca="false">IF($B620="","",IF($C620="","NIK kosong",IF(LEN($C620)&lt;&gt;16,"NIK bukan 16 digit",IF(COUNTIF($C$4:$C$2003,$C620&amp;"*")&gt;1,"NIK ganda",IF(AND($D620&lt;&gt;"",LEN($D620)&lt;&gt;16),"No. KK bukan 16 digit",IF(AND($F620="",$I620=""),"Alamat kosong",IF($N620="","Jabatan kosong",IF($O620="","No. HP kosong",IF(AND($R620&lt;&gt;"",$R620&lt;17),"Usia di bawah 17","")))))))))</f>
        <v/>
      </c>
      <c r="Z620" s="40" t="str">
        <f aca="false">IF($B620="","",IF(AND(OR(CARI!$C$5="",ISNUMBER(SEARCH(CARI!$C$5,$B620&amp;" "&amp;$C620&amp;" "&amp;$D620&amp;" "&amp;$O620&amp;" "&amp;$I620&amp;" "&amp;$F620&amp;" "&amp;$J620&amp;" "&amp;$K620&amp;" "&amp;$L620&amp;" "&amp;$V620))),OR(CARI!$C$6="",$F620=CARI!$C$6),OR(CARI!$C$7="",$G620=CARI!$C$7),OR(CARI!$C$8="",$T620=CARI!$C$8)),MAX($Z$3:Z619)+1,""))</f>
        <v/>
      </c>
      <c r="AA620" s="40" t="str">
        <f aca="false">IF($Y620="","",MAX($AA$3:AA619)+1)</f>
        <v/>
      </c>
      <c r="AB620" s="40" t="str">
        <f aca="false">IF($F620="","",$F620&amp;"#"&amp;COUNTIF($F$4:$F620,$F620))</f>
        <v/>
      </c>
      <c r="AC620" s="40" t="str">
        <f aca="false">IF($B620="","",IF(AND(OR(CETAK!$J$10="",$F620=CETAK!$J$10),OR(CETAK!$J$11="",$G620=CETAK!$J$11),OR(CETAK!$J$12="",$P620=CETAK!$J$12),OR(CETAK!$J$13="",$N620=CETAK!$J$13),OR(CETAK!$J$14="",$T620=CETAK!$J$14)),MAX($AC$3:AC619)+1,""))</f>
        <v/>
      </c>
      <c r="AD620" s="40" t="str">
        <f aca="false">IF($B620="","",IF(AND(OR(ABSENSI!$H$10="",$F620=ABSENSI!$H$10),OR(ABSENSI!$H$11="",$G620=ABSENSI!$H$11),OR(ABSENSI!$H$12="",$P620=ABSENSI!$H$12)),MAX($AD$3:AD619)+1,""))</f>
        <v/>
      </c>
      <c r="AE620" s="40" t="str">
        <f aca="false">IF($B620="","",IF(AND(OR(KARTU!$K$6="",$F620=KARTU!$K$6),OR(KARTU!$K$7="",$G620=KARTU!$K$7),OR(KARTU!$K$8="",$P620=KARTU!$K$8)),MAX($AE$3:AE619)+1,""))</f>
        <v/>
      </c>
    </row>
    <row r="621" customFormat="false" ht="15" hidden="false" customHeight="false" outlineLevel="0" collapsed="false">
      <c r="A621" s="35" t="str">
        <f aca="false">IF($B621="","",COUNTA($B$4:$B621))</f>
        <v/>
      </c>
      <c r="B621" s="36"/>
      <c r="C621" s="37"/>
      <c r="D621" s="37"/>
      <c r="E621" s="38"/>
      <c r="F621" s="36"/>
      <c r="G621" s="39"/>
      <c r="H621" s="39"/>
      <c r="I621" s="36"/>
      <c r="J621" s="36"/>
      <c r="K621" s="36"/>
      <c r="L621" s="36"/>
      <c r="M621" s="40" t="str">
        <f aca="false">IF($F621="","",$F621&amp;IF($G621="",""," - RT "&amp;$G621&amp;IF($H621="","","/"&amp;$H621)))</f>
        <v/>
      </c>
      <c r="N621" s="36"/>
      <c r="O621" s="37"/>
      <c r="P621" s="39"/>
      <c r="Q621" s="41"/>
      <c r="R621" s="35" t="str">
        <f aca="true">IF(OR($B621="",$Q621=""),"",DATEDIF($Q621,TODAY(),"Y"))</f>
        <v/>
      </c>
      <c r="S621" s="40" t="str">
        <f aca="false">IF($R621="","",INDEX(usia_label,MATCH($R621,usia_min,1)))</f>
        <v/>
      </c>
      <c r="T621" s="36"/>
      <c r="U621" s="41"/>
      <c r="V621" s="36"/>
      <c r="W621" s="36"/>
      <c r="X621" s="40" t="str">
        <f aca="false">IF($M621="","",$M621&amp;"#"&amp;COUNTIF($M$4:$M621,$M621))</f>
        <v/>
      </c>
      <c r="Y621" s="40" t="str">
        <f aca="false">IF($B621="","",IF($C621="","NIK kosong",IF(LEN($C621)&lt;&gt;16,"NIK bukan 16 digit",IF(COUNTIF($C$4:$C$2003,$C621&amp;"*")&gt;1,"NIK ganda",IF(AND($D621&lt;&gt;"",LEN($D621)&lt;&gt;16),"No. KK bukan 16 digit",IF(AND($F621="",$I621=""),"Alamat kosong",IF($N621="","Jabatan kosong",IF($O621="","No. HP kosong",IF(AND($R621&lt;&gt;"",$R621&lt;17),"Usia di bawah 17","")))))))))</f>
        <v/>
      </c>
      <c r="Z621" s="40" t="str">
        <f aca="false">IF($B621="","",IF(AND(OR(CARI!$C$5="",ISNUMBER(SEARCH(CARI!$C$5,$B621&amp;" "&amp;$C621&amp;" "&amp;$D621&amp;" "&amp;$O621&amp;" "&amp;$I621&amp;" "&amp;$F621&amp;" "&amp;$J621&amp;" "&amp;$K621&amp;" "&amp;$L621&amp;" "&amp;$V621))),OR(CARI!$C$6="",$F621=CARI!$C$6),OR(CARI!$C$7="",$G621=CARI!$C$7),OR(CARI!$C$8="",$T621=CARI!$C$8)),MAX($Z$3:Z620)+1,""))</f>
        <v/>
      </c>
      <c r="AA621" s="40" t="str">
        <f aca="false">IF($Y621="","",MAX($AA$3:AA620)+1)</f>
        <v/>
      </c>
      <c r="AB621" s="40" t="str">
        <f aca="false">IF($F621="","",$F621&amp;"#"&amp;COUNTIF($F$4:$F621,$F621))</f>
        <v/>
      </c>
      <c r="AC621" s="40" t="str">
        <f aca="false">IF($B621="","",IF(AND(OR(CETAK!$J$10="",$F621=CETAK!$J$10),OR(CETAK!$J$11="",$G621=CETAK!$J$11),OR(CETAK!$J$12="",$P621=CETAK!$J$12),OR(CETAK!$J$13="",$N621=CETAK!$J$13),OR(CETAK!$J$14="",$T621=CETAK!$J$14)),MAX($AC$3:AC620)+1,""))</f>
        <v/>
      </c>
      <c r="AD621" s="40" t="str">
        <f aca="false">IF($B621="","",IF(AND(OR(ABSENSI!$H$10="",$F621=ABSENSI!$H$10),OR(ABSENSI!$H$11="",$G621=ABSENSI!$H$11),OR(ABSENSI!$H$12="",$P621=ABSENSI!$H$12)),MAX($AD$3:AD620)+1,""))</f>
        <v/>
      </c>
      <c r="AE621" s="40" t="str">
        <f aca="false">IF($B621="","",IF(AND(OR(KARTU!$K$6="",$F621=KARTU!$K$6),OR(KARTU!$K$7="",$G621=KARTU!$K$7),OR(KARTU!$K$8="",$P621=KARTU!$K$8)),MAX($AE$3:AE620)+1,""))</f>
        <v/>
      </c>
    </row>
    <row r="622" customFormat="false" ht="15" hidden="false" customHeight="false" outlineLevel="0" collapsed="false">
      <c r="A622" s="35" t="str">
        <f aca="false">IF($B622="","",COUNTA($B$4:$B622))</f>
        <v/>
      </c>
      <c r="B622" s="36"/>
      <c r="C622" s="37"/>
      <c r="D622" s="37"/>
      <c r="E622" s="38"/>
      <c r="F622" s="36"/>
      <c r="G622" s="39"/>
      <c r="H622" s="39"/>
      <c r="I622" s="36"/>
      <c r="J622" s="36"/>
      <c r="K622" s="36"/>
      <c r="L622" s="36"/>
      <c r="M622" s="40" t="str">
        <f aca="false">IF($F622="","",$F622&amp;IF($G622="",""," - RT "&amp;$G622&amp;IF($H622="","","/"&amp;$H622)))</f>
        <v/>
      </c>
      <c r="N622" s="36"/>
      <c r="O622" s="37"/>
      <c r="P622" s="39"/>
      <c r="Q622" s="41"/>
      <c r="R622" s="35" t="str">
        <f aca="true">IF(OR($B622="",$Q622=""),"",DATEDIF($Q622,TODAY(),"Y"))</f>
        <v/>
      </c>
      <c r="S622" s="40" t="str">
        <f aca="false">IF($R622="","",INDEX(usia_label,MATCH($R622,usia_min,1)))</f>
        <v/>
      </c>
      <c r="T622" s="36"/>
      <c r="U622" s="41"/>
      <c r="V622" s="36"/>
      <c r="W622" s="36"/>
      <c r="X622" s="40" t="str">
        <f aca="false">IF($M622="","",$M622&amp;"#"&amp;COUNTIF($M$4:$M622,$M622))</f>
        <v/>
      </c>
      <c r="Y622" s="40" t="str">
        <f aca="false">IF($B622="","",IF($C622="","NIK kosong",IF(LEN($C622)&lt;&gt;16,"NIK bukan 16 digit",IF(COUNTIF($C$4:$C$2003,$C622&amp;"*")&gt;1,"NIK ganda",IF(AND($D622&lt;&gt;"",LEN($D622)&lt;&gt;16),"No. KK bukan 16 digit",IF(AND($F622="",$I622=""),"Alamat kosong",IF($N622="","Jabatan kosong",IF($O622="","No. HP kosong",IF(AND($R622&lt;&gt;"",$R622&lt;17),"Usia di bawah 17","")))))))))</f>
        <v/>
      </c>
      <c r="Z622" s="40" t="str">
        <f aca="false">IF($B622="","",IF(AND(OR(CARI!$C$5="",ISNUMBER(SEARCH(CARI!$C$5,$B622&amp;" "&amp;$C622&amp;" "&amp;$D622&amp;" "&amp;$O622&amp;" "&amp;$I622&amp;" "&amp;$F622&amp;" "&amp;$J622&amp;" "&amp;$K622&amp;" "&amp;$L622&amp;" "&amp;$V622))),OR(CARI!$C$6="",$F622=CARI!$C$6),OR(CARI!$C$7="",$G622=CARI!$C$7),OR(CARI!$C$8="",$T622=CARI!$C$8)),MAX($Z$3:Z621)+1,""))</f>
        <v/>
      </c>
      <c r="AA622" s="40" t="str">
        <f aca="false">IF($Y622="","",MAX($AA$3:AA621)+1)</f>
        <v/>
      </c>
      <c r="AB622" s="40" t="str">
        <f aca="false">IF($F622="","",$F622&amp;"#"&amp;COUNTIF($F$4:$F622,$F622))</f>
        <v/>
      </c>
      <c r="AC622" s="40" t="str">
        <f aca="false">IF($B622="","",IF(AND(OR(CETAK!$J$10="",$F622=CETAK!$J$10),OR(CETAK!$J$11="",$G622=CETAK!$J$11),OR(CETAK!$J$12="",$P622=CETAK!$J$12),OR(CETAK!$J$13="",$N622=CETAK!$J$13),OR(CETAK!$J$14="",$T622=CETAK!$J$14)),MAX($AC$3:AC621)+1,""))</f>
        <v/>
      </c>
      <c r="AD622" s="40" t="str">
        <f aca="false">IF($B622="","",IF(AND(OR(ABSENSI!$H$10="",$F622=ABSENSI!$H$10),OR(ABSENSI!$H$11="",$G622=ABSENSI!$H$11),OR(ABSENSI!$H$12="",$P622=ABSENSI!$H$12)),MAX($AD$3:AD621)+1,""))</f>
        <v/>
      </c>
      <c r="AE622" s="40" t="str">
        <f aca="false">IF($B622="","",IF(AND(OR(KARTU!$K$6="",$F622=KARTU!$K$6),OR(KARTU!$K$7="",$G622=KARTU!$K$7),OR(KARTU!$K$8="",$P622=KARTU!$K$8)),MAX($AE$3:AE621)+1,""))</f>
        <v/>
      </c>
    </row>
    <row r="623" customFormat="false" ht="15" hidden="false" customHeight="false" outlineLevel="0" collapsed="false">
      <c r="A623" s="35" t="str">
        <f aca="false">IF($B623="","",COUNTA($B$4:$B623))</f>
        <v/>
      </c>
      <c r="B623" s="36"/>
      <c r="C623" s="37"/>
      <c r="D623" s="37"/>
      <c r="E623" s="38"/>
      <c r="F623" s="36"/>
      <c r="G623" s="39"/>
      <c r="H623" s="39"/>
      <c r="I623" s="36"/>
      <c r="J623" s="36"/>
      <c r="K623" s="36"/>
      <c r="L623" s="36"/>
      <c r="M623" s="40" t="str">
        <f aca="false">IF($F623="","",$F623&amp;IF($G623="",""," - RT "&amp;$G623&amp;IF($H623="","","/"&amp;$H623)))</f>
        <v/>
      </c>
      <c r="N623" s="36"/>
      <c r="O623" s="37"/>
      <c r="P623" s="39"/>
      <c r="Q623" s="41"/>
      <c r="R623" s="35" t="str">
        <f aca="true">IF(OR($B623="",$Q623=""),"",DATEDIF($Q623,TODAY(),"Y"))</f>
        <v/>
      </c>
      <c r="S623" s="40" t="str">
        <f aca="false">IF($R623="","",INDEX(usia_label,MATCH($R623,usia_min,1)))</f>
        <v/>
      </c>
      <c r="T623" s="36"/>
      <c r="U623" s="41"/>
      <c r="V623" s="36"/>
      <c r="W623" s="36"/>
      <c r="X623" s="40" t="str">
        <f aca="false">IF($M623="","",$M623&amp;"#"&amp;COUNTIF($M$4:$M623,$M623))</f>
        <v/>
      </c>
      <c r="Y623" s="40" t="str">
        <f aca="false">IF($B623="","",IF($C623="","NIK kosong",IF(LEN($C623)&lt;&gt;16,"NIK bukan 16 digit",IF(COUNTIF($C$4:$C$2003,$C623&amp;"*")&gt;1,"NIK ganda",IF(AND($D623&lt;&gt;"",LEN($D623)&lt;&gt;16),"No. KK bukan 16 digit",IF(AND($F623="",$I623=""),"Alamat kosong",IF($N623="","Jabatan kosong",IF($O623="","No. HP kosong",IF(AND($R623&lt;&gt;"",$R623&lt;17),"Usia di bawah 17","")))))))))</f>
        <v/>
      </c>
      <c r="Z623" s="40" t="str">
        <f aca="false">IF($B623="","",IF(AND(OR(CARI!$C$5="",ISNUMBER(SEARCH(CARI!$C$5,$B623&amp;" "&amp;$C623&amp;" "&amp;$D623&amp;" "&amp;$O623&amp;" "&amp;$I623&amp;" "&amp;$F623&amp;" "&amp;$J623&amp;" "&amp;$K623&amp;" "&amp;$L623&amp;" "&amp;$V623))),OR(CARI!$C$6="",$F623=CARI!$C$6),OR(CARI!$C$7="",$G623=CARI!$C$7),OR(CARI!$C$8="",$T623=CARI!$C$8)),MAX($Z$3:Z622)+1,""))</f>
        <v/>
      </c>
      <c r="AA623" s="40" t="str">
        <f aca="false">IF($Y623="","",MAX($AA$3:AA622)+1)</f>
        <v/>
      </c>
      <c r="AB623" s="40" t="str">
        <f aca="false">IF($F623="","",$F623&amp;"#"&amp;COUNTIF($F$4:$F623,$F623))</f>
        <v/>
      </c>
      <c r="AC623" s="40" t="str">
        <f aca="false">IF($B623="","",IF(AND(OR(CETAK!$J$10="",$F623=CETAK!$J$10),OR(CETAK!$J$11="",$G623=CETAK!$J$11),OR(CETAK!$J$12="",$P623=CETAK!$J$12),OR(CETAK!$J$13="",$N623=CETAK!$J$13),OR(CETAK!$J$14="",$T623=CETAK!$J$14)),MAX($AC$3:AC622)+1,""))</f>
        <v/>
      </c>
      <c r="AD623" s="40" t="str">
        <f aca="false">IF($B623="","",IF(AND(OR(ABSENSI!$H$10="",$F623=ABSENSI!$H$10),OR(ABSENSI!$H$11="",$G623=ABSENSI!$H$11),OR(ABSENSI!$H$12="",$P623=ABSENSI!$H$12)),MAX($AD$3:AD622)+1,""))</f>
        <v/>
      </c>
      <c r="AE623" s="40" t="str">
        <f aca="false">IF($B623="","",IF(AND(OR(KARTU!$K$6="",$F623=KARTU!$K$6),OR(KARTU!$K$7="",$G623=KARTU!$K$7),OR(KARTU!$K$8="",$P623=KARTU!$K$8)),MAX($AE$3:AE622)+1,""))</f>
        <v/>
      </c>
    </row>
    <row r="624" customFormat="false" ht="15" hidden="false" customHeight="false" outlineLevel="0" collapsed="false">
      <c r="A624" s="35" t="str">
        <f aca="false">IF($B624="","",COUNTA($B$4:$B624))</f>
        <v/>
      </c>
      <c r="B624" s="36"/>
      <c r="C624" s="37"/>
      <c r="D624" s="37"/>
      <c r="E624" s="38"/>
      <c r="F624" s="36"/>
      <c r="G624" s="39"/>
      <c r="H624" s="39"/>
      <c r="I624" s="36"/>
      <c r="J624" s="36"/>
      <c r="K624" s="36"/>
      <c r="L624" s="36"/>
      <c r="M624" s="40" t="str">
        <f aca="false">IF($F624="","",$F624&amp;IF($G624="",""," - RT "&amp;$G624&amp;IF($H624="","","/"&amp;$H624)))</f>
        <v/>
      </c>
      <c r="N624" s="36"/>
      <c r="O624" s="37"/>
      <c r="P624" s="39"/>
      <c r="Q624" s="41"/>
      <c r="R624" s="35" t="str">
        <f aca="true">IF(OR($B624="",$Q624=""),"",DATEDIF($Q624,TODAY(),"Y"))</f>
        <v/>
      </c>
      <c r="S624" s="40" t="str">
        <f aca="false">IF($R624="","",INDEX(usia_label,MATCH($R624,usia_min,1)))</f>
        <v/>
      </c>
      <c r="T624" s="36"/>
      <c r="U624" s="41"/>
      <c r="V624" s="36"/>
      <c r="W624" s="36"/>
      <c r="X624" s="40" t="str">
        <f aca="false">IF($M624="","",$M624&amp;"#"&amp;COUNTIF($M$4:$M624,$M624))</f>
        <v/>
      </c>
      <c r="Y624" s="40" t="str">
        <f aca="false">IF($B624="","",IF($C624="","NIK kosong",IF(LEN($C624)&lt;&gt;16,"NIK bukan 16 digit",IF(COUNTIF($C$4:$C$2003,$C624&amp;"*")&gt;1,"NIK ganda",IF(AND($D624&lt;&gt;"",LEN($D624)&lt;&gt;16),"No. KK bukan 16 digit",IF(AND($F624="",$I624=""),"Alamat kosong",IF($N624="","Jabatan kosong",IF($O624="","No. HP kosong",IF(AND($R624&lt;&gt;"",$R624&lt;17),"Usia di bawah 17","")))))))))</f>
        <v/>
      </c>
      <c r="Z624" s="40" t="str">
        <f aca="false">IF($B624="","",IF(AND(OR(CARI!$C$5="",ISNUMBER(SEARCH(CARI!$C$5,$B624&amp;" "&amp;$C624&amp;" "&amp;$D624&amp;" "&amp;$O624&amp;" "&amp;$I624&amp;" "&amp;$F624&amp;" "&amp;$J624&amp;" "&amp;$K624&amp;" "&amp;$L624&amp;" "&amp;$V624))),OR(CARI!$C$6="",$F624=CARI!$C$6),OR(CARI!$C$7="",$G624=CARI!$C$7),OR(CARI!$C$8="",$T624=CARI!$C$8)),MAX($Z$3:Z623)+1,""))</f>
        <v/>
      </c>
      <c r="AA624" s="40" t="str">
        <f aca="false">IF($Y624="","",MAX($AA$3:AA623)+1)</f>
        <v/>
      </c>
      <c r="AB624" s="40" t="str">
        <f aca="false">IF($F624="","",$F624&amp;"#"&amp;COUNTIF($F$4:$F624,$F624))</f>
        <v/>
      </c>
      <c r="AC624" s="40" t="str">
        <f aca="false">IF($B624="","",IF(AND(OR(CETAK!$J$10="",$F624=CETAK!$J$10),OR(CETAK!$J$11="",$G624=CETAK!$J$11),OR(CETAK!$J$12="",$P624=CETAK!$J$12),OR(CETAK!$J$13="",$N624=CETAK!$J$13),OR(CETAK!$J$14="",$T624=CETAK!$J$14)),MAX($AC$3:AC623)+1,""))</f>
        <v/>
      </c>
      <c r="AD624" s="40" t="str">
        <f aca="false">IF($B624="","",IF(AND(OR(ABSENSI!$H$10="",$F624=ABSENSI!$H$10),OR(ABSENSI!$H$11="",$G624=ABSENSI!$H$11),OR(ABSENSI!$H$12="",$P624=ABSENSI!$H$12)),MAX($AD$3:AD623)+1,""))</f>
        <v/>
      </c>
      <c r="AE624" s="40" t="str">
        <f aca="false">IF($B624="","",IF(AND(OR(KARTU!$K$6="",$F624=KARTU!$K$6),OR(KARTU!$K$7="",$G624=KARTU!$K$7),OR(KARTU!$K$8="",$P624=KARTU!$K$8)),MAX($AE$3:AE623)+1,""))</f>
        <v/>
      </c>
    </row>
    <row r="625" customFormat="false" ht="15" hidden="false" customHeight="false" outlineLevel="0" collapsed="false">
      <c r="A625" s="35" t="str">
        <f aca="false">IF($B625="","",COUNTA($B$4:$B625))</f>
        <v/>
      </c>
      <c r="B625" s="36"/>
      <c r="C625" s="37"/>
      <c r="D625" s="37"/>
      <c r="E625" s="38"/>
      <c r="F625" s="36"/>
      <c r="G625" s="39"/>
      <c r="H625" s="39"/>
      <c r="I625" s="36"/>
      <c r="J625" s="36"/>
      <c r="K625" s="36"/>
      <c r="L625" s="36"/>
      <c r="M625" s="40" t="str">
        <f aca="false">IF($F625="","",$F625&amp;IF($G625="",""," - RT "&amp;$G625&amp;IF($H625="","","/"&amp;$H625)))</f>
        <v/>
      </c>
      <c r="N625" s="36"/>
      <c r="O625" s="37"/>
      <c r="P625" s="39"/>
      <c r="Q625" s="41"/>
      <c r="R625" s="35" t="str">
        <f aca="true">IF(OR($B625="",$Q625=""),"",DATEDIF($Q625,TODAY(),"Y"))</f>
        <v/>
      </c>
      <c r="S625" s="40" t="str">
        <f aca="false">IF($R625="","",INDEX(usia_label,MATCH($R625,usia_min,1)))</f>
        <v/>
      </c>
      <c r="T625" s="36"/>
      <c r="U625" s="41"/>
      <c r="V625" s="36"/>
      <c r="W625" s="36"/>
      <c r="X625" s="40" t="str">
        <f aca="false">IF($M625="","",$M625&amp;"#"&amp;COUNTIF($M$4:$M625,$M625))</f>
        <v/>
      </c>
      <c r="Y625" s="40" t="str">
        <f aca="false">IF($B625="","",IF($C625="","NIK kosong",IF(LEN($C625)&lt;&gt;16,"NIK bukan 16 digit",IF(COUNTIF($C$4:$C$2003,$C625&amp;"*")&gt;1,"NIK ganda",IF(AND($D625&lt;&gt;"",LEN($D625)&lt;&gt;16),"No. KK bukan 16 digit",IF(AND($F625="",$I625=""),"Alamat kosong",IF($N625="","Jabatan kosong",IF($O625="","No. HP kosong",IF(AND($R625&lt;&gt;"",$R625&lt;17),"Usia di bawah 17","")))))))))</f>
        <v/>
      </c>
      <c r="Z625" s="40" t="str">
        <f aca="false">IF($B625="","",IF(AND(OR(CARI!$C$5="",ISNUMBER(SEARCH(CARI!$C$5,$B625&amp;" "&amp;$C625&amp;" "&amp;$D625&amp;" "&amp;$O625&amp;" "&amp;$I625&amp;" "&amp;$F625&amp;" "&amp;$J625&amp;" "&amp;$K625&amp;" "&amp;$L625&amp;" "&amp;$V625))),OR(CARI!$C$6="",$F625=CARI!$C$6),OR(CARI!$C$7="",$G625=CARI!$C$7),OR(CARI!$C$8="",$T625=CARI!$C$8)),MAX($Z$3:Z624)+1,""))</f>
        <v/>
      </c>
      <c r="AA625" s="40" t="str">
        <f aca="false">IF($Y625="","",MAX($AA$3:AA624)+1)</f>
        <v/>
      </c>
      <c r="AB625" s="40" t="str">
        <f aca="false">IF($F625="","",$F625&amp;"#"&amp;COUNTIF($F$4:$F625,$F625))</f>
        <v/>
      </c>
      <c r="AC625" s="40" t="str">
        <f aca="false">IF($B625="","",IF(AND(OR(CETAK!$J$10="",$F625=CETAK!$J$10),OR(CETAK!$J$11="",$G625=CETAK!$J$11),OR(CETAK!$J$12="",$P625=CETAK!$J$12),OR(CETAK!$J$13="",$N625=CETAK!$J$13),OR(CETAK!$J$14="",$T625=CETAK!$J$14)),MAX($AC$3:AC624)+1,""))</f>
        <v/>
      </c>
      <c r="AD625" s="40" t="str">
        <f aca="false">IF($B625="","",IF(AND(OR(ABSENSI!$H$10="",$F625=ABSENSI!$H$10),OR(ABSENSI!$H$11="",$G625=ABSENSI!$H$11),OR(ABSENSI!$H$12="",$P625=ABSENSI!$H$12)),MAX($AD$3:AD624)+1,""))</f>
        <v/>
      </c>
      <c r="AE625" s="40" t="str">
        <f aca="false">IF($B625="","",IF(AND(OR(KARTU!$K$6="",$F625=KARTU!$K$6),OR(KARTU!$K$7="",$G625=KARTU!$K$7),OR(KARTU!$K$8="",$P625=KARTU!$K$8)),MAX($AE$3:AE624)+1,""))</f>
        <v/>
      </c>
    </row>
    <row r="626" customFormat="false" ht="15" hidden="false" customHeight="false" outlineLevel="0" collapsed="false">
      <c r="A626" s="35" t="str">
        <f aca="false">IF($B626="","",COUNTA($B$4:$B626))</f>
        <v/>
      </c>
      <c r="B626" s="36"/>
      <c r="C626" s="37"/>
      <c r="D626" s="37"/>
      <c r="E626" s="38"/>
      <c r="F626" s="36"/>
      <c r="G626" s="39"/>
      <c r="H626" s="39"/>
      <c r="I626" s="36"/>
      <c r="J626" s="36"/>
      <c r="K626" s="36"/>
      <c r="L626" s="36"/>
      <c r="M626" s="40" t="str">
        <f aca="false">IF($F626="","",$F626&amp;IF($G626="",""," - RT "&amp;$G626&amp;IF($H626="","","/"&amp;$H626)))</f>
        <v/>
      </c>
      <c r="N626" s="36"/>
      <c r="O626" s="37"/>
      <c r="P626" s="39"/>
      <c r="Q626" s="41"/>
      <c r="R626" s="35" t="str">
        <f aca="true">IF(OR($B626="",$Q626=""),"",DATEDIF($Q626,TODAY(),"Y"))</f>
        <v/>
      </c>
      <c r="S626" s="40" t="str">
        <f aca="false">IF($R626="","",INDEX(usia_label,MATCH($R626,usia_min,1)))</f>
        <v/>
      </c>
      <c r="T626" s="36"/>
      <c r="U626" s="41"/>
      <c r="V626" s="36"/>
      <c r="W626" s="36"/>
      <c r="X626" s="40" t="str">
        <f aca="false">IF($M626="","",$M626&amp;"#"&amp;COUNTIF($M$4:$M626,$M626))</f>
        <v/>
      </c>
      <c r="Y626" s="40" t="str">
        <f aca="false">IF($B626="","",IF($C626="","NIK kosong",IF(LEN($C626)&lt;&gt;16,"NIK bukan 16 digit",IF(COUNTIF($C$4:$C$2003,$C626&amp;"*")&gt;1,"NIK ganda",IF(AND($D626&lt;&gt;"",LEN($D626)&lt;&gt;16),"No. KK bukan 16 digit",IF(AND($F626="",$I626=""),"Alamat kosong",IF($N626="","Jabatan kosong",IF($O626="","No. HP kosong",IF(AND($R626&lt;&gt;"",$R626&lt;17),"Usia di bawah 17","")))))))))</f>
        <v/>
      </c>
      <c r="Z626" s="40" t="str">
        <f aca="false">IF($B626="","",IF(AND(OR(CARI!$C$5="",ISNUMBER(SEARCH(CARI!$C$5,$B626&amp;" "&amp;$C626&amp;" "&amp;$D626&amp;" "&amp;$O626&amp;" "&amp;$I626&amp;" "&amp;$F626&amp;" "&amp;$J626&amp;" "&amp;$K626&amp;" "&amp;$L626&amp;" "&amp;$V626))),OR(CARI!$C$6="",$F626=CARI!$C$6),OR(CARI!$C$7="",$G626=CARI!$C$7),OR(CARI!$C$8="",$T626=CARI!$C$8)),MAX($Z$3:Z625)+1,""))</f>
        <v/>
      </c>
      <c r="AA626" s="40" t="str">
        <f aca="false">IF($Y626="","",MAX($AA$3:AA625)+1)</f>
        <v/>
      </c>
      <c r="AB626" s="40" t="str">
        <f aca="false">IF($F626="","",$F626&amp;"#"&amp;COUNTIF($F$4:$F626,$F626))</f>
        <v/>
      </c>
      <c r="AC626" s="40" t="str">
        <f aca="false">IF($B626="","",IF(AND(OR(CETAK!$J$10="",$F626=CETAK!$J$10),OR(CETAK!$J$11="",$G626=CETAK!$J$11),OR(CETAK!$J$12="",$P626=CETAK!$J$12),OR(CETAK!$J$13="",$N626=CETAK!$J$13),OR(CETAK!$J$14="",$T626=CETAK!$J$14)),MAX($AC$3:AC625)+1,""))</f>
        <v/>
      </c>
      <c r="AD626" s="40" t="str">
        <f aca="false">IF($B626="","",IF(AND(OR(ABSENSI!$H$10="",$F626=ABSENSI!$H$10),OR(ABSENSI!$H$11="",$G626=ABSENSI!$H$11),OR(ABSENSI!$H$12="",$P626=ABSENSI!$H$12)),MAX($AD$3:AD625)+1,""))</f>
        <v/>
      </c>
      <c r="AE626" s="40" t="str">
        <f aca="false">IF($B626="","",IF(AND(OR(KARTU!$K$6="",$F626=KARTU!$K$6),OR(KARTU!$K$7="",$G626=KARTU!$K$7),OR(KARTU!$K$8="",$P626=KARTU!$K$8)),MAX($AE$3:AE625)+1,""))</f>
        <v/>
      </c>
    </row>
    <row r="627" customFormat="false" ht="15" hidden="false" customHeight="false" outlineLevel="0" collapsed="false">
      <c r="A627" s="35" t="str">
        <f aca="false">IF($B627="","",COUNTA($B$4:$B627))</f>
        <v/>
      </c>
      <c r="B627" s="36"/>
      <c r="C627" s="37"/>
      <c r="D627" s="37"/>
      <c r="E627" s="38"/>
      <c r="F627" s="36"/>
      <c r="G627" s="39"/>
      <c r="H627" s="39"/>
      <c r="I627" s="36"/>
      <c r="J627" s="36"/>
      <c r="K627" s="36"/>
      <c r="L627" s="36"/>
      <c r="M627" s="40" t="str">
        <f aca="false">IF($F627="","",$F627&amp;IF($G627="",""," - RT "&amp;$G627&amp;IF($H627="","","/"&amp;$H627)))</f>
        <v/>
      </c>
      <c r="N627" s="36"/>
      <c r="O627" s="37"/>
      <c r="P627" s="39"/>
      <c r="Q627" s="41"/>
      <c r="R627" s="35" t="str">
        <f aca="true">IF(OR($B627="",$Q627=""),"",DATEDIF($Q627,TODAY(),"Y"))</f>
        <v/>
      </c>
      <c r="S627" s="40" t="str">
        <f aca="false">IF($R627="","",INDEX(usia_label,MATCH($R627,usia_min,1)))</f>
        <v/>
      </c>
      <c r="T627" s="36"/>
      <c r="U627" s="41"/>
      <c r="V627" s="36"/>
      <c r="W627" s="36"/>
      <c r="X627" s="40" t="str">
        <f aca="false">IF($M627="","",$M627&amp;"#"&amp;COUNTIF($M$4:$M627,$M627))</f>
        <v/>
      </c>
      <c r="Y627" s="40" t="str">
        <f aca="false">IF($B627="","",IF($C627="","NIK kosong",IF(LEN($C627)&lt;&gt;16,"NIK bukan 16 digit",IF(COUNTIF($C$4:$C$2003,$C627&amp;"*")&gt;1,"NIK ganda",IF(AND($D627&lt;&gt;"",LEN($D627)&lt;&gt;16),"No. KK bukan 16 digit",IF(AND($F627="",$I627=""),"Alamat kosong",IF($N627="","Jabatan kosong",IF($O627="","No. HP kosong",IF(AND($R627&lt;&gt;"",$R627&lt;17),"Usia di bawah 17","")))))))))</f>
        <v/>
      </c>
      <c r="Z627" s="40" t="str">
        <f aca="false">IF($B627="","",IF(AND(OR(CARI!$C$5="",ISNUMBER(SEARCH(CARI!$C$5,$B627&amp;" "&amp;$C627&amp;" "&amp;$D627&amp;" "&amp;$O627&amp;" "&amp;$I627&amp;" "&amp;$F627&amp;" "&amp;$J627&amp;" "&amp;$K627&amp;" "&amp;$L627&amp;" "&amp;$V627))),OR(CARI!$C$6="",$F627=CARI!$C$6),OR(CARI!$C$7="",$G627=CARI!$C$7),OR(CARI!$C$8="",$T627=CARI!$C$8)),MAX($Z$3:Z626)+1,""))</f>
        <v/>
      </c>
      <c r="AA627" s="40" t="str">
        <f aca="false">IF($Y627="","",MAX($AA$3:AA626)+1)</f>
        <v/>
      </c>
      <c r="AB627" s="40" t="str">
        <f aca="false">IF($F627="","",$F627&amp;"#"&amp;COUNTIF($F$4:$F627,$F627))</f>
        <v/>
      </c>
      <c r="AC627" s="40" t="str">
        <f aca="false">IF($B627="","",IF(AND(OR(CETAK!$J$10="",$F627=CETAK!$J$10),OR(CETAK!$J$11="",$G627=CETAK!$J$11),OR(CETAK!$J$12="",$P627=CETAK!$J$12),OR(CETAK!$J$13="",$N627=CETAK!$J$13),OR(CETAK!$J$14="",$T627=CETAK!$J$14)),MAX($AC$3:AC626)+1,""))</f>
        <v/>
      </c>
      <c r="AD627" s="40" t="str">
        <f aca="false">IF($B627="","",IF(AND(OR(ABSENSI!$H$10="",$F627=ABSENSI!$H$10),OR(ABSENSI!$H$11="",$G627=ABSENSI!$H$11),OR(ABSENSI!$H$12="",$P627=ABSENSI!$H$12)),MAX($AD$3:AD626)+1,""))</f>
        <v/>
      </c>
      <c r="AE627" s="40" t="str">
        <f aca="false">IF($B627="","",IF(AND(OR(KARTU!$K$6="",$F627=KARTU!$K$6),OR(KARTU!$K$7="",$G627=KARTU!$K$7),OR(KARTU!$K$8="",$P627=KARTU!$K$8)),MAX($AE$3:AE626)+1,""))</f>
        <v/>
      </c>
    </row>
    <row r="628" customFormat="false" ht="15" hidden="false" customHeight="false" outlineLevel="0" collapsed="false">
      <c r="A628" s="35" t="str">
        <f aca="false">IF($B628="","",COUNTA($B$4:$B628))</f>
        <v/>
      </c>
      <c r="B628" s="36"/>
      <c r="C628" s="37"/>
      <c r="D628" s="37"/>
      <c r="E628" s="38"/>
      <c r="F628" s="36"/>
      <c r="G628" s="39"/>
      <c r="H628" s="39"/>
      <c r="I628" s="36"/>
      <c r="J628" s="36"/>
      <c r="K628" s="36"/>
      <c r="L628" s="36"/>
      <c r="M628" s="40" t="str">
        <f aca="false">IF($F628="","",$F628&amp;IF($G628="",""," - RT "&amp;$G628&amp;IF($H628="","","/"&amp;$H628)))</f>
        <v/>
      </c>
      <c r="N628" s="36"/>
      <c r="O628" s="37"/>
      <c r="P628" s="39"/>
      <c r="Q628" s="41"/>
      <c r="R628" s="35" t="str">
        <f aca="true">IF(OR($B628="",$Q628=""),"",DATEDIF($Q628,TODAY(),"Y"))</f>
        <v/>
      </c>
      <c r="S628" s="40" t="str">
        <f aca="false">IF($R628="","",INDEX(usia_label,MATCH($R628,usia_min,1)))</f>
        <v/>
      </c>
      <c r="T628" s="36"/>
      <c r="U628" s="41"/>
      <c r="V628" s="36"/>
      <c r="W628" s="36"/>
      <c r="X628" s="40" t="str">
        <f aca="false">IF($M628="","",$M628&amp;"#"&amp;COUNTIF($M$4:$M628,$M628))</f>
        <v/>
      </c>
      <c r="Y628" s="40" t="str">
        <f aca="false">IF($B628="","",IF($C628="","NIK kosong",IF(LEN($C628)&lt;&gt;16,"NIK bukan 16 digit",IF(COUNTIF($C$4:$C$2003,$C628&amp;"*")&gt;1,"NIK ganda",IF(AND($D628&lt;&gt;"",LEN($D628)&lt;&gt;16),"No. KK bukan 16 digit",IF(AND($F628="",$I628=""),"Alamat kosong",IF($N628="","Jabatan kosong",IF($O628="","No. HP kosong",IF(AND($R628&lt;&gt;"",$R628&lt;17),"Usia di bawah 17","")))))))))</f>
        <v/>
      </c>
      <c r="Z628" s="40" t="str">
        <f aca="false">IF($B628="","",IF(AND(OR(CARI!$C$5="",ISNUMBER(SEARCH(CARI!$C$5,$B628&amp;" "&amp;$C628&amp;" "&amp;$D628&amp;" "&amp;$O628&amp;" "&amp;$I628&amp;" "&amp;$F628&amp;" "&amp;$J628&amp;" "&amp;$K628&amp;" "&amp;$L628&amp;" "&amp;$V628))),OR(CARI!$C$6="",$F628=CARI!$C$6),OR(CARI!$C$7="",$G628=CARI!$C$7),OR(CARI!$C$8="",$T628=CARI!$C$8)),MAX($Z$3:Z627)+1,""))</f>
        <v/>
      </c>
      <c r="AA628" s="40" t="str">
        <f aca="false">IF($Y628="","",MAX($AA$3:AA627)+1)</f>
        <v/>
      </c>
      <c r="AB628" s="40" t="str">
        <f aca="false">IF($F628="","",$F628&amp;"#"&amp;COUNTIF($F$4:$F628,$F628))</f>
        <v/>
      </c>
      <c r="AC628" s="40" t="str">
        <f aca="false">IF($B628="","",IF(AND(OR(CETAK!$J$10="",$F628=CETAK!$J$10),OR(CETAK!$J$11="",$G628=CETAK!$J$11),OR(CETAK!$J$12="",$P628=CETAK!$J$12),OR(CETAK!$J$13="",$N628=CETAK!$J$13),OR(CETAK!$J$14="",$T628=CETAK!$J$14)),MAX($AC$3:AC627)+1,""))</f>
        <v/>
      </c>
      <c r="AD628" s="40" t="str">
        <f aca="false">IF($B628="","",IF(AND(OR(ABSENSI!$H$10="",$F628=ABSENSI!$H$10),OR(ABSENSI!$H$11="",$G628=ABSENSI!$H$11),OR(ABSENSI!$H$12="",$P628=ABSENSI!$H$12)),MAX($AD$3:AD627)+1,""))</f>
        <v/>
      </c>
      <c r="AE628" s="40" t="str">
        <f aca="false">IF($B628="","",IF(AND(OR(KARTU!$K$6="",$F628=KARTU!$K$6),OR(KARTU!$K$7="",$G628=KARTU!$K$7),OR(KARTU!$K$8="",$P628=KARTU!$K$8)),MAX($AE$3:AE627)+1,""))</f>
        <v/>
      </c>
    </row>
    <row r="629" customFormat="false" ht="15" hidden="false" customHeight="false" outlineLevel="0" collapsed="false">
      <c r="A629" s="35" t="str">
        <f aca="false">IF($B629="","",COUNTA($B$4:$B629))</f>
        <v/>
      </c>
      <c r="B629" s="36"/>
      <c r="C629" s="37"/>
      <c r="D629" s="37"/>
      <c r="E629" s="38"/>
      <c r="F629" s="36"/>
      <c r="G629" s="39"/>
      <c r="H629" s="39"/>
      <c r="I629" s="36"/>
      <c r="J629" s="36"/>
      <c r="K629" s="36"/>
      <c r="L629" s="36"/>
      <c r="M629" s="40" t="str">
        <f aca="false">IF($F629="","",$F629&amp;IF($G629="",""," - RT "&amp;$G629&amp;IF($H629="","","/"&amp;$H629)))</f>
        <v/>
      </c>
      <c r="N629" s="36"/>
      <c r="O629" s="37"/>
      <c r="P629" s="39"/>
      <c r="Q629" s="41"/>
      <c r="R629" s="35" t="str">
        <f aca="true">IF(OR($B629="",$Q629=""),"",DATEDIF($Q629,TODAY(),"Y"))</f>
        <v/>
      </c>
      <c r="S629" s="40" t="str">
        <f aca="false">IF($R629="","",INDEX(usia_label,MATCH($R629,usia_min,1)))</f>
        <v/>
      </c>
      <c r="T629" s="36"/>
      <c r="U629" s="41"/>
      <c r="V629" s="36"/>
      <c r="W629" s="36"/>
      <c r="X629" s="40" t="str">
        <f aca="false">IF($M629="","",$M629&amp;"#"&amp;COUNTIF($M$4:$M629,$M629))</f>
        <v/>
      </c>
      <c r="Y629" s="40" t="str">
        <f aca="false">IF($B629="","",IF($C629="","NIK kosong",IF(LEN($C629)&lt;&gt;16,"NIK bukan 16 digit",IF(COUNTIF($C$4:$C$2003,$C629&amp;"*")&gt;1,"NIK ganda",IF(AND($D629&lt;&gt;"",LEN($D629)&lt;&gt;16),"No. KK bukan 16 digit",IF(AND($F629="",$I629=""),"Alamat kosong",IF($N629="","Jabatan kosong",IF($O629="","No. HP kosong",IF(AND($R629&lt;&gt;"",$R629&lt;17),"Usia di bawah 17","")))))))))</f>
        <v/>
      </c>
      <c r="Z629" s="40" t="str">
        <f aca="false">IF($B629="","",IF(AND(OR(CARI!$C$5="",ISNUMBER(SEARCH(CARI!$C$5,$B629&amp;" "&amp;$C629&amp;" "&amp;$D629&amp;" "&amp;$O629&amp;" "&amp;$I629&amp;" "&amp;$F629&amp;" "&amp;$J629&amp;" "&amp;$K629&amp;" "&amp;$L629&amp;" "&amp;$V629))),OR(CARI!$C$6="",$F629=CARI!$C$6),OR(CARI!$C$7="",$G629=CARI!$C$7),OR(CARI!$C$8="",$T629=CARI!$C$8)),MAX($Z$3:Z628)+1,""))</f>
        <v/>
      </c>
      <c r="AA629" s="40" t="str">
        <f aca="false">IF($Y629="","",MAX($AA$3:AA628)+1)</f>
        <v/>
      </c>
      <c r="AB629" s="40" t="str">
        <f aca="false">IF($F629="","",$F629&amp;"#"&amp;COUNTIF($F$4:$F629,$F629))</f>
        <v/>
      </c>
      <c r="AC629" s="40" t="str">
        <f aca="false">IF($B629="","",IF(AND(OR(CETAK!$J$10="",$F629=CETAK!$J$10),OR(CETAK!$J$11="",$G629=CETAK!$J$11),OR(CETAK!$J$12="",$P629=CETAK!$J$12),OR(CETAK!$J$13="",$N629=CETAK!$J$13),OR(CETAK!$J$14="",$T629=CETAK!$J$14)),MAX($AC$3:AC628)+1,""))</f>
        <v/>
      </c>
      <c r="AD629" s="40" t="str">
        <f aca="false">IF($B629="","",IF(AND(OR(ABSENSI!$H$10="",$F629=ABSENSI!$H$10),OR(ABSENSI!$H$11="",$G629=ABSENSI!$H$11),OR(ABSENSI!$H$12="",$P629=ABSENSI!$H$12)),MAX($AD$3:AD628)+1,""))</f>
        <v/>
      </c>
      <c r="AE629" s="40" t="str">
        <f aca="false">IF($B629="","",IF(AND(OR(KARTU!$K$6="",$F629=KARTU!$K$6),OR(KARTU!$K$7="",$G629=KARTU!$K$7),OR(KARTU!$K$8="",$P629=KARTU!$K$8)),MAX($AE$3:AE628)+1,""))</f>
        <v/>
      </c>
    </row>
    <row r="630" customFormat="false" ht="15" hidden="false" customHeight="false" outlineLevel="0" collapsed="false">
      <c r="A630" s="35" t="str">
        <f aca="false">IF($B630="","",COUNTA($B$4:$B630))</f>
        <v/>
      </c>
      <c r="B630" s="36"/>
      <c r="C630" s="37"/>
      <c r="D630" s="37"/>
      <c r="E630" s="38"/>
      <c r="F630" s="36"/>
      <c r="G630" s="39"/>
      <c r="H630" s="39"/>
      <c r="I630" s="36"/>
      <c r="J630" s="36"/>
      <c r="K630" s="36"/>
      <c r="L630" s="36"/>
      <c r="M630" s="40" t="str">
        <f aca="false">IF($F630="","",$F630&amp;IF($G630="",""," - RT "&amp;$G630&amp;IF($H630="","","/"&amp;$H630)))</f>
        <v/>
      </c>
      <c r="N630" s="36"/>
      <c r="O630" s="37"/>
      <c r="P630" s="39"/>
      <c r="Q630" s="41"/>
      <c r="R630" s="35" t="str">
        <f aca="true">IF(OR($B630="",$Q630=""),"",DATEDIF($Q630,TODAY(),"Y"))</f>
        <v/>
      </c>
      <c r="S630" s="40" t="str">
        <f aca="false">IF($R630="","",INDEX(usia_label,MATCH($R630,usia_min,1)))</f>
        <v/>
      </c>
      <c r="T630" s="36"/>
      <c r="U630" s="41"/>
      <c r="V630" s="36"/>
      <c r="W630" s="36"/>
      <c r="X630" s="40" t="str">
        <f aca="false">IF($M630="","",$M630&amp;"#"&amp;COUNTIF($M$4:$M630,$M630))</f>
        <v/>
      </c>
      <c r="Y630" s="40" t="str">
        <f aca="false">IF($B630="","",IF($C630="","NIK kosong",IF(LEN($C630)&lt;&gt;16,"NIK bukan 16 digit",IF(COUNTIF($C$4:$C$2003,$C630&amp;"*")&gt;1,"NIK ganda",IF(AND($D630&lt;&gt;"",LEN($D630)&lt;&gt;16),"No. KK bukan 16 digit",IF(AND($F630="",$I630=""),"Alamat kosong",IF($N630="","Jabatan kosong",IF($O630="","No. HP kosong",IF(AND($R630&lt;&gt;"",$R630&lt;17),"Usia di bawah 17","")))))))))</f>
        <v/>
      </c>
      <c r="Z630" s="40" t="str">
        <f aca="false">IF($B630="","",IF(AND(OR(CARI!$C$5="",ISNUMBER(SEARCH(CARI!$C$5,$B630&amp;" "&amp;$C630&amp;" "&amp;$D630&amp;" "&amp;$O630&amp;" "&amp;$I630&amp;" "&amp;$F630&amp;" "&amp;$J630&amp;" "&amp;$K630&amp;" "&amp;$L630&amp;" "&amp;$V630))),OR(CARI!$C$6="",$F630=CARI!$C$6),OR(CARI!$C$7="",$G630=CARI!$C$7),OR(CARI!$C$8="",$T630=CARI!$C$8)),MAX($Z$3:Z629)+1,""))</f>
        <v/>
      </c>
      <c r="AA630" s="40" t="str">
        <f aca="false">IF($Y630="","",MAX($AA$3:AA629)+1)</f>
        <v/>
      </c>
      <c r="AB630" s="40" t="str">
        <f aca="false">IF($F630="","",$F630&amp;"#"&amp;COUNTIF($F$4:$F630,$F630))</f>
        <v/>
      </c>
      <c r="AC630" s="40" t="str">
        <f aca="false">IF($B630="","",IF(AND(OR(CETAK!$J$10="",$F630=CETAK!$J$10),OR(CETAK!$J$11="",$G630=CETAK!$J$11),OR(CETAK!$J$12="",$P630=CETAK!$J$12),OR(CETAK!$J$13="",$N630=CETAK!$J$13),OR(CETAK!$J$14="",$T630=CETAK!$J$14)),MAX($AC$3:AC629)+1,""))</f>
        <v/>
      </c>
      <c r="AD630" s="40" t="str">
        <f aca="false">IF($B630="","",IF(AND(OR(ABSENSI!$H$10="",$F630=ABSENSI!$H$10),OR(ABSENSI!$H$11="",$G630=ABSENSI!$H$11),OR(ABSENSI!$H$12="",$P630=ABSENSI!$H$12)),MAX($AD$3:AD629)+1,""))</f>
        <v/>
      </c>
      <c r="AE630" s="40" t="str">
        <f aca="false">IF($B630="","",IF(AND(OR(KARTU!$K$6="",$F630=KARTU!$K$6),OR(KARTU!$K$7="",$G630=KARTU!$K$7),OR(KARTU!$K$8="",$P630=KARTU!$K$8)),MAX($AE$3:AE629)+1,""))</f>
        <v/>
      </c>
    </row>
    <row r="631" customFormat="false" ht="15" hidden="false" customHeight="false" outlineLevel="0" collapsed="false">
      <c r="A631" s="35" t="str">
        <f aca="false">IF($B631="","",COUNTA($B$4:$B631))</f>
        <v/>
      </c>
      <c r="B631" s="36"/>
      <c r="C631" s="37"/>
      <c r="D631" s="37"/>
      <c r="E631" s="38"/>
      <c r="F631" s="36"/>
      <c r="G631" s="39"/>
      <c r="H631" s="39"/>
      <c r="I631" s="36"/>
      <c r="J631" s="36"/>
      <c r="K631" s="36"/>
      <c r="L631" s="36"/>
      <c r="M631" s="40" t="str">
        <f aca="false">IF($F631="","",$F631&amp;IF($G631="",""," - RT "&amp;$G631&amp;IF($H631="","","/"&amp;$H631)))</f>
        <v/>
      </c>
      <c r="N631" s="36"/>
      <c r="O631" s="37"/>
      <c r="P631" s="39"/>
      <c r="Q631" s="41"/>
      <c r="R631" s="35" t="str">
        <f aca="true">IF(OR($B631="",$Q631=""),"",DATEDIF($Q631,TODAY(),"Y"))</f>
        <v/>
      </c>
      <c r="S631" s="40" t="str">
        <f aca="false">IF($R631="","",INDEX(usia_label,MATCH($R631,usia_min,1)))</f>
        <v/>
      </c>
      <c r="T631" s="36"/>
      <c r="U631" s="41"/>
      <c r="V631" s="36"/>
      <c r="W631" s="36"/>
      <c r="X631" s="40" t="str">
        <f aca="false">IF($M631="","",$M631&amp;"#"&amp;COUNTIF($M$4:$M631,$M631))</f>
        <v/>
      </c>
      <c r="Y631" s="40" t="str">
        <f aca="false">IF($B631="","",IF($C631="","NIK kosong",IF(LEN($C631)&lt;&gt;16,"NIK bukan 16 digit",IF(COUNTIF($C$4:$C$2003,$C631&amp;"*")&gt;1,"NIK ganda",IF(AND($D631&lt;&gt;"",LEN($D631)&lt;&gt;16),"No. KK bukan 16 digit",IF(AND($F631="",$I631=""),"Alamat kosong",IF($N631="","Jabatan kosong",IF($O631="","No. HP kosong",IF(AND($R631&lt;&gt;"",$R631&lt;17),"Usia di bawah 17","")))))))))</f>
        <v/>
      </c>
      <c r="Z631" s="40" t="str">
        <f aca="false">IF($B631="","",IF(AND(OR(CARI!$C$5="",ISNUMBER(SEARCH(CARI!$C$5,$B631&amp;" "&amp;$C631&amp;" "&amp;$D631&amp;" "&amp;$O631&amp;" "&amp;$I631&amp;" "&amp;$F631&amp;" "&amp;$J631&amp;" "&amp;$K631&amp;" "&amp;$L631&amp;" "&amp;$V631))),OR(CARI!$C$6="",$F631=CARI!$C$6),OR(CARI!$C$7="",$G631=CARI!$C$7),OR(CARI!$C$8="",$T631=CARI!$C$8)),MAX($Z$3:Z630)+1,""))</f>
        <v/>
      </c>
      <c r="AA631" s="40" t="str">
        <f aca="false">IF($Y631="","",MAX($AA$3:AA630)+1)</f>
        <v/>
      </c>
      <c r="AB631" s="40" t="str">
        <f aca="false">IF($F631="","",$F631&amp;"#"&amp;COUNTIF($F$4:$F631,$F631))</f>
        <v/>
      </c>
      <c r="AC631" s="40" t="str">
        <f aca="false">IF($B631="","",IF(AND(OR(CETAK!$J$10="",$F631=CETAK!$J$10),OR(CETAK!$J$11="",$G631=CETAK!$J$11),OR(CETAK!$J$12="",$P631=CETAK!$J$12),OR(CETAK!$J$13="",$N631=CETAK!$J$13),OR(CETAK!$J$14="",$T631=CETAK!$J$14)),MAX($AC$3:AC630)+1,""))</f>
        <v/>
      </c>
      <c r="AD631" s="40" t="str">
        <f aca="false">IF($B631="","",IF(AND(OR(ABSENSI!$H$10="",$F631=ABSENSI!$H$10),OR(ABSENSI!$H$11="",$G631=ABSENSI!$H$11),OR(ABSENSI!$H$12="",$P631=ABSENSI!$H$12)),MAX($AD$3:AD630)+1,""))</f>
        <v/>
      </c>
      <c r="AE631" s="40" t="str">
        <f aca="false">IF($B631="","",IF(AND(OR(KARTU!$K$6="",$F631=KARTU!$K$6),OR(KARTU!$K$7="",$G631=KARTU!$K$7),OR(KARTU!$K$8="",$P631=KARTU!$K$8)),MAX($AE$3:AE630)+1,""))</f>
        <v/>
      </c>
    </row>
    <row r="632" customFormat="false" ht="15" hidden="false" customHeight="false" outlineLevel="0" collapsed="false">
      <c r="A632" s="35" t="str">
        <f aca="false">IF($B632="","",COUNTA($B$4:$B632))</f>
        <v/>
      </c>
      <c r="B632" s="36"/>
      <c r="C632" s="37"/>
      <c r="D632" s="37"/>
      <c r="E632" s="38"/>
      <c r="F632" s="36"/>
      <c r="G632" s="39"/>
      <c r="H632" s="39"/>
      <c r="I632" s="36"/>
      <c r="J632" s="36"/>
      <c r="K632" s="36"/>
      <c r="L632" s="36"/>
      <c r="M632" s="40" t="str">
        <f aca="false">IF($F632="","",$F632&amp;IF($G632="",""," - RT "&amp;$G632&amp;IF($H632="","","/"&amp;$H632)))</f>
        <v/>
      </c>
      <c r="N632" s="36"/>
      <c r="O632" s="37"/>
      <c r="P632" s="39"/>
      <c r="Q632" s="41"/>
      <c r="R632" s="35" t="str">
        <f aca="true">IF(OR($B632="",$Q632=""),"",DATEDIF($Q632,TODAY(),"Y"))</f>
        <v/>
      </c>
      <c r="S632" s="40" t="str">
        <f aca="false">IF($R632="","",INDEX(usia_label,MATCH($R632,usia_min,1)))</f>
        <v/>
      </c>
      <c r="T632" s="36"/>
      <c r="U632" s="41"/>
      <c r="V632" s="36"/>
      <c r="W632" s="36"/>
      <c r="X632" s="40" t="str">
        <f aca="false">IF($M632="","",$M632&amp;"#"&amp;COUNTIF($M$4:$M632,$M632))</f>
        <v/>
      </c>
      <c r="Y632" s="40" t="str">
        <f aca="false">IF($B632="","",IF($C632="","NIK kosong",IF(LEN($C632)&lt;&gt;16,"NIK bukan 16 digit",IF(COUNTIF($C$4:$C$2003,$C632&amp;"*")&gt;1,"NIK ganda",IF(AND($D632&lt;&gt;"",LEN($D632)&lt;&gt;16),"No. KK bukan 16 digit",IF(AND($F632="",$I632=""),"Alamat kosong",IF($N632="","Jabatan kosong",IF($O632="","No. HP kosong",IF(AND($R632&lt;&gt;"",$R632&lt;17),"Usia di bawah 17","")))))))))</f>
        <v/>
      </c>
      <c r="Z632" s="40" t="str">
        <f aca="false">IF($B632="","",IF(AND(OR(CARI!$C$5="",ISNUMBER(SEARCH(CARI!$C$5,$B632&amp;" "&amp;$C632&amp;" "&amp;$D632&amp;" "&amp;$O632&amp;" "&amp;$I632&amp;" "&amp;$F632&amp;" "&amp;$J632&amp;" "&amp;$K632&amp;" "&amp;$L632&amp;" "&amp;$V632))),OR(CARI!$C$6="",$F632=CARI!$C$6),OR(CARI!$C$7="",$G632=CARI!$C$7),OR(CARI!$C$8="",$T632=CARI!$C$8)),MAX($Z$3:Z631)+1,""))</f>
        <v/>
      </c>
      <c r="AA632" s="40" t="str">
        <f aca="false">IF($Y632="","",MAX($AA$3:AA631)+1)</f>
        <v/>
      </c>
      <c r="AB632" s="40" t="str">
        <f aca="false">IF($F632="","",$F632&amp;"#"&amp;COUNTIF($F$4:$F632,$F632))</f>
        <v/>
      </c>
      <c r="AC632" s="40" t="str">
        <f aca="false">IF($B632="","",IF(AND(OR(CETAK!$J$10="",$F632=CETAK!$J$10),OR(CETAK!$J$11="",$G632=CETAK!$J$11),OR(CETAK!$J$12="",$P632=CETAK!$J$12),OR(CETAK!$J$13="",$N632=CETAK!$J$13),OR(CETAK!$J$14="",$T632=CETAK!$J$14)),MAX($AC$3:AC631)+1,""))</f>
        <v/>
      </c>
      <c r="AD632" s="40" t="str">
        <f aca="false">IF($B632="","",IF(AND(OR(ABSENSI!$H$10="",$F632=ABSENSI!$H$10),OR(ABSENSI!$H$11="",$G632=ABSENSI!$H$11),OR(ABSENSI!$H$12="",$P632=ABSENSI!$H$12)),MAX($AD$3:AD631)+1,""))</f>
        <v/>
      </c>
      <c r="AE632" s="40" t="str">
        <f aca="false">IF($B632="","",IF(AND(OR(KARTU!$K$6="",$F632=KARTU!$K$6),OR(KARTU!$K$7="",$G632=KARTU!$K$7),OR(KARTU!$K$8="",$P632=KARTU!$K$8)),MAX($AE$3:AE631)+1,""))</f>
        <v/>
      </c>
    </row>
    <row r="633" customFormat="false" ht="15" hidden="false" customHeight="false" outlineLevel="0" collapsed="false">
      <c r="A633" s="35" t="str">
        <f aca="false">IF($B633="","",COUNTA($B$4:$B633))</f>
        <v/>
      </c>
      <c r="B633" s="36"/>
      <c r="C633" s="37"/>
      <c r="D633" s="37"/>
      <c r="E633" s="38"/>
      <c r="F633" s="36"/>
      <c r="G633" s="39"/>
      <c r="H633" s="39"/>
      <c r="I633" s="36"/>
      <c r="J633" s="36"/>
      <c r="K633" s="36"/>
      <c r="L633" s="36"/>
      <c r="M633" s="40" t="str">
        <f aca="false">IF($F633="","",$F633&amp;IF($G633="",""," - RT "&amp;$G633&amp;IF($H633="","","/"&amp;$H633)))</f>
        <v/>
      </c>
      <c r="N633" s="36"/>
      <c r="O633" s="37"/>
      <c r="P633" s="39"/>
      <c r="Q633" s="41"/>
      <c r="R633" s="35" t="str">
        <f aca="true">IF(OR($B633="",$Q633=""),"",DATEDIF($Q633,TODAY(),"Y"))</f>
        <v/>
      </c>
      <c r="S633" s="40" t="str">
        <f aca="false">IF($R633="","",INDEX(usia_label,MATCH($R633,usia_min,1)))</f>
        <v/>
      </c>
      <c r="T633" s="36"/>
      <c r="U633" s="41"/>
      <c r="V633" s="36"/>
      <c r="W633" s="36"/>
      <c r="X633" s="40" t="str">
        <f aca="false">IF($M633="","",$M633&amp;"#"&amp;COUNTIF($M$4:$M633,$M633))</f>
        <v/>
      </c>
      <c r="Y633" s="40" t="str">
        <f aca="false">IF($B633="","",IF($C633="","NIK kosong",IF(LEN($C633)&lt;&gt;16,"NIK bukan 16 digit",IF(COUNTIF($C$4:$C$2003,$C633&amp;"*")&gt;1,"NIK ganda",IF(AND($D633&lt;&gt;"",LEN($D633)&lt;&gt;16),"No. KK bukan 16 digit",IF(AND($F633="",$I633=""),"Alamat kosong",IF($N633="","Jabatan kosong",IF($O633="","No. HP kosong",IF(AND($R633&lt;&gt;"",$R633&lt;17),"Usia di bawah 17","")))))))))</f>
        <v/>
      </c>
      <c r="Z633" s="40" t="str">
        <f aca="false">IF($B633="","",IF(AND(OR(CARI!$C$5="",ISNUMBER(SEARCH(CARI!$C$5,$B633&amp;" "&amp;$C633&amp;" "&amp;$D633&amp;" "&amp;$O633&amp;" "&amp;$I633&amp;" "&amp;$F633&amp;" "&amp;$J633&amp;" "&amp;$K633&amp;" "&amp;$L633&amp;" "&amp;$V633))),OR(CARI!$C$6="",$F633=CARI!$C$6),OR(CARI!$C$7="",$G633=CARI!$C$7),OR(CARI!$C$8="",$T633=CARI!$C$8)),MAX($Z$3:Z632)+1,""))</f>
        <v/>
      </c>
      <c r="AA633" s="40" t="str">
        <f aca="false">IF($Y633="","",MAX($AA$3:AA632)+1)</f>
        <v/>
      </c>
      <c r="AB633" s="40" t="str">
        <f aca="false">IF($F633="","",$F633&amp;"#"&amp;COUNTIF($F$4:$F633,$F633))</f>
        <v/>
      </c>
      <c r="AC633" s="40" t="str">
        <f aca="false">IF($B633="","",IF(AND(OR(CETAK!$J$10="",$F633=CETAK!$J$10),OR(CETAK!$J$11="",$G633=CETAK!$J$11),OR(CETAK!$J$12="",$P633=CETAK!$J$12),OR(CETAK!$J$13="",$N633=CETAK!$J$13),OR(CETAK!$J$14="",$T633=CETAK!$J$14)),MAX($AC$3:AC632)+1,""))</f>
        <v/>
      </c>
      <c r="AD633" s="40" t="str">
        <f aca="false">IF($B633="","",IF(AND(OR(ABSENSI!$H$10="",$F633=ABSENSI!$H$10),OR(ABSENSI!$H$11="",$G633=ABSENSI!$H$11),OR(ABSENSI!$H$12="",$P633=ABSENSI!$H$12)),MAX($AD$3:AD632)+1,""))</f>
        <v/>
      </c>
      <c r="AE633" s="40" t="str">
        <f aca="false">IF($B633="","",IF(AND(OR(KARTU!$K$6="",$F633=KARTU!$K$6),OR(KARTU!$K$7="",$G633=KARTU!$K$7),OR(KARTU!$K$8="",$P633=KARTU!$K$8)),MAX($AE$3:AE632)+1,""))</f>
        <v/>
      </c>
    </row>
    <row r="634" customFormat="false" ht="15" hidden="false" customHeight="false" outlineLevel="0" collapsed="false">
      <c r="A634" s="35" t="str">
        <f aca="false">IF($B634="","",COUNTA($B$4:$B634))</f>
        <v/>
      </c>
      <c r="B634" s="36"/>
      <c r="C634" s="37"/>
      <c r="D634" s="37"/>
      <c r="E634" s="38"/>
      <c r="F634" s="36"/>
      <c r="G634" s="39"/>
      <c r="H634" s="39"/>
      <c r="I634" s="36"/>
      <c r="J634" s="36"/>
      <c r="K634" s="36"/>
      <c r="L634" s="36"/>
      <c r="M634" s="40" t="str">
        <f aca="false">IF($F634="","",$F634&amp;IF($G634="",""," - RT "&amp;$G634&amp;IF($H634="","","/"&amp;$H634)))</f>
        <v/>
      </c>
      <c r="N634" s="36"/>
      <c r="O634" s="37"/>
      <c r="P634" s="39"/>
      <c r="Q634" s="41"/>
      <c r="R634" s="35" t="str">
        <f aca="true">IF(OR($B634="",$Q634=""),"",DATEDIF($Q634,TODAY(),"Y"))</f>
        <v/>
      </c>
      <c r="S634" s="40" t="str">
        <f aca="false">IF($R634="","",INDEX(usia_label,MATCH($R634,usia_min,1)))</f>
        <v/>
      </c>
      <c r="T634" s="36"/>
      <c r="U634" s="41"/>
      <c r="V634" s="36"/>
      <c r="W634" s="36"/>
      <c r="X634" s="40" t="str">
        <f aca="false">IF($M634="","",$M634&amp;"#"&amp;COUNTIF($M$4:$M634,$M634))</f>
        <v/>
      </c>
      <c r="Y634" s="40" t="str">
        <f aca="false">IF($B634="","",IF($C634="","NIK kosong",IF(LEN($C634)&lt;&gt;16,"NIK bukan 16 digit",IF(COUNTIF($C$4:$C$2003,$C634&amp;"*")&gt;1,"NIK ganda",IF(AND($D634&lt;&gt;"",LEN($D634)&lt;&gt;16),"No. KK bukan 16 digit",IF(AND($F634="",$I634=""),"Alamat kosong",IF($N634="","Jabatan kosong",IF($O634="","No. HP kosong",IF(AND($R634&lt;&gt;"",$R634&lt;17),"Usia di bawah 17","")))))))))</f>
        <v/>
      </c>
      <c r="Z634" s="40" t="str">
        <f aca="false">IF($B634="","",IF(AND(OR(CARI!$C$5="",ISNUMBER(SEARCH(CARI!$C$5,$B634&amp;" "&amp;$C634&amp;" "&amp;$D634&amp;" "&amp;$O634&amp;" "&amp;$I634&amp;" "&amp;$F634&amp;" "&amp;$J634&amp;" "&amp;$K634&amp;" "&amp;$L634&amp;" "&amp;$V634))),OR(CARI!$C$6="",$F634=CARI!$C$6),OR(CARI!$C$7="",$G634=CARI!$C$7),OR(CARI!$C$8="",$T634=CARI!$C$8)),MAX($Z$3:Z633)+1,""))</f>
        <v/>
      </c>
      <c r="AA634" s="40" t="str">
        <f aca="false">IF($Y634="","",MAX($AA$3:AA633)+1)</f>
        <v/>
      </c>
      <c r="AB634" s="40" t="str">
        <f aca="false">IF($F634="","",$F634&amp;"#"&amp;COUNTIF($F$4:$F634,$F634))</f>
        <v/>
      </c>
      <c r="AC634" s="40" t="str">
        <f aca="false">IF($B634="","",IF(AND(OR(CETAK!$J$10="",$F634=CETAK!$J$10),OR(CETAK!$J$11="",$G634=CETAK!$J$11),OR(CETAK!$J$12="",$P634=CETAK!$J$12),OR(CETAK!$J$13="",$N634=CETAK!$J$13),OR(CETAK!$J$14="",$T634=CETAK!$J$14)),MAX($AC$3:AC633)+1,""))</f>
        <v/>
      </c>
      <c r="AD634" s="40" t="str">
        <f aca="false">IF($B634="","",IF(AND(OR(ABSENSI!$H$10="",$F634=ABSENSI!$H$10),OR(ABSENSI!$H$11="",$G634=ABSENSI!$H$11),OR(ABSENSI!$H$12="",$P634=ABSENSI!$H$12)),MAX($AD$3:AD633)+1,""))</f>
        <v/>
      </c>
      <c r="AE634" s="40" t="str">
        <f aca="false">IF($B634="","",IF(AND(OR(KARTU!$K$6="",$F634=KARTU!$K$6),OR(KARTU!$K$7="",$G634=KARTU!$K$7),OR(KARTU!$K$8="",$P634=KARTU!$K$8)),MAX($AE$3:AE633)+1,""))</f>
        <v/>
      </c>
    </row>
    <row r="635" customFormat="false" ht="15" hidden="false" customHeight="false" outlineLevel="0" collapsed="false">
      <c r="A635" s="35" t="str">
        <f aca="false">IF($B635="","",COUNTA($B$4:$B635))</f>
        <v/>
      </c>
      <c r="B635" s="36"/>
      <c r="C635" s="37"/>
      <c r="D635" s="37"/>
      <c r="E635" s="38"/>
      <c r="F635" s="36"/>
      <c r="G635" s="39"/>
      <c r="H635" s="39"/>
      <c r="I635" s="36"/>
      <c r="J635" s="36"/>
      <c r="K635" s="36"/>
      <c r="L635" s="36"/>
      <c r="M635" s="40" t="str">
        <f aca="false">IF($F635="","",$F635&amp;IF($G635="",""," - RT "&amp;$G635&amp;IF($H635="","","/"&amp;$H635)))</f>
        <v/>
      </c>
      <c r="N635" s="36"/>
      <c r="O635" s="37"/>
      <c r="P635" s="39"/>
      <c r="Q635" s="41"/>
      <c r="R635" s="35" t="str">
        <f aca="true">IF(OR($B635="",$Q635=""),"",DATEDIF($Q635,TODAY(),"Y"))</f>
        <v/>
      </c>
      <c r="S635" s="40" t="str">
        <f aca="false">IF($R635="","",INDEX(usia_label,MATCH($R635,usia_min,1)))</f>
        <v/>
      </c>
      <c r="T635" s="36"/>
      <c r="U635" s="41"/>
      <c r="V635" s="36"/>
      <c r="W635" s="36"/>
      <c r="X635" s="40" t="str">
        <f aca="false">IF($M635="","",$M635&amp;"#"&amp;COUNTIF($M$4:$M635,$M635))</f>
        <v/>
      </c>
      <c r="Y635" s="40" t="str">
        <f aca="false">IF($B635="","",IF($C635="","NIK kosong",IF(LEN($C635)&lt;&gt;16,"NIK bukan 16 digit",IF(COUNTIF($C$4:$C$2003,$C635&amp;"*")&gt;1,"NIK ganda",IF(AND($D635&lt;&gt;"",LEN($D635)&lt;&gt;16),"No. KK bukan 16 digit",IF(AND($F635="",$I635=""),"Alamat kosong",IF($N635="","Jabatan kosong",IF($O635="","No. HP kosong",IF(AND($R635&lt;&gt;"",$R635&lt;17),"Usia di bawah 17","")))))))))</f>
        <v/>
      </c>
      <c r="Z635" s="40" t="str">
        <f aca="false">IF($B635="","",IF(AND(OR(CARI!$C$5="",ISNUMBER(SEARCH(CARI!$C$5,$B635&amp;" "&amp;$C635&amp;" "&amp;$D635&amp;" "&amp;$O635&amp;" "&amp;$I635&amp;" "&amp;$F635&amp;" "&amp;$J635&amp;" "&amp;$K635&amp;" "&amp;$L635&amp;" "&amp;$V635))),OR(CARI!$C$6="",$F635=CARI!$C$6),OR(CARI!$C$7="",$G635=CARI!$C$7),OR(CARI!$C$8="",$T635=CARI!$C$8)),MAX($Z$3:Z634)+1,""))</f>
        <v/>
      </c>
      <c r="AA635" s="40" t="str">
        <f aca="false">IF($Y635="","",MAX($AA$3:AA634)+1)</f>
        <v/>
      </c>
      <c r="AB635" s="40" t="str">
        <f aca="false">IF($F635="","",$F635&amp;"#"&amp;COUNTIF($F$4:$F635,$F635))</f>
        <v/>
      </c>
      <c r="AC635" s="40" t="str">
        <f aca="false">IF($B635="","",IF(AND(OR(CETAK!$J$10="",$F635=CETAK!$J$10),OR(CETAK!$J$11="",$G635=CETAK!$J$11),OR(CETAK!$J$12="",$P635=CETAK!$J$12),OR(CETAK!$J$13="",$N635=CETAK!$J$13),OR(CETAK!$J$14="",$T635=CETAK!$J$14)),MAX($AC$3:AC634)+1,""))</f>
        <v/>
      </c>
      <c r="AD635" s="40" t="str">
        <f aca="false">IF($B635="","",IF(AND(OR(ABSENSI!$H$10="",$F635=ABSENSI!$H$10),OR(ABSENSI!$H$11="",$G635=ABSENSI!$H$11),OR(ABSENSI!$H$12="",$P635=ABSENSI!$H$12)),MAX($AD$3:AD634)+1,""))</f>
        <v/>
      </c>
      <c r="AE635" s="40" t="str">
        <f aca="false">IF($B635="","",IF(AND(OR(KARTU!$K$6="",$F635=KARTU!$K$6),OR(KARTU!$K$7="",$G635=KARTU!$K$7),OR(KARTU!$K$8="",$P635=KARTU!$K$8)),MAX($AE$3:AE634)+1,""))</f>
        <v/>
      </c>
    </row>
    <row r="636" customFormat="false" ht="15" hidden="false" customHeight="false" outlineLevel="0" collapsed="false">
      <c r="A636" s="35" t="str">
        <f aca="false">IF($B636="","",COUNTA($B$4:$B636))</f>
        <v/>
      </c>
      <c r="B636" s="36"/>
      <c r="C636" s="37"/>
      <c r="D636" s="37"/>
      <c r="E636" s="38"/>
      <c r="F636" s="36"/>
      <c r="G636" s="39"/>
      <c r="H636" s="39"/>
      <c r="I636" s="36"/>
      <c r="J636" s="36"/>
      <c r="K636" s="36"/>
      <c r="L636" s="36"/>
      <c r="M636" s="40" t="str">
        <f aca="false">IF($F636="","",$F636&amp;IF($G636="",""," - RT "&amp;$G636&amp;IF($H636="","","/"&amp;$H636)))</f>
        <v/>
      </c>
      <c r="N636" s="36"/>
      <c r="O636" s="37"/>
      <c r="P636" s="39"/>
      <c r="Q636" s="41"/>
      <c r="R636" s="35" t="str">
        <f aca="true">IF(OR($B636="",$Q636=""),"",DATEDIF($Q636,TODAY(),"Y"))</f>
        <v/>
      </c>
      <c r="S636" s="40" t="str">
        <f aca="false">IF($R636="","",INDEX(usia_label,MATCH($R636,usia_min,1)))</f>
        <v/>
      </c>
      <c r="T636" s="36"/>
      <c r="U636" s="41"/>
      <c r="V636" s="36"/>
      <c r="W636" s="36"/>
      <c r="X636" s="40" t="str">
        <f aca="false">IF($M636="","",$M636&amp;"#"&amp;COUNTIF($M$4:$M636,$M636))</f>
        <v/>
      </c>
      <c r="Y636" s="40" t="str">
        <f aca="false">IF($B636="","",IF($C636="","NIK kosong",IF(LEN($C636)&lt;&gt;16,"NIK bukan 16 digit",IF(COUNTIF($C$4:$C$2003,$C636&amp;"*")&gt;1,"NIK ganda",IF(AND($D636&lt;&gt;"",LEN($D636)&lt;&gt;16),"No. KK bukan 16 digit",IF(AND($F636="",$I636=""),"Alamat kosong",IF($N636="","Jabatan kosong",IF($O636="","No. HP kosong",IF(AND($R636&lt;&gt;"",$R636&lt;17),"Usia di bawah 17","")))))))))</f>
        <v/>
      </c>
      <c r="Z636" s="40" t="str">
        <f aca="false">IF($B636="","",IF(AND(OR(CARI!$C$5="",ISNUMBER(SEARCH(CARI!$C$5,$B636&amp;" "&amp;$C636&amp;" "&amp;$D636&amp;" "&amp;$O636&amp;" "&amp;$I636&amp;" "&amp;$F636&amp;" "&amp;$J636&amp;" "&amp;$K636&amp;" "&amp;$L636&amp;" "&amp;$V636))),OR(CARI!$C$6="",$F636=CARI!$C$6),OR(CARI!$C$7="",$G636=CARI!$C$7),OR(CARI!$C$8="",$T636=CARI!$C$8)),MAX($Z$3:Z635)+1,""))</f>
        <v/>
      </c>
      <c r="AA636" s="40" t="str">
        <f aca="false">IF($Y636="","",MAX($AA$3:AA635)+1)</f>
        <v/>
      </c>
      <c r="AB636" s="40" t="str">
        <f aca="false">IF($F636="","",$F636&amp;"#"&amp;COUNTIF($F$4:$F636,$F636))</f>
        <v/>
      </c>
      <c r="AC636" s="40" t="str">
        <f aca="false">IF($B636="","",IF(AND(OR(CETAK!$J$10="",$F636=CETAK!$J$10),OR(CETAK!$J$11="",$G636=CETAK!$J$11),OR(CETAK!$J$12="",$P636=CETAK!$J$12),OR(CETAK!$J$13="",$N636=CETAK!$J$13),OR(CETAK!$J$14="",$T636=CETAK!$J$14)),MAX($AC$3:AC635)+1,""))</f>
        <v/>
      </c>
      <c r="AD636" s="40" t="str">
        <f aca="false">IF($B636="","",IF(AND(OR(ABSENSI!$H$10="",$F636=ABSENSI!$H$10),OR(ABSENSI!$H$11="",$G636=ABSENSI!$H$11),OR(ABSENSI!$H$12="",$P636=ABSENSI!$H$12)),MAX($AD$3:AD635)+1,""))</f>
        <v/>
      </c>
      <c r="AE636" s="40" t="str">
        <f aca="false">IF($B636="","",IF(AND(OR(KARTU!$K$6="",$F636=KARTU!$K$6),OR(KARTU!$K$7="",$G636=KARTU!$K$7),OR(KARTU!$K$8="",$P636=KARTU!$K$8)),MAX($AE$3:AE635)+1,""))</f>
        <v/>
      </c>
    </row>
    <row r="637" customFormat="false" ht="15" hidden="false" customHeight="false" outlineLevel="0" collapsed="false">
      <c r="A637" s="35" t="str">
        <f aca="false">IF($B637="","",COUNTA($B$4:$B637))</f>
        <v/>
      </c>
      <c r="B637" s="36"/>
      <c r="C637" s="37"/>
      <c r="D637" s="37"/>
      <c r="E637" s="38"/>
      <c r="F637" s="36"/>
      <c r="G637" s="39"/>
      <c r="H637" s="39"/>
      <c r="I637" s="36"/>
      <c r="J637" s="36"/>
      <c r="K637" s="36"/>
      <c r="L637" s="36"/>
      <c r="M637" s="40" t="str">
        <f aca="false">IF($F637="","",$F637&amp;IF($G637="",""," - RT "&amp;$G637&amp;IF($H637="","","/"&amp;$H637)))</f>
        <v/>
      </c>
      <c r="N637" s="36"/>
      <c r="O637" s="37"/>
      <c r="P637" s="39"/>
      <c r="Q637" s="41"/>
      <c r="R637" s="35" t="str">
        <f aca="true">IF(OR($B637="",$Q637=""),"",DATEDIF($Q637,TODAY(),"Y"))</f>
        <v/>
      </c>
      <c r="S637" s="40" t="str">
        <f aca="false">IF($R637="","",INDEX(usia_label,MATCH($R637,usia_min,1)))</f>
        <v/>
      </c>
      <c r="T637" s="36"/>
      <c r="U637" s="41"/>
      <c r="V637" s="36"/>
      <c r="W637" s="36"/>
      <c r="X637" s="40" t="str">
        <f aca="false">IF($M637="","",$M637&amp;"#"&amp;COUNTIF($M$4:$M637,$M637))</f>
        <v/>
      </c>
      <c r="Y637" s="40" t="str">
        <f aca="false">IF($B637="","",IF($C637="","NIK kosong",IF(LEN($C637)&lt;&gt;16,"NIK bukan 16 digit",IF(COUNTIF($C$4:$C$2003,$C637&amp;"*")&gt;1,"NIK ganda",IF(AND($D637&lt;&gt;"",LEN($D637)&lt;&gt;16),"No. KK bukan 16 digit",IF(AND($F637="",$I637=""),"Alamat kosong",IF($N637="","Jabatan kosong",IF($O637="","No. HP kosong",IF(AND($R637&lt;&gt;"",$R637&lt;17),"Usia di bawah 17","")))))))))</f>
        <v/>
      </c>
      <c r="Z637" s="40" t="str">
        <f aca="false">IF($B637="","",IF(AND(OR(CARI!$C$5="",ISNUMBER(SEARCH(CARI!$C$5,$B637&amp;" "&amp;$C637&amp;" "&amp;$D637&amp;" "&amp;$O637&amp;" "&amp;$I637&amp;" "&amp;$F637&amp;" "&amp;$J637&amp;" "&amp;$K637&amp;" "&amp;$L637&amp;" "&amp;$V637))),OR(CARI!$C$6="",$F637=CARI!$C$6),OR(CARI!$C$7="",$G637=CARI!$C$7),OR(CARI!$C$8="",$T637=CARI!$C$8)),MAX($Z$3:Z636)+1,""))</f>
        <v/>
      </c>
      <c r="AA637" s="40" t="str">
        <f aca="false">IF($Y637="","",MAX($AA$3:AA636)+1)</f>
        <v/>
      </c>
      <c r="AB637" s="40" t="str">
        <f aca="false">IF($F637="","",$F637&amp;"#"&amp;COUNTIF($F$4:$F637,$F637))</f>
        <v/>
      </c>
      <c r="AC637" s="40" t="str">
        <f aca="false">IF($B637="","",IF(AND(OR(CETAK!$J$10="",$F637=CETAK!$J$10),OR(CETAK!$J$11="",$G637=CETAK!$J$11),OR(CETAK!$J$12="",$P637=CETAK!$J$12),OR(CETAK!$J$13="",$N637=CETAK!$J$13),OR(CETAK!$J$14="",$T637=CETAK!$J$14)),MAX($AC$3:AC636)+1,""))</f>
        <v/>
      </c>
      <c r="AD637" s="40" t="str">
        <f aca="false">IF($B637="","",IF(AND(OR(ABSENSI!$H$10="",$F637=ABSENSI!$H$10),OR(ABSENSI!$H$11="",$G637=ABSENSI!$H$11),OR(ABSENSI!$H$12="",$P637=ABSENSI!$H$12)),MAX($AD$3:AD636)+1,""))</f>
        <v/>
      </c>
      <c r="AE637" s="40" t="str">
        <f aca="false">IF($B637="","",IF(AND(OR(KARTU!$K$6="",$F637=KARTU!$K$6),OR(KARTU!$K$7="",$G637=KARTU!$K$7),OR(KARTU!$K$8="",$P637=KARTU!$K$8)),MAX($AE$3:AE636)+1,""))</f>
        <v/>
      </c>
    </row>
    <row r="638" customFormat="false" ht="15" hidden="false" customHeight="false" outlineLevel="0" collapsed="false">
      <c r="A638" s="35" t="str">
        <f aca="false">IF($B638="","",COUNTA($B$4:$B638))</f>
        <v/>
      </c>
      <c r="B638" s="36"/>
      <c r="C638" s="37"/>
      <c r="D638" s="37"/>
      <c r="E638" s="38"/>
      <c r="F638" s="36"/>
      <c r="G638" s="39"/>
      <c r="H638" s="39"/>
      <c r="I638" s="36"/>
      <c r="J638" s="36"/>
      <c r="K638" s="36"/>
      <c r="L638" s="36"/>
      <c r="M638" s="40" t="str">
        <f aca="false">IF($F638="","",$F638&amp;IF($G638="",""," - RT "&amp;$G638&amp;IF($H638="","","/"&amp;$H638)))</f>
        <v/>
      </c>
      <c r="N638" s="36"/>
      <c r="O638" s="37"/>
      <c r="P638" s="39"/>
      <c r="Q638" s="41"/>
      <c r="R638" s="35" t="str">
        <f aca="true">IF(OR($B638="",$Q638=""),"",DATEDIF($Q638,TODAY(),"Y"))</f>
        <v/>
      </c>
      <c r="S638" s="40" t="str">
        <f aca="false">IF($R638="","",INDEX(usia_label,MATCH($R638,usia_min,1)))</f>
        <v/>
      </c>
      <c r="T638" s="36"/>
      <c r="U638" s="41"/>
      <c r="V638" s="36"/>
      <c r="W638" s="36"/>
      <c r="X638" s="40" t="str">
        <f aca="false">IF($M638="","",$M638&amp;"#"&amp;COUNTIF($M$4:$M638,$M638))</f>
        <v/>
      </c>
      <c r="Y638" s="40" t="str">
        <f aca="false">IF($B638="","",IF($C638="","NIK kosong",IF(LEN($C638)&lt;&gt;16,"NIK bukan 16 digit",IF(COUNTIF($C$4:$C$2003,$C638&amp;"*")&gt;1,"NIK ganda",IF(AND($D638&lt;&gt;"",LEN($D638)&lt;&gt;16),"No. KK bukan 16 digit",IF(AND($F638="",$I638=""),"Alamat kosong",IF($N638="","Jabatan kosong",IF($O638="","No. HP kosong",IF(AND($R638&lt;&gt;"",$R638&lt;17),"Usia di bawah 17","")))))))))</f>
        <v/>
      </c>
      <c r="Z638" s="40" t="str">
        <f aca="false">IF($B638="","",IF(AND(OR(CARI!$C$5="",ISNUMBER(SEARCH(CARI!$C$5,$B638&amp;" "&amp;$C638&amp;" "&amp;$D638&amp;" "&amp;$O638&amp;" "&amp;$I638&amp;" "&amp;$F638&amp;" "&amp;$J638&amp;" "&amp;$K638&amp;" "&amp;$L638&amp;" "&amp;$V638))),OR(CARI!$C$6="",$F638=CARI!$C$6),OR(CARI!$C$7="",$G638=CARI!$C$7),OR(CARI!$C$8="",$T638=CARI!$C$8)),MAX($Z$3:Z637)+1,""))</f>
        <v/>
      </c>
      <c r="AA638" s="40" t="str">
        <f aca="false">IF($Y638="","",MAX($AA$3:AA637)+1)</f>
        <v/>
      </c>
      <c r="AB638" s="40" t="str">
        <f aca="false">IF($F638="","",$F638&amp;"#"&amp;COUNTIF($F$4:$F638,$F638))</f>
        <v/>
      </c>
      <c r="AC638" s="40" t="str">
        <f aca="false">IF($B638="","",IF(AND(OR(CETAK!$J$10="",$F638=CETAK!$J$10),OR(CETAK!$J$11="",$G638=CETAK!$J$11),OR(CETAK!$J$12="",$P638=CETAK!$J$12),OR(CETAK!$J$13="",$N638=CETAK!$J$13),OR(CETAK!$J$14="",$T638=CETAK!$J$14)),MAX($AC$3:AC637)+1,""))</f>
        <v/>
      </c>
      <c r="AD638" s="40" t="str">
        <f aca="false">IF($B638="","",IF(AND(OR(ABSENSI!$H$10="",$F638=ABSENSI!$H$10),OR(ABSENSI!$H$11="",$G638=ABSENSI!$H$11),OR(ABSENSI!$H$12="",$P638=ABSENSI!$H$12)),MAX($AD$3:AD637)+1,""))</f>
        <v/>
      </c>
      <c r="AE638" s="40" t="str">
        <f aca="false">IF($B638="","",IF(AND(OR(KARTU!$K$6="",$F638=KARTU!$K$6),OR(KARTU!$K$7="",$G638=KARTU!$K$7),OR(KARTU!$K$8="",$P638=KARTU!$K$8)),MAX($AE$3:AE637)+1,""))</f>
        <v/>
      </c>
    </row>
    <row r="639" customFormat="false" ht="15" hidden="false" customHeight="false" outlineLevel="0" collapsed="false">
      <c r="A639" s="35" t="str">
        <f aca="false">IF($B639="","",COUNTA($B$4:$B639))</f>
        <v/>
      </c>
      <c r="B639" s="36"/>
      <c r="C639" s="37"/>
      <c r="D639" s="37"/>
      <c r="E639" s="38"/>
      <c r="F639" s="36"/>
      <c r="G639" s="39"/>
      <c r="H639" s="39"/>
      <c r="I639" s="36"/>
      <c r="J639" s="36"/>
      <c r="K639" s="36"/>
      <c r="L639" s="36"/>
      <c r="M639" s="40" t="str">
        <f aca="false">IF($F639="","",$F639&amp;IF($G639="",""," - RT "&amp;$G639&amp;IF($H639="","","/"&amp;$H639)))</f>
        <v/>
      </c>
      <c r="N639" s="36"/>
      <c r="O639" s="37"/>
      <c r="P639" s="39"/>
      <c r="Q639" s="41"/>
      <c r="R639" s="35" t="str">
        <f aca="true">IF(OR($B639="",$Q639=""),"",DATEDIF($Q639,TODAY(),"Y"))</f>
        <v/>
      </c>
      <c r="S639" s="40" t="str">
        <f aca="false">IF($R639="","",INDEX(usia_label,MATCH($R639,usia_min,1)))</f>
        <v/>
      </c>
      <c r="T639" s="36"/>
      <c r="U639" s="41"/>
      <c r="V639" s="36"/>
      <c r="W639" s="36"/>
      <c r="X639" s="40" t="str">
        <f aca="false">IF($M639="","",$M639&amp;"#"&amp;COUNTIF($M$4:$M639,$M639))</f>
        <v/>
      </c>
      <c r="Y639" s="40" t="str">
        <f aca="false">IF($B639="","",IF($C639="","NIK kosong",IF(LEN($C639)&lt;&gt;16,"NIK bukan 16 digit",IF(COUNTIF($C$4:$C$2003,$C639&amp;"*")&gt;1,"NIK ganda",IF(AND($D639&lt;&gt;"",LEN($D639)&lt;&gt;16),"No. KK bukan 16 digit",IF(AND($F639="",$I639=""),"Alamat kosong",IF($N639="","Jabatan kosong",IF($O639="","No. HP kosong",IF(AND($R639&lt;&gt;"",$R639&lt;17),"Usia di bawah 17","")))))))))</f>
        <v/>
      </c>
      <c r="Z639" s="40" t="str">
        <f aca="false">IF($B639="","",IF(AND(OR(CARI!$C$5="",ISNUMBER(SEARCH(CARI!$C$5,$B639&amp;" "&amp;$C639&amp;" "&amp;$D639&amp;" "&amp;$O639&amp;" "&amp;$I639&amp;" "&amp;$F639&amp;" "&amp;$J639&amp;" "&amp;$K639&amp;" "&amp;$L639&amp;" "&amp;$V639))),OR(CARI!$C$6="",$F639=CARI!$C$6),OR(CARI!$C$7="",$G639=CARI!$C$7),OR(CARI!$C$8="",$T639=CARI!$C$8)),MAX($Z$3:Z638)+1,""))</f>
        <v/>
      </c>
      <c r="AA639" s="40" t="str">
        <f aca="false">IF($Y639="","",MAX($AA$3:AA638)+1)</f>
        <v/>
      </c>
      <c r="AB639" s="40" t="str">
        <f aca="false">IF($F639="","",$F639&amp;"#"&amp;COUNTIF($F$4:$F639,$F639))</f>
        <v/>
      </c>
      <c r="AC639" s="40" t="str">
        <f aca="false">IF($B639="","",IF(AND(OR(CETAK!$J$10="",$F639=CETAK!$J$10),OR(CETAK!$J$11="",$G639=CETAK!$J$11),OR(CETAK!$J$12="",$P639=CETAK!$J$12),OR(CETAK!$J$13="",$N639=CETAK!$J$13),OR(CETAK!$J$14="",$T639=CETAK!$J$14)),MAX($AC$3:AC638)+1,""))</f>
        <v/>
      </c>
      <c r="AD639" s="40" t="str">
        <f aca="false">IF($B639="","",IF(AND(OR(ABSENSI!$H$10="",$F639=ABSENSI!$H$10),OR(ABSENSI!$H$11="",$G639=ABSENSI!$H$11),OR(ABSENSI!$H$12="",$P639=ABSENSI!$H$12)),MAX($AD$3:AD638)+1,""))</f>
        <v/>
      </c>
      <c r="AE639" s="40" t="str">
        <f aca="false">IF($B639="","",IF(AND(OR(KARTU!$K$6="",$F639=KARTU!$K$6),OR(KARTU!$K$7="",$G639=KARTU!$K$7),OR(KARTU!$K$8="",$P639=KARTU!$K$8)),MAX($AE$3:AE638)+1,""))</f>
        <v/>
      </c>
    </row>
    <row r="640" customFormat="false" ht="15" hidden="false" customHeight="false" outlineLevel="0" collapsed="false">
      <c r="A640" s="35" t="str">
        <f aca="false">IF($B640="","",COUNTA($B$4:$B640))</f>
        <v/>
      </c>
      <c r="B640" s="36"/>
      <c r="C640" s="37"/>
      <c r="D640" s="37"/>
      <c r="E640" s="38"/>
      <c r="F640" s="36"/>
      <c r="G640" s="39"/>
      <c r="H640" s="39"/>
      <c r="I640" s="36"/>
      <c r="J640" s="36"/>
      <c r="K640" s="36"/>
      <c r="L640" s="36"/>
      <c r="M640" s="40" t="str">
        <f aca="false">IF($F640="","",$F640&amp;IF($G640="",""," - RT "&amp;$G640&amp;IF($H640="","","/"&amp;$H640)))</f>
        <v/>
      </c>
      <c r="N640" s="36"/>
      <c r="O640" s="37"/>
      <c r="P640" s="39"/>
      <c r="Q640" s="41"/>
      <c r="R640" s="35" t="str">
        <f aca="true">IF(OR($B640="",$Q640=""),"",DATEDIF($Q640,TODAY(),"Y"))</f>
        <v/>
      </c>
      <c r="S640" s="40" t="str">
        <f aca="false">IF($R640="","",INDEX(usia_label,MATCH($R640,usia_min,1)))</f>
        <v/>
      </c>
      <c r="T640" s="36"/>
      <c r="U640" s="41"/>
      <c r="V640" s="36"/>
      <c r="W640" s="36"/>
      <c r="X640" s="40" t="str">
        <f aca="false">IF($M640="","",$M640&amp;"#"&amp;COUNTIF($M$4:$M640,$M640))</f>
        <v/>
      </c>
      <c r="Y640" s="40" t="str">
        <f aca="false">IF($B640="","",IF($C640="","NIK kosong",IF(LEN($C640)&lt;&gt;16,"NIK bukan 16 digit",IF(COUNTIF($C$4:$C$2003,$C640&amp;"*")&gt;1,"NIK ganda",IF(AND($D640&lt;&gt;"",LEN($D640)&lt;&gt;16),"No. KK bukan 16 digit",IF(AND($F640="",$I640=""),"Alamat kosong",IF($N640="","Jabatan kosong",IF($O640="","No. HP kosong",IF(AND($R640&lt;&gt;"",$R640&lt;17),"Usia di bawah 17","")))))))))</f>
        <v/>
      </c>
      <c r="Z640" s="40" t="str">
        <f aca="false">IF($B640="","",IF(AND(OR(CARI!$C$5="",ISNUMBER(SEARCH(CARI!$C$5,$B640&amp;" "&amp;$C640&amp;" "&amp;$D640&amp;" "&amp;$O640&amp;" "&amp;$I640&amp;" "&amp;$F640&amp;" "&amp;$J640&amp;" "&amp;$K640&amp;" "&amp;$L640&amp;" "&amp;$V640))),OR(CARI!$C$6="",$F640=CARI!$C$6),OR(CARI!$C$7="",$G640=CARI!$C$7),OR(CARI!$C$8="",$T640=CARI!$C$8)),MAX($Z$3:Z639)+1,""))</f>
        <v/>
      </c>
      <c r="AA640" s="40" t="str">
        <f aca="false">IF($Y640="","",MAX($AA$3:AA639)+1)</f>
        <v/>
      </c>
      <c r="AB640" s="40" t="str">
        <f aca="false">IF($F640="","",$F640&amp;"#"&amp;COUNTIF($F$4:$F640,$F640))</f>
        <v/>
      </c>
      <c r="AC640" s="40" t="str">
        <f aca="false">IF($B640="","",IF(AND(OR(CETAK!$J$10="",$F640=CETAK!$J$10),OR(CETAK!$J$11="",$G640=CETAK!$J$11),OR(CETAK!$J$12="",$P640=CETAK!$J$12),OR(CETAK!$J$13="",$N640=CETAK!$J$13),OR(CETAK!$J$14="",$T640=CETAK!$J$14)),MAX($AC$3:AC639)+1,""))</f>
        <v/>
      </c>
      <c r="AD640" s="40" t="str">
        <f aca="false">IF($B640="","",IF(AND(OR(ABSENSI!$H$10="",$F640=ABSENSI!$H$10),OR(ABSENSI!$H$11="",$G640=ABSENSI!$H$11),OR(ABSENSI!$H$12="",$P640=ABSENSI!$H$12)),MAX($AD$3:AD639)+1,""))</f>
        <v/>
      </c>
      <c r="AE640" s="40" t="str">
        <f aca="false">IF($B640="","",IF(AND(OR(KARTU!$K$6="",$F640=KARTU!$K$6),OR(KARTU!$K$7="",$G640=KARTU!$K$7),OR(KARTU!$K$8="",$P640=KARTU!$K$8)),MAX($AE$3:AE639)+1,""))</f>
        <v/>
      </c>
    </row>
    <row r="641" customFormat="false" ht="15" hidden="false" customHeight="false" outlineLevel="0" collapsed="false">
      <c r="A641" s="35" t="str">
        <f aca="false">IF($B641="","",COUNTA($B$4:$B641))</f>
        <v/>
      </c>
      <c r="B641" s="36"/>
      <c r="C641" s="37"/>
      <c r="D641" s="37"/>
      <c r="E641" s="38"/>
      <c r="F641" s="36"/>
      <c r="G641" s="39"/>
      <c r="H641" s="39"/>
      <c r="I641" s="36"/>
      <c r="J641" s="36"/>
      <c r="K641" s="36"/>
      <c r="L641" s="36"/>
      <c r="M641" s="40" t="str">
        <f aca="false">IF($F641="","",$F641&amp;IF($G641="",""," - RT "&amp;$G641&amp;IF($H641="","","/"&amp;$H641)))</f>
        <v/>
      </c>
      <c r="N641" s="36"/>
      <c r="O641" s="37"/>
      <c r="P641" s="39"/>
      <c r="Q641" s="41"/>
      <c r="R641" s="35" t="str">
        <f aca="true">IF(OR($B641="",$Q641=""),"",DATEDIF($Q641,TODAY(),"Y"))</f>
        <v/>
      </c>
      <c r="S641" s="40" t="str">
        <f aca="false">IF($R641="","",INDEX(usia_label,MATCH($R641,usia_min,1)))</f>
        <v/>
      </c>
      <c r="T641" s="36"/>
      <c r="U641" s="41"/>
      <c r="V641" s="36"/>
      <c r="W641" s="36"/>
      <c r="X641" s="40" t="str">
        <f aca="false">IF($M641="","",$M641&amp;"#"&amp;COUNTIF($M$4:$M641,$M641))</f>
        <v/>
      </c>
      <c r="Y641" s="40" t="str">
        <f aca="false">IF($B641="","",IF($C641="","NIK kosong",IF(LEN($C641)&lt;&gt;16,"NIK bukan 16 digit",IF(COUNTIF($C$4:$C$2003,$C641&amp;"*")&gt;1,"NIK ganda",IF(AND($D641&lt;&gt;"",LEN($D641)&lt;&gt;16),"No. KK bukan 16 digit",IF(AND($F641="",$I641=""),"Alamat kosong",IF($N641="","Jabatan kosong",IF($O641="","No. HP kosong",IF(AND($R641&lt;&gt;"",$R641&lt;17),"Usia di bawah 17","")))))))))</f>
        <v/>
      </c>
      <c r="Z641" s="40" t="str">
        <f aca="false">IF($B641="","",IF(AND(OR(CARI!$C$5="",ISNUMBER(SEARCH(CARI!$C$5,$B641&amp;" "&amp;$C641&amp;" "&amp;$D641&amp;" "&amp;$O641&amp;" "&amp;$I641&amp;" "&amp;$F641&amp;" "&amp;$J641&amp;" "&amp;$K641&amp;" "&amp;$L641&amp;" "&amp;$V641))),OR(CARI!$C$6="",$F641=CARI!$C$6),OR(CARI!$C$7="",$G641=CARI!$C$7),OR(CARI!$C$8="",$T641=CARI!$C$8)),MAX($Z$3:Z640)+1,""))</f>
        <v/>
      </c>
      <c r="AA641" s="40" t="str">
        <f aca="false">IF($Y641="","",MAX($AA$3:AA640)+1)</f>
        <v/>
      </c>
      <c r="AB641" s="40" t="str">
        <f aca="false">IF($F641="","",$F641&amp;"#"&amp;COUNTIF($F$4:$F641,$F641))</f>
        <v/>
      </c>
      <c r="AC641" s="40" t="str">
        <f aca="false">IF($B641="","",IF(AND(OR(CETAK!$J$10="",$F641=CETAK!$J$10),OR(CETAK!$J$11="",$G641=CETAK!$J$11),OR(CETAK!$J$12="",$P641=CETAK!$J$12),OR(CETAK!$J$13="",$N641=CETAK!$J$13),OR(CETAK!$J$14="",$T641=CETAK!$J$14)),MAX($AC$3:AC640)+1,""))</f>
        <v/>
      </c>
      <c r="AD641" s="40" t="str">
        <f aca="false">IF($B641="","",IF(AND(OR(ABSENSI!$H$10="",$F641=ABSENSI!$H$10),OR(ABSENSI!$H$11="",$G641=ABSENSI!$H$11),OR(ABSENSI!$H$12="",$P641=ABSENSI!$H$12)),MAX($AD$3:AD640)+1,""))</f>
        <v/>
      </c>
      <c r="AE641" s="40" t="str">
        <f aca="false">IF($B641="","",IF(AND(OR(KARTU!$K$6="",$F641=KARTU!$K$6),OR(KARTU!$K$7="",$G641=KARTU!$K$7),OR(KARTU!$K$8="",$P641=KARTU!$K$8)),MAX($AE$3:AE640)+1,""))</f>
        <v/>
      </c>
    </row>
    <row r="642" customFormat="false" ht="15" hidden="false" customHeight="false" outlineLevel="0" collapsed="false">
      <c r="A642" s="35" t="str">
        <f aca="false">IF($B642="","",COUNTA($B$4:$B642))</f>
        <v/>
      </c>
      <c r="B642" s="36"/>
      <c r="C642" s="37"/>
      <c r="D642" s="37"/>
      <c r="E642" s="38"/>
      <c r="F642" s="36"/>
      <c r="G642" s="39"/>
      <c r="H642" s="39"/>
      <c r="I642" s="36"/>
      <c r="J642" s="36"/>
      <c r="K642" s="36"/>
      <c r="L642" s="36"/>
      <c r="M642" s="40" t="str">
        <f aca="false">IF($F642="","",$F642&amp;IF($G642="",""," - RT "&amp;$G642&amp;IF($H642="","","/"&amp;$H642)))</f>
        <v/>
      </c>
      <c r="N642" s="36"/>
      <c r="O642" s="37"/>
      <c r="P642" s="39"/>
      <c r="Q642" s="41"/>
      <c r="R642" s="35" t="str">
        <f aca="true">IF(OR($B642="",$Q642=""),"",DATEDIF($Q642,TODAY(),"Y"))</f>
        <v/>
      </c>
      <c r="S642" s="40" t="str">
        <f aca="false">IF($R642="","",INDEX(usia_label,MATCH($R642,usia_min,1)))</f>
        <v/>
      </c>
      <c r="T642" s="36"/>
      <c r="U642" s="41"/>
      <c r="V642" s="36"/>
      <c r="W642" s="36"/>
      <c r="X642" s="40" t="str">
        <f aca="false">IF($M642="","",$M642&amp;"#"&amp;COUNTIF($M$4:$M642,$M642))</f>
        <v/>
      </c>
      <c r="Y642" s="40" t="str">
        <f aca="false">IF($B642="","",IF($C642="","NIK kosong",IF(LEN($C642)&lt;&gt;16,"NIK bukan 16 digit",IF(COUNTIF($C$4:$C$2003,$C642&amp;"*")&gt;1,"NIK ganda",IF(AND($D642&lt;&gt;"",LEN($D642)&lt;&gt;16),"No. KK bukan 16 digit",IF(AND($F642="",$I642=""),"Alamat kosong",IF($N642="","Jabatan kosong",IF($O642="","No. HP kosong",IF(AND($R642&lt;&gt;"",$R642&lt;17),"Usia di bawah 17","")))))))))</f>
        <v/>
      </c>
      <c r="Z642" s="40" t="str">
        <f aca="false">IF($B642="","",IF(AND(OR(CARI!$C$5="",ISNUMBER(SEARCH(CARI!$C$5,$B642&amp;" "&amp;$C642&amp;" "&amp;$D642&amp;" "&amp;$O642&amp;" "&amp;$I642&amp;" "&amp;$F642&amp;" "&amp;$J642&amp;" "&amp;$K642&amp;" "&amp;$L642&amp;" "&amp;$V642))),OR(CARI!$C$6="",$F642=CARI!$C$6),OR(CARI!$C$7="",$G642=CARI!$C$7),OR(CARI!$C$8="",$T642=CARI!$C$8)),MAX($Z$3:Z641)+1,""))</f>
        <v/>
      </c>
      <c r="AA642" s="40" t="str">
        <f aca="false">IF($Y642="","",MAX($AA$3:AA641)+1)</f>
        <v/>
      </c>
      <c r="AB642" s="40" t="str">
        <f aca="false">IF($F642="","",$F642&amp;"#"&amp;COUNTIF($F$4:$F642,$F642))</f>
        <v/>
      </c>
      <c r="AC642" s="40" t="str">
        <f aca="false">IF($B642="","",IF(AND(OR(CETAK!$J$10="",$F642=CETAK!$J$10),OR(CETAK!$J$11="",$G642=CETAK!$J$11),OR(CETAK!$J$12="",$P642=CETAK!$J$12),OR(CETAK!$J$13="",$N642=CETAK!$J$13),OR(CETAK!$J$14="",$T642=CETAK!$J$14)),MAX($AC$3:AC641)+1,""))</f>
        <v/>
      </c>
      <c r="AD642" s="40" t="str">
        <f aca="false">IF($B642="","",IF(AND(OR(ABSENSI!$H$10="",$F642=ABSENSI!$H$10),OR(ABSENSI!$H$11="",$G642=ABSENSI!$H$11),OR(ABSENSI!$H$12="",$P642=ABSENSI!$H$12)),MAX($AD$3:AD641)+1,""))</f>
        <v/>
      </c>
      <c r="AE642" s="40" t="str">
        <f aca="false">IF($B642="","",IF(AND(OR(KARTU!$K$6="",$F642=KARTU!$K$6),OR(KARTU!$K$7="",$G642=KARTU!$K$7),OR(KARTU!$K$8="",$P642=KARTU!$K$8)),MAX($AE$3:AE641)+1,""))</f>
        <v/>
      </c>
    </row>
    <row r="643" customFormat="false" ht="15" hidden="false" customHeight="false" outlineLevel="0" collapsed="false">
      <c r="A643" s="35" t="str">
        <f aca="false">IF($B643="","",COUNTA($B$4:$B643))</f>
        <v/>
      </c>
      <c r="B643" s="36"/>
      <c r="C643" s="37"/>
      <c r="D643" s="37"/>
      <c r="E643" s="38"/>
      <c r="F643" s="36"/>
      <c r="G643" s="39"/>
      <c r="H643" s="39"/>
      <c r="I643" s="36"/>
      <c r="J643" s="36"/>
      <c r="K643" s="36"/>
      <c r="L643" s="36"/>
      <c r="M643" s="40" t="str">
        <f aca="false">IF($F643="","",$F643&amp;IF($G643="",""," - RT "&amp;$G643&amp;IF($H643="","","/"&amp;$H643)))</f>
        <v/>
      </c>
      <c r="N643" s="36"/>
      <c r="O643" s="37"/>
      <c r="P643" s="39"/>
      <c r="Q643" s="41"/>
      <c r="R643" s="35" t="str">
        <f aca="true">IF(OR($B643="",$Q643=""),"",DATEDIF($Q643,TODAY(),"Y"))</f>
        <v/>
      </c>
      <c r="S643" s="40" t="str">
        <f aca="false">IF($R643="","",INDEX(usia_label,MATCH($R643,usia_min,1)))</f>
        <v/>
      </c>
      <c r="T643" s="36"/>
      <c r="U643" s="41"/>
      <c r="V643" s="36"/>
      <c r="W643" s="36"/>
      <c r="X643" s="40" t="str">
        <f aca="false">IF($M643="","",$M643&amp;"#"&amp;COUNTIF($M$4:$M643,$M643))</f>
        <v/>
      </c>
      <c r="Y643" s="40" t="str">
        <f aca="false">IF($B643="","",IF($C643="","NIK kosong",IF(LEN($C643)&lt;&gt;16,"NIK bukan 16 digit",IF(COUNTIF($C$4:$C$2003,$C643&amp;"*")&gt;1,"NIK ganda",IF(AND($D643&lt;&gt;"",LEN($D643)&lt;&gt;16),"No. KK bukan 16 digit",IF(AND($F643="",$I643=""),"Alamat kosong",IF($N643="","Jabatan kosong",IF($O643="","No. HP kosong",IF(AND($R643&lt;&gt;"",$R643&lt;17),"Usia di bawah 17","")))))))))</f>
        <v/>
      </c>
      <c r="Z643" s="40" t="str">
        <f aca="false">IF($B643="","",IF(AND(OR(CARI!$C$5="",ISNUMBER(SEARCH(CARI!$C$5,$B643&amp;" "&amp;$C643&amp;" "&amp;$D643&amp;" "&amp;$O643&amp;" "&amp;$I643&amp;" "&amp;$F643&amp;" "&amp;$J643&amp;" "&amp;$K643&amp;" "&amp;$L643&amp;" "&amp;$V643))),OR(CARI!$C$6="",$F643=CARI!$C$6),OR(CARI!$C$7="",$G643=CARI!$C$7),OR(CARI!$C$8="",$T643=CARI!$C$8)),MAX($Z$3:Z642)+1,""))</f>
        <v/>
      </c>
      <c r="AA643" s="40" t="str">
        <f aca="false">IF($Y643="","",MAX($AA$3:AA642)+1)</f>
        <v/>
      </c>
      <c r="AB643" s="40" t="str">
        <f aca="false">IF($F643="","",$F643&amp;"#"&amp;COUNTIF($F$4:$F643,$F643))</f>
        <v/>
      </c>
      <c r="AC643" s="40" t="str">
        <f aca="false">IF($B643="","",IF(AND(OR(CETAK!$J$10="",$F643=CETAK!$J$10),OR(CETAK!$J$11="",$G643=CETAK!$J$11),OR(CETAK!$J$12="",$P643=CETAK!$J$12),OR(CETAK!$J$13="",$N643=CETAK!$J$13),OR(CETAK!$J$14="",$T643=CETAK!$J$14)),MAX($AC$3:AC642)+1,""))</f>
        <v/>
      </c>
      <c r="AD643" s="40" t="str">
        <f aca="false">IF($B643="","",IF(AND(OR(ABSENSI!$H$10="",$F643=ABSENSI!$H$10),OR(ABSENSI!$H$11="",$G643=ABSENSI!$H$11),OR(ABSENSI!$H$12="",$P643=ABSENSI!$H$12)),MAX($AD$3:AD642)+1,""))</f>
        <v/>
      </c>
      <c r="AE643" s="40" t="str">
        <f aca="false">IF($B643="","",IF(AND(OR(KARTU!$K$6="",$F643=KARTU!$K$6),OR(KARTU!$K$7="",$G643=KARTU!$K$7),OR(KARTU!$K$8="",$P643=KARTU!$K$8)),MAX($AE$3:AE642)+1,""))</f>
        <v/>
      </c>
    </row>
    <row r="644" customFormat="false" ht="15" hidden="false" customHeight="false" outlineLevel="0" collapsed="false">
      <c r="A644" s="35" t="str">
        <f aca="false">IF($B644="","",COUNTA($B$4:$B644))</f>
        <v/>
      </c>
      <c r="B644" s="36"/>
      <c r="C644" s="37"/>
      <c r="D644" s="37"/>
      <c r="E644" s="38"/>
      <c r="F644" s="36"/>
      <c r="G644" s="39"/>
      <c r="H644" s="39"/>
      <c r="I644" s="36"/>
      <c r="J644" s="36"/>
      <c r="K644" s="36"/>
      <c r="L644" s="36"/>
      <c r="M644" s="40" t="str">
        <f aca="false">IF($F644="","",$F644&amp;IF($G644="",""," - RT "&amp;$G644&amp;IF($H644="","","/"&amp;$H644)))</f>
        <v/>
      </c>
      <c r="N644" s="36"/>
      <c r="O644" s="37"/>
      <c r="P644" s="39"/>
      <c r="Q644" s="41"/>
      <c r="R644" s="35" t="str">
        <f aca="true">IF(OR($B644="",$Q644=""),"",DATEDIF($Q644,TODAY(),"Y"))</f>
        <v/>
      </c>
      <c r="S644" s="40" t="str">
        <f aca="false">IF($R644="","",INDEX(usia_label,MATCH($R644,usia_min,1)))</f>
        <v/>
      </c>
      <c r="T644" s="36"/>
      <c r="U644" s="41"/>
      <c r="V644" s="36"/>
      <c r="W644" s="36"/>
      <c r="X644" s="40" t="str">
        <f aca="false">IF($M644="","",$M644&amp;"#"&amp;COUNTIF($M$4:$M644,$M644))</f>
        <v/>
      </c>
      <c r="Y644" s="40" t="str">
        <f aca="false">IF($B644="","",IF($C644="","NIK kosong",IF(LEN($C644)&lt;&gt;16,"NIK bukan 16 digit",IF(COUNTIF($C$4:$C$2003,$C644&amp;"*")&gt;1,"NIK ganda",IF(AND($D644&lt;&gt;"",LEN($D644)&lt;&gt;16),"No. KK bukan 16 digit",IF(AND($F644="",$I644=""),"Alamat kosong",IF($N644="","Jabatan kosong",IF($O644="","No. HP kosong",IF(AND($R644&lt;&gt;"",$R644&lt;17),"Usia di bawah 17","")))))))))</f>
        <v/>
      </c>
      <c r="Z644" s="40" t="str">
        <f aca="false">IF($B644="","",IF(AND(OR(CARI!$C$5="",ISNUMBER(SEARCH(CARI!$C$5,$B644&amp;" "&amp;$C644&amp;" "&amp;$D644&amp;" "&amp;$O644&amp;" "&amp;$I644&amp;" "&amp;$F644&amp;" "&amp;$J644&amp;" "&amp;$K644&amp;" "&amp;$L644&amp;" "&amp;$V644))),OR(CARI!$C$6="",$F644=CARI!$C$6),OR(CARI!$C$7="",$G644=CARI!$C$7),OR(CARI!$C$8="",$T644=CARI!$C$8)),MAX($Z$3:Z643)+1,""))</f>
        <v/>
      </c>
      <c r="AA644" s="40" t="str">
        <f aca="false">IF($Y644="","",MAX($AA$3:AA643)+1)</f>
        <v/>
      </c>
      <c r="AB644" s="40" t="str">
        <f aca="false">IF($F644="","",$F644&amp;"#"&amp;COUNTIF($F$4:$F644,$F644))</f>
        <v/>
      </c>
      <c r="AC644" s="40" t="str">
        <f aca="false">IF($B644="","",IF(AND(OR(CETAK!$J$10="",$F644=CETAK!$J$10),OR(CETAK!$J$11="",$G644=CETAK!$J$11),OR(CETAK!$J$12="",$P644=CETAK!$J$12),OR(CETAK!$J$13="",$N644=CETAK!$J$13),OR(CETAK!$J$14="",$T644=CETAK!$J$14)),MAX($AC$3:AC643)+1,""))</f>
        <v/>
      </c>
      <c r="AD644" s="40" t="str">
        <f aca="false">IF($B644="","",IF(AND(OR(ABSENSI!$H$10="",$F644=ABSENSI!$H$10),OR(ABSENSI!$H$11="",$G644=ABSENSI!$H$11),OR(ABSENSI!$H$12="",$P644=ABSENSI!$H$12)),MAX($AD$3:AD643)+1,""))</f>
        <v/>
      </c>
      <c r="AE644" s="40" t="str">
        <f aca="false">IF($B644="","",IF(AND(OR(KARTU!$K$6="",$F644=KARTU!$K$6),OR(KARTU!$K$7="",$G644=KARTU!$K$7),OR(KARTU!$K$8="",$P644=KARTU!$K$8)),MAX($AE$3:AE643)+1,""))</f>
        <v/>
      </c>
    </row>
    <row r="645" customFormat="false" ht="15" hidden="false" customHeight="false" outlineLevel="0" collapsed="false">
      <c r="A645" s="35" t="str">
        <f aca="false">IF($B645="","",COUNTA($B$4:$B645))</f>
        <v/>
      </c>
      <c r="B645" s="36"/>
      <c r="C645" s="37"/>
      <c r="D645" s="37"/>
      <c r="E645" s="38"/>
      <c r="F645" s="36"/>
      <c r="G645" s="39"/>
      <c r="H645" s="39"/>
      <c r="I645" s="36"/>
      <c r="J645" s="36"/>
      <c r="K645" s="36"/>
      <c r="L645" s="36"/>
      <c r="M645" s="40" t="str">
        <f aca="false">IF($F645="","",$F645&amp;IF($G645="",""," - RT "&amp;$G645&amp;IF($H645="","","/"&amp;$H645)))</f>
        <v/>
      </c>
      <c r="N645" s="36"/>
      <c r="O645" s="37"/>
      <c r="P645" s="39"/>
      <c r="Q645" s="41"/>
      <c r="R645" s="35" t="str">
        <f aca="true">IF(OR($B645="",$Q645=""),"",DATEDIF($Q645,TODAY(),"Y"))</f>
        <v/>
      </c>
      <c r="S645" s="40" t="str">
        <f aca="false">IF($R645="","",INDEX(usia_label,MATCH($R645,usia_min,1)))</f>
        <v/>
      </c>
      <c r="T645" s="36"/>
      <c r="U645" s="41"/>
      <c r="V645" s="36"/>
      <c r="W645" s="36"/>
      <c r="X645" s="40" t="str">
        <f aca="false">IF($M645="","",$M645&amp;"#"&amp;COUNTIF($M$4:$M645,$M645))</f>
        <v/>
      </c>
      <c r="Y645" s="40" t="str">
        <f aca="false">IF($B645="","",IF($C645="","NIK kosong",IF(LEN($C645)&lt;&gt;16,"NIK bukan 16 digit",IF(COUNTIF($C$4:$C$2003,$C645&amp;"*")&gt;1,"NIK ganda",IF(AND($D645&lt;&gt;"",LEN($D645)&lt;&gt;16),"No. KK bukan 16 digit",IF(AND($F645="",$I645=""),"Alamat kosong",IF($N645="","Jabatan kosong",IF($O645="","No. HP kosong",IF(AND($R645&lt;&gt;"",$R645&lt;17),"Usia di bawah 17","")))))))))</f>
        <v/>
      </c>
      <c r="Z645" s="40" t="str">
        <f aca="false">IF($B645="","",IF(AND(OR(CARI!$C$5="",ISNUMBER(SEARCH(CARI!$C$5,$B645&amp;" "&amp;$C645&amp;" "&amp;$D645&amp;" "&amp;$O645&amp;" "&amp;$I645&amp;" "&amp;$F645&amp;" "&amp;$J645&amp;" "&amp;$K645&amp;" "&amp;$L645&amp;" "&amp;$V645))),OR(CARI!$C$6="",$F645=CARI!$C$6),OR(CARI!$C$7="",$G645=CARI!$C$7),OR(CARI!$C$8="",$T645=CARI!$C$8)),MAX($Z$3:Z644)+1,""))</f>
        <v/>
      </c>
      <c r="AA645" s="40" t="str">
        <f aca="false">IF($Y645="","",MAX($AA$3:AA644)+1)</f>
        <v/>
      </c>
      <c r="AB645" s="40" t="str">
        <f aca="false">IF($F645="","",$F645&amp;"#"&amp;COUNTIF($F$4:$F645,$F645))</f>
        <v/>
      </c>
      <c r="AC645" s="40" t="str">
        <f aca="false">IF($B645="","",IF(AND(OR(CETAK!$J$10="",$F645=CETAK!$J$10),OR(CETAK!$J$11="",$G645=CETAK!$J$11),OR(CETAK!$J$12="",$P645=CETAK!$J$12),OR(CETAK!$J$13="",$N645=CETAK!$J$13),OR(CETAK!$J$14="",$T645=CETAK!$J$14)),MAX($AC$3:AC644)+1,""))</f>
        <v/>
      </c>
      <c r="AD645" s="40" t="str">
        <f aca="false">IF($B645="","",IF(AND(OR(ABSENSI!$H$10="",$F645=ABSENSI!$H$10),OR(ABSENSI!$H$11="",$G645=ABSENSI!$H$11),OR(ABSENSI!$H$12="",$P645=ABSENSI!$H$12)),MAX($AD$3:AD644)+1,""))</f>
        <v/>
      </c>
      <c r="AE645" s="40" t="str">
        <f aca="false">IF($B645="","",IF(AND(OR(KARTU!$K$6="",$F645=KARTU!$K$6),OR(KARTU!$K$7="",$G645=KARTU!$K$7),OR(KARTU!$K$8="",$P645=KARTU!$K$8)),MAX($AE$3:AE644)+1,""))</f>
        <v/>
      </c>
    </row>
    <row r="646" customFormat="false" ht="15" hidden="false" customHeight="false" outlineLevel="0" collapsed="false">
      <c r="A646" s="35" t="str">
        <f aca="false">IF($B646="","",COUNTA($B$4:$B646))</f>
        <v/>
      </c>
      <c r="B646" s="36"/>
      <c r="C646" s="37"/>
      <c r="D646" s="37"/>
      <c r="E646" s="38"/>
      <c r="F646" s="36"/>
      <c r="G646" s="39"/>
      <c r="H646" s="39"/>
      <c r="I646" s="36"/>
      <c r="J646" s="36"/>
      <c r="K646" s="36"/>
      <c r="L646" s="36"/>
      <c r="M646" s="40" t="str">
        <f aca="false">IF($F646="","",$F646&amp;IF($G646="",""," - RT "&amp;$G646&amp;IF($H646="","","/"&amp;$H646)))</f>
        <v/>
      </c>
      <c r="N646" s="36"/>
      <c r="O646" s="37"/>
      <c r="P646" s="39"/>
      <c r="Q646" s="41"/>
      <c r="R646" s="35" t="str">
        <f aca="true">IF(OR($B646="",$Q646=""),"",DATEDIF($Q646,TODAY(),"Y"))</f>
        <v/>
      </c>
      <c r="S646" s="40" t="str">
        <f aca="false">IF($R646="","",INDEX(usia_label,MATCH($R646,usia_min,1)))</f>
        <v/>
      </c>
      <c r="T646" s="36"/>
      <c r="U646" s="41"/>
      <c r="V646" s="36"/>
      <c r="W646" s="36"/>
      <c r="X646" s="40" t="str">
        <f aca="false">IF($M646="","",$M646&amp;"#"&amp;COUNTIF($M$4:$M646,$M646))</f>
        <v/>
      </c>
      <c r="Y646" s="40" t="str">
        <f aca="false">IF($B646="","",IF($C646="","NIK kosong",IF(LEN($C646)&lt;&gt;16,"NIK bukan 16 digit",IF(COUNTIF($C$4:$C$2003,$C646&amp;"*")&gt;1,"NIK ganda",IF(AND($D646&lt;&gt;"",LEN($D646)&lt;&gt;16),"No. KK bukan 16 digit",IF(AND($F646="",$I646=""),"Alamat kosong",IF($N646="","Jabatan kosong",IF($O646="","No. HP kosong",IF(AND($R646&lt;&gt;"",$R646&lt;17),"Usia di bawah 17","")))))))))</f>
        <v/>
      </c>
      <c r="Z646" s="40" t="str">
        <f aca="false">IF($B646="","",IF(AND(OR(CARI!$C$5="",ISNUMBER(SEARCH(CARI!$C$5,$B646&amp;" "&amp;$C646&amp;" "&amp;$D646&amp;" "&amp;$O646&amp;" "&amp;$I646&amp;" "&amp;$F646&amp;" "&amp;$J646&amp;" "&amp;$K646&amp;" "&amp;$L646&amp;" "&amp;$V646))),OR(CARI!$C$6="",$F646=CARI!$C$6),OR(CARI!$C$7="",$G646=CARI!$C$7),OR(CARI!$C$8="",$T646=CARI!$C$8)),MAX($Z$3:Z645)+1,""))</f>
        <v/>
      </c>
      <c r="AA646" s="40" t="str">
        <f aca="false">IF($Y646="","",MAX($AA$3:AA645)+1)</f>
        <v/>
      </c>
      <c r="AB646" s="40" t="str">
        <f aca="false">IF($F646="","",$F646&amp;"#"&amp;COUNTIF($F$4:$F646,$F646))</f>
        <v/>
      </c>
      <c r="AC646" s="40" t="str">
        <f aca="false">IF($B646="","",IF(AND(OR(CETAK!$J$10="",$F646=CETAK!$J$10),OR(CETAK!$J$11="",$G646=CETAK!$J$11),OR(CETAK!$J$12="",$P646=CETAK!$J$12),OR(CETAK!$J$13="",$N646=CETAK!$J$13),OR(CETAK!$J$14="",$T646=CETAK!$J$14)),MAX($AC$3:AC645)+1,""))</f>
        <v/>
      </c>
      <c r="AD646" s="40" t="str">
        <f aca="false">IF($B646="","",IF(AND(OR(ABSENSI!$H$10="",$F646=ABSENSI!$H$10),OR(ABSENSI!$H$11="",$G646=ABSENSI!$H$11),OR(ABSENSI!$H$12="",$P646=ABSENSI!$H$12)),MAX($AD$3:AD645)+1,""))</f>
        <v/>
      </c>
      <c r="AE646" s="40" t="str">
        <f aca="false">IF($B646="","",IF(AND(OR(KARTU!$K$6="",$F646=KARTU!$K$6),OR(KARTU!$K$7="",$G646=KARTU!$K$7),OR(KARTU!$K$8="",$P646=KARTU!$K$8)),MAX($AE$3:AE645)+1,""))</f>
        <v/>
      </c>
    </row>
    <row r="647" customFormat="false" ht="15" hidden="false" customHeight="false" outlineLevel="0" collapsed="false">
      <c r="A647" s="35" t="str">
        <f aca="false">IF($B647="","",COUNTA($B$4:$B647))</f>
        <v/>
      </c>
      <c r="B647" s="36"/>
      <c r="C647" s="37"/>
      <c r="D647" s="37"/>
      <c r="E647" s="38"/>
      <c r="F647" s="36"/>
      <c r="G647" s="39"/>
      <c r="H647" s="39"/>
      <c r="I647" s="36"/>
      <c r="J647" s="36"/>
      <c r="K647" s="36"/>
      <c r="L647" s="36"/>
      <c r="M647" s="40" t="str">
        <f aca="false">IF($F647="","",$F647&amp;IF($G647="",""," - RT "&amp;$G647&amp;IF($H647="","","/"&amp;$H647)))</f>
        <v/>
      </c>
      <c r="N647" s="36"/>
      <c r="O647" s="37"/>
      <c r="P647" s="39"/>
      <c r="Q647" s="41"/>
      <c r="R647" s="35" t="str">
        <f aca="true">IF(OR($B647="",$Q647=""),"",DATEDIF($Q647,TODAY(),"Y"))</f>
        <v/>
      </c>
      <c r="S647" s="40" t="str">
        <f aca="false">IF($R647="","",INDEX(usia_label,MATCH($R647,usia_min,1)))</f>
        <v/>
      </c>
      <c r="T647" s="36"/>
      <c r="U647" s="41"/>
      <c r="V647" s="36"/>
      <c r="W647" s="36"/>
      <c r="X647" s="40" t="str">
        <f aca="false">IF($M647="","",$M647&amp;"#"&amp;COUNTIF($M$4:$M647,$M647))</f>
        <v/>
      </c>
      <c r="Y647" s="40" t="str">
        <f aca="false">IF($B647="","",IF($C647="","NIK kosong",IF(LEN($C647)&lt;&gt;16,"NIK bukan 16 digit",IF(COUNTIF($C$4:$C$2003,$C647&amp;"*")&gt;1,"NIK ganda",IF(AND($D647&lt;&gt;"",LEN($D647)&lt;&gt;16),"No. KK bukan 16 digit",IF(AND($F647="",$I647=""),"Alamat kosong",IF($N647="","Jabatan kosong",IF($O647="","No. HP kosong",IF(AND($R647&lt;&gt;"",$R647&lt;17),"Usia di bawah 17","")))))))))</f>
        <v/>
      </c>
      <c r="Z647" s="40" t="str">
        <f aca="false">IF($B647="","",IF(AND(OR(CARI!$C$5="",ISNUMBER(SEARCH(CARI!$C$5,$B647&amp;" "&amp;$C647&amp;" "&amp;$D647&amp;" "&amp;$O647&amp;" "&amp;$I647&amp;" "&amp;$F647&amp;" "&amp;$J647&amp;" "&amp;$K647&amp;" "&amp;$L647&amp;" "&amp;$V647))),OR(CARI!$C$6="",$F647=CARI!$C$6),OR(CARI!$C$7="",$G647=CARI!$C$7),OR(CARI!$C$8="",$T647=CARI!$C$8)),MAX($Z$3:Z646)+1,""))</f>
        <v/>
      </c>
      <c r="AA647" s="40" t="str">
        <f aca="false">IF($Y647="","",MAX($AA$3:AA646)+1)</f>
        <v/>
      </c>
      <c r="AB647" s="40" t="str">
        <f aca="false">IF($F647="","",$F647&amp;"#"&amp;COUNTIF($F$4:$F647,$F647))</f>
        <v/>
      </c>
      <c r="AC647" s="40" t="str">
        <f aca="false">IF($B647="","",IF(AND(OR(CETAK!$J$10="",$F647=CETAK!$J$10),OR(CETAK!$J$11="",$G647=CETAK!$J$11),OR(CETAK!$J$12="",$P647=CETAK!$J$12),OR(CETAK!$J$13="",$N647=CETAK!$J$13),OR(CETAK!$J$14="",$T647=CETAK!$J$14)),MAX($AC$3:AC646)+1,""))</f>
        <v/>
      </c>
      <c r="AD647" s="40" t="str">
        <f aca="false">IF($B647="","",IF(AND(OR(ABSENSI!$H$10="",$F647=ABSENSI!$H$10),OR(ABSENSI!$H$11="",$G647=ABSENSI!$H$11),OR(ABSENSI!$H$12="",$P647=ABSENSI!$H$12)),MAX($AD$3:AD646)+1,""))</f>
        <v/>
      </c>
      <c r="AE647" s="40" t="str">
        <f aca="false">IF($B647="","",IF(AND(OR(KARTU!$K$6="",$F647=KARTU!$K$6),OR(KARTU!$K$7="",$G647=KARTU!$K$7),OR(KARTU!$K$8="",$P647=KARTU!$K$8)),MAX($AE$3:AE646)+1,""))</f>
        <v/>
      </c>
    </row>
    <row r="648" customFormat="false" ht="15" hidden="false" customHeight="false" outlineLevel="0" collapsed="false">
      <c r="A648" s="35" t="str">
        <f aca="false">IF($B648="","",COUNTA($B$4:$B648))</f>
        <v/>
      </c>
      <c r="B648" s="36"/>
      <c r="C648" s="37"/>
      <c r="D648" s="37"/>
      <c r="E648" s="38"/>
      <c r="F648" s="36"/>
      <c r="G648" s="39"/>
      <c r="H648" s="39"/>
      <c r="I648" s="36"/>
      <c r="J648" s="36"/>
      <c r="K648" s="36"/>
      <c r="L648" s="36"/>
      <c r="M648" s="40" t="str">
        <f aca="false">IF($F648="","",$F648&amp;IF($G648="",""," - RT "&amp;$G648&amp;IF($H648="","","/"&amp;$H648)))</f>
        <v/>
      </c>
      <c r="N648" s="36"/>
      <c r="O648" s="37"/>
      <c r="P648" s="39"/>
      <c r="Q648" s="41"/>
      <c r="R648" s="35" t="str">
        <f aca="true">IF(OR($B648="",$Q648=""),"",DATEDIF($Q648,TODAY(),"Y"))</f>
        <v/>
      </c>
      <c r="S648" s="40" t="str">
        <f aca="false">IF($R648="","",INDEX(usia_label,MATCH($R648,usia_min,1)))</f>
        <v/>
      </c>
      <c r="T648" s="36"/>
      <c r="U648" s="41"/>
      <c r="V648" s="36"/>
      <c r="W648" s="36"/>
      <c r="X648" s="40" t="str">
        <f aca="false">IF($M648="","",$M648&amp;"#"&amp;COUNTIF($M$4:$M648,$M648))</f>
        <v/>
      </c>
      <c r="Y648" s="40" t="str">
        <f aca="false">IF($B648="","",IF($C648="","NIK kosong",IF(LEN($C648)&lt;&gt;16,"NIK bukan 16 digit",IF(COUNTIF($C$4:$C$2003,$C648&amp;"*")&gt;1,"NIK ganda",IF(AND($D648&lt;&gt;"",LEN($D648)&lt;&gt;16),"No. KK bukan 16 digit",IF(AND($F648="",$I648=""),"Alamat kosong",IF($N648="","Jabatan kosong",IF($O648="","No. HP kosong",IF(AND($R648&lt;&gt;"",$R648&lt;17),"Usia di bawah 17","")))))))))</f>
        <v/>
      </c>
      <c r="Z648" s="40" t="str">
        <f aca="false">IF($B648="","",IF(AND(OR(CARI!$C$5="",ISNUMBER(SEARCH(CARI!$C$5,$B648&amp;" "&amp;$C648&amp;" "&amp;$D648&amp;" "&amp;$O648&amp;" "&amp;$I648&amp;" "&amp;$F648&amp;" "&amp;$J648&amp;" "&amp;$K648&amp;" "&amp;$L648&amp;" "&amp;$V648))),OR(CARI!$C$6="",$F648=CARI!$C$6),OR(CARI!$C$7="",$G648=CARI!$C$7),OR(CARI!$C$8="",$T648=CARI!$C$8)),MAX($Z$3:Z647)+1,""))</f>
        <v/>
      </c>
      <c r="AA648" s="40" t="str">
        <f aca="false">IF($Y648="","",MAX($AA$3:AA647)+1)</f>
        <v/>
      </c>
      <c r="AB648" s="40" t="str">
        <f aca="false">IF($F648="","",$F648&amp;"#"&amp;COUNTIF($F$4:$F648,$F648))</f>
        <v/>
      </c>
      <c r="AC648" s="40" t="str">
        <f aca="false">IF($B648="","",IF(AND(OR(CETAK!$J$10="",$F648=CETAK!$J$10),OR(CETAK!$J$11="",$G648=CETAK!$J$11),OR(CETAK!$J$12="",$P648=CETAK!$J$12),OR(CETAK!$J$13="",$N648=CETAK!$J$13),OR(CETAK!$J$14="",$T648=CETAK!$J$14)),MAX($AC$3:AC647)+1,""))</f>
        <v/>
      </c>
      <c r="AD648" s="40" t="str">
        <f aca="false">IF($B648="","",IF(AND(OR(ABSENSI!$H$10="",$F648=ABSENSI!$H$10),OR(ABSENSI!$H$11="",$G648=ABSENSI!$H$11),OR(ABSENSI!$H$12="",$P648=ABSENSI!$H$12)),MAX($AD$3:AD647)+1,""))</f>
        <v/>
      </c>
      <c r="AE648" s="40" t="str">
        <f aca="false">IF($B648="","",IF(AND(OR(KARTU!$K$6="",$F648=KARTU!$K$6),OR(KARTU!$K$7="",$G648=KARTU!$K$7),OR(KARTU!$K$8="",$P648=KARTU!$K$8)),MAX($AE$3:AE647)+1,""))</f>
        <v/>
      </c>
    </row>
    <row r="649" customFormat="false" ht="15" hidden="false" customHeight="false" outlineLevel="0" collapsed="false">
      <c r="A649" s="35" t="str">
        <f aca="false">IF($B649="","",COUNTA($B$4:$B649))</f>
        <v/>
      </c>
      <c r="B649" s="36"/>
      <c r="C649" s="37"/>
      <c r="D649" s="37"/>
      <c r="E649" s="38"/>
      <c r="F649" s="36"/>
      <c r="G649" s="39"/>
      <c r="H649" s="39"/>
      <c r="I649" s="36"/>
      <c r="J649" s="36"/>
      <c r="K649" s="36"/>
      <c r="L649" s="36"/>
      <c r="M649" s="40" t="str">
        <f aca="false">IF($F649="","",$F649&amp;IF($G649="",""," - RT "&amp;$G649&amp;IF($H649="","","/"&amp;$H649)))</f>
        <v/>
      </c>
      <c r="N649" s="36"/>
      <c r="O649" s="37"/>
      <c r="P649" s="39"/>
      <c r="Q649" s="41"/>
      <c r="R649" s="35" t="str">
        <f aca="true">IF(OR($B649="",$Q649=""),"",DATEDIF($Q649,TODAY(),"Y"))</f>
        <v/>
      </c>
      <c r="S649" s="40" t="str">
        <f aca="false">IF($R649="","",INDEX(usia_label,MATCH($R649,usia_min,1)))</f>
        <v/>
      </c>
      <c r="T649" s="36"/>
      <c r="U649" s="41"/>
      <c r="V649" s="36"/>
      <c r="W649" s="36"/>
      <c r="X649" s="40" t="str">
        <f aca="false">IF($M649="","",$M649&amp;"#"&amp;COUNTIF($M$4:$M649,$M649))</f>
        <v/>
      </c>
      <c r="Y649" s="40" t="str">
        <f aca="false">IF($B649="","",IF($C649="","NIK kosong",IF(LEN($C649)&lt;&gt;16,"NIK bukan 16 digit",IF(COUNTIF($C$4:$C$2003,$C649&amp;"*")&gt;1,"NIK ganda",IF(AND($D649&lt;&gt;"",LEN($D649)&lt;&gt;16),"No. KK bukan 16 digit",IF(AND($F649="",$I649=""),"Alamat kosong",IF($N649="","Jabatan kosong",IF($O649="","No. HP kosong",IF(AND($R649&lt;&gt;"",$R649&lt;17),"Usia di bawah 17","")))))))))</f>
        <v/>
      </c>
      <c r="Z649" s="40" t="str">
        <f aca="false">IF($B649="","",IF(AND(OR(CARI!$C$5="",ISNUMBER(SEARCH(CARI!$C$5,$B649&amp;" "&amp;$C649&amp;" "&amp;$D649&amp;" "&amp;$O649&amp;" "&amp;$I649&amp;" "&amp;$F649&amp;" "&amp;$J649&amp;" "&amp;$K649&amp;" "&amp;$L649&amp;" "&amp;$V649))),OR(CARI!$C$6="",$F649=CARI!$C$6),OR(CARI!$C$7="",$G649=CARI!$C$7),OR(CARI!$C$8="",$T649=CARI!$C$8)),MAX($Z$3:Z648)+1,""))</f>
        <v/>
      </c>
      <c r="AA649" s="40" t="str">
        <f aca="false">IF($Y649="","",MAX($AA$3:AA648)+1)</f>
        <v/>
      </c>
      <c r="AB649" s="40" t="str">
        <f aca="false">IF($F649="","",$F649&amp;"#"&amp;COUNTIF($F$4:$F649,$F649))</f>
        <v/>
      </c>
      <c r="AC649" s="40" t="str">
        <f aca="false">IF($B649="","",IF(AND(OR(CETAK!$J$10="",$F649=CETAK!$J$10),OR(CETAK!$J$11="",$G649=CETAK!$J$11),OR(CETAK!$J$12="",$P649=CETAK!$J$12),OR(CETAK!$J$13="",$N649=CETAK!$J$13),OR(CETAK!$J$14="",$T649=CETAK!$J$14)),MAX($AC$3:AC648)+1,""))</f>
        <v/>
      </c>
      <c r="AD649" s="40" t="str">
        <f aca="false">IF($B649="","",IF(AND(OR(ABSENSI!$H$10="",$F649=ABSENSI!$H$10),OR(ABSENSI!$H$11="",$G649=ABSENSI!$H$11),OR(ABSENSI!$H$12="",$P649=ABSENSI!$H$12)),MAX($AD$3:AD648)+1,""))</f>
        <v/>
      </c>
      <c r="AE649" s="40" t="str">
        <f aca="false">IF($B649="","",IF(AND(OR(KARTU!$K$6="",$F649=KARTU!$K$6),OR(KARTU!$K$7="",$G649=KARTU!$K$7),OR(KARTU!$K$8="",$P649=KARTU!$K$8)),MAX($AE$3:AE648)+1,""))</f>
        <v/>
      </c>
    </row>
    <row r="650" customFormat="false" ht="15" hidden="false" customHeight="false" outlineLevel="0" collapsed="false">
      <c r="A650" s="35" t="str">
        <f aca="false">IF($B650="","",COUNTA($B$4:$B650))</f>
        <v/>
      </c>
      <c r="B650" s="36"/>
      <c r="C650" s="37"/>
      <c r="D650" s="37"/>
      <c r="E650" s="38"/>
      <c r="F650" s="36"/>
      <c r="G650" s="39"/>
      <c r="H650" s="39"/>
      <c r="I650" s="36"/>
      <c r="J650" s="36"/>
      <c r="K650" s="36"/>
      <c r="L650" s="36"/>
      <c r="M650" s="40" t="str">
        <f aca="false">IF($F650="","",$F650&amp;IF($G650="",""," - RT "&amp;$G650&amp;IF($H650="","","/"&amp;$H650)))</f>
        <v/>
      </c>
      <c r="N650" s="36"/>
      <c r="O650" s="37"/>
      <c r="P650" s="39"/>
      <c r="Q650" s="41"/>
      <c r="R650" s="35" t="str">
        <f aca="true">IF(OR($B650="",$Q650=""),"",DATEDIF($Q650,TODAY(),"Y"))</f>
        <v/>
      </c>
      <c r="S650" s="40" t="str">
        <f aca="false">IF($R650="","",INDEX(usia_label,MATCH($R650,usia_min,1)))</f>
        <v/>
      </c>
      <c r="T650" s="36"/>
      <c r="U650" s="41"/>
      <c r="V650" s="36"/>
      <c r="W650" s="36"/>
      <c r="X650" s="40" t="str">
        <f aca="false">IF($M650="","",$M650&amp;"#"&amp;COUNTIF($M$4:$M650,$M650))</f>
        <v/>
      </c>
      <c r="Y650" s="40" t="str">
        <f aca="false">IF($B650="","",IF($C650="","NIK kosong",IF(LEN($C650)&lt;&gt;16,"NIK bukan 16 digit",IF(COUNTIF($C$4:$C$2003,$C650&amp;"*")&gt;1,"NIK ganda",IF(AND($D650&lt;&gt;"",LEN($D650)&lt;&gt;16),"No. KK bukan 16 digit",IF(AND($F650="",$I650=""),"Alamat kosong",IF($N650="","Jabatan kosong",IF($O650="","No. HP kosong",IF(AND($R650&lt;&gt;"",$R650&lt;17),"Usia di bawah 17","")))))))))</f>
        <v/>
      </c>
      <c r="Z650" s="40" t="str">
        <f aca="false">IF($B650="","",IF(AND(OR(CARI!$C$5="",ISNUMBER(SEARCH(CARI!$C$5,$B650&amp;" "&amp;$C650&amp;" "&amp;$D650&amp;" "&amp;$O650&amp;" "&amp;$I650&amp;" "&amp;$F650&amp;" "&amp;$J650&amp;" "&amp;$K650&amp;" "&amp;$L650&amp;" "&amp;$V650))),OR(CARI!$C$6="",$F650=CARI!$C$6),OR(CARI!$C$7="",$G650=CARI!$C$7),OR(CARI!$C$8="",$T650=CARI!$C$8)),MAX($Z$3:Z649)+1,""))</f>
        <v/>
      </c>
      <c r="AA650" s="40" t="str">
        <f aca="false">IF($Y650="","",MAX($AA$3:AA649)+1)</f>
        <v/>
      </c>
      <c r="AB650" s="40" t="str">
        <f aca="false">IF($F650="","",$F650&amp;"#"&amp;COUNTIF($F$4:$F650,$F650))</f>
        <v/>
      </c>
      <c r="AC650" s="40" t="str">
        <f aca="false">IF($B650="","",IF(AND(OR(CETAK!$J$10="",$F650=CETAK!$J$10),OR(CETAK!$J$11="",$G650=CETAK!$J$11),OR(CETAK!$J$12="",$P650=CETAK!$J$12),OR(CETAK!$J$13="",$N650=CETAK!$J$13),OR(CETAK!$J$14="",$T650=CETAK!$J$14)),MAX($AC$3:AC649)+1,""))</f>
        <v/>
      </c>
      <c r="AD650" s="40" t="str">
        <f aca="false">IF($B650="","",IF(AND(OR(ABSENSI!$H$10="",$F650=ABSENSI!$H$10),OR(ABSENSI!$H$11="",$G650=ABSENSI!$H$11),OR(ABSENSI!$H$12="",$P650=ABSENSI!$H$12)),MAX($AD$3:AD649)+1,""))</f>
        <v/>
      </c>
      <c r="AE650" s="40" t="str">
        <f aca="false">IF($B650="","",IF(AND(OR(KARTU!$K$6="",$F650=KARTU!$K$6),OR(KARTU!$K$7="",$G650=KARTU!$K$7),OR(KARTU!$K$8="",$P650=KARTU!$K$8)),MAX($AE$3:AE649)+1,""))</f>
        <v/>
      </c>
    </row>
    <row r="651" customFormat="false" ht="15" hidden="false" customHeight="false" outlineLevel="0" collapsed="false">
      <c r="A651" s="35" t="str">
        <f aca="false">IF($B651="","",COUNTA($B$4:$B651))</f>
        <v/>
      </c>
      <c r="B651" s="36"/>
      <c r="C651" s="37"/>
      <c r="D651" s="37"/>
      <c r="E651" s="38"/>
      <c r="F651" s="36"/>
      <c r="G651" s="39"/>
      <c r="H651" s="39"/>
      <c r="I651" s="36"/>
      <c r="J651" s="36"/>
      <c r="K651" s="36"/>
      <c r="L651" s="36"/>
      <c r="M651" s="40" t="str">
        <f aca="false">IF($F651="","",$F651&amp;IF($G651="",""," - RT "&amp;$G651&amp;IF($H651="","","/"&amp;$H651)))</f>
        <v/>
      </c>
      <c r="N651" s="36"/>
      <c r="O651" s="37"/>
      <c r="P651" s="39"/>
      <c r="Q651" s="41"/>
      <c r="R651" s="35" t="str">
        <f aca="true">IF(OR($B651="",$Q651=""),"",DATEDIF($Q651,TODAY(),"Y"))</f>
        <v/>
      </c>
      <c r="S651" s="40" t="str">
        <f aca="false">IF($R651="","",INDEX(usia_label,MATCH($R651,usia_min,1)))</f>
        <v/>
      </c>
      <c r="T651" s="36"/>
      <c r="U651" s="41"/>
      <c r="V651" s="36"/>
      <c r="W651" s="36"/>
      <c r="X651" s="40" t="str">
        <f aca="false">IF($M651="","",$M651&amp;"#"&amp;COUNTIF($M$4:$M651,$M651))</f>
        <v/>
      </c>
      <c r="Y651" s="40" t="str">
        <f aca="false">IF($B651="","",IF($C651="","NIK kosong",IF(LEN($C651)&lt;&gt;16,"NIK bukan 16 digit",IF(COUNTIF($C$4:$C$2003,$C651&amp;"*")&gt;1,"NIK ganda",IF(AND($D651&lt;&gt;"",LEN($D651)&lt;&gt;16),"No. KK bukan 16 digit",IF(AND($F651="",$I651=""),"Alamat kosong",IF($N651="","Jabatan kosong",IF($O651="","No. HP kosong",IF(AND($R651&lt;&gt;"",$R651&lt;17),"Usia di bawah 17","")))))))))</f>
        <v/>
      </c>
      <c r="Z651" s="40" t="str">
        <f aca="false">IF($B651="","",IF(AND(OR(CARI!$C$5="",ISNUMBER(SEARCH(CARI!$C$5,$B651&amp;" "&amp;$C651&amp;" "&amp;$D651&amp;" "&amp;$O651&amp;" "&amp;$I651&amp;" "&amp;$F651&amp;" "&amp;$J651&amp;" "&amp;$K651&amp;" "&amp;$L651&amp;" "&amp;$V651))),OR(CARI!$C$6="",$F651=CARI!$C$6),OR(CARI!$C$7="",$G651=CARI!$C$7),OR(CARI!$C$8="",$T651=CARI!$C$8)),MAX($Z$3:Z650)+1,""))</f>
        <v/>
      </c>
      <c r="AA651" s="40" t="str">
        <f aca="false">IF($Y651="","",MAX($AA$3:AA650)+1)</f>
        <v/>
      </c>
      <c r="AB651" s="40" t="str">
        <f aca="false">IF($F651="","",$F651&amp;"#"&amp;COUNTIF($F$4:$F651,$F651))</f>
        <v/>
      </c>
      <c r="AC651" s="40" t="str">
        <f aca="false">IF($B651="","",IF(AND(OR(CETAK!$J$10="",$F651=CETAK!$J$10),OR(CETAK!$J$11="",$G651=CETAK!$J$11),OR(CETAK!$J$12="",$P651=CETAK!$J$12),OR(CETAK!$J$13="",$N651=CETAK!$J$13),OR(CETAK!$J$14="",$T651=CETAK!$J$14)),MAX($AC$3:AC650)+1,""))</f>
        <v/>
      </c>
      <c r="AD651" s="40" t="str">
        <f aca="false">IF($B651="","",IF(AND(OR(ABSENSI!$H$10="",$F651=ABSENSI!$H$10),OR(ABSENSI!$H$11="",$G651=ABSENSI!$H$11),OR(ABSENSI!$H$12="",$P651=ABSENSI!$H$12)),MAX($AD$3:AD650)+1,""))</f>
        <v/>
      </c>
      <c r="AE651" s="40" t="str">
        <f aca="false">IF($B651="","",IF(AND(OR(KARTU!$K$6="",$F651=KARTU!$K$6),OR(KARTU!$K$7="",$G651=KARTU!$K$7),OR(KARTU!$K$8="",$P651=KARTU!$K$8)),MAX($AE$3:AE650)+1,""))</f>
        <v/>
      </c>
    </row>
    <row r="652" customFormat="false" ht="15" hidden="false" customHeight="false" outlineLevel="0" collapsed="false">
      <c r="A652" s="35" t="str">
        <f aca="false">IF($B652="","",COUNTA($B$4:$B652))</f>
        <v/>
      </c>
      <c r="B652" s="36"/>
      <c r="C652" s="37"/>
      <c r="D652" s="37"/>
      <c r="E652" s="38"/>
      <c r="F652" s="36"/>
      <c r="G652" s="39"/>
      <c r="H652" s="39"/>
      <c r="I652" s="36"/>
      <c r="J652" s="36"/>
      <c r="K652" s="36"/>
      <c r="L652" s="36"/>
      <c r="M652" s="40" t="str">
        <f aca="false">IF($F652="","",$F652&amp;IF($G652="",""," - RT "&amp;$G652&amp;IF($H652="","","/"&amp;$H652)))</f>
        <v/>
      </c>
      <c r="N652" s="36"/>
      <c r="O652" s="37"/>
      <c r="P652" s="39"/>
      <c r="Q652" s="41"/>
      <c r="R652" s="35" t="str">
        <f aca="true">IF(OR($B652="",$Q652=""),"",DATEDIF($Q652,TODAY(),"Y"))</f>
        <v/>
      </c>
      <c r="S652" s="40" t="str">
        <f aca="false">IF($R652="","",INDEX(usia_label,MATCH($R652,usia_min,1)))</f>
        <v/>
      </c>
      <c r="T652" s="36"/>
      <c r="U652" s="41"/>
      <c r="V652" s="36"/>
      <c r="W652" s="36"/>
      <c r="X652" s="40" t="str">
        <f aca="false">IF($M652="","",$M652&amp;"#"&amp;COUNTIF($M$4:$M652,$M652))</f>
        <v/>
      </c>
      <c r="Y652" s="40" t="str">
        <f aca="false">IF($B652="","",IF($C652="","NIK kosong",IF(LEN($C652)&lt;&gt;16,"NIK bukan 16 digit",IF(COUNTIF($C$4:$C$2003,$C652&amp;"*")&gt;1,"NIK ganda",IF(AND($D652&lt;&gt;"",LEN($D652)&lt;&gt;16),"No. KK bukan 16 digit",IF(AND($F652="",$I652=""),"Alamat kosong",IF($N652="","Jabatan kosong",IF($O652="","No. HP kosong",IF(AND($R652&lt;&gt;"",$R652&lt;17),"Usia di bawah 17","")))))))))</f>
        <v/>
      </c>
      <c r="Z652" s="40" t="str">
        <f aca="false">IF($B652="","",IF(AND(OR(CARI!$C$5="",ISNUMBER(SEARCH(CARI!$C$5,$B652&amp;" "&amp;$C652&amp;" "&amp;$D652&amp;" "&amp;$O652&amp;" "&amp;$I652&amp;" "&amp;$F652&amp;" "&amp;$J652&amp;" "&amp;$K652&amp;" "&amp;$L652&amp;" "&amp;$V652))),OR(CARI!$C$6="",$F652=CARI!$C$6),OR(CARI!$C$7="",$G652=CARI!$C$7),OR(CARI!$C$8="",$T652=CARI!$C$8)),MAX($Z$3:Z651)+1,""))</f>
        <v/>
      </c>
      <c r="AA652" s="40" t="str">
        <f aca="false">IF($Y652="","",MAX($AA$3:AA651)+1)</f>
        <v/>
      </c>
      <c r="AB652" s="40" t="str">
        <f aca="false">IF($F652="","",$F652&amp;"#"&amp;COUNTIF($F$4:$F652,$F652))</f>
        <v/>
      </c>
      <c r="AC652" s="40" t="str">
        <f aca="false">IF($B652="","",IF(AND(OR(CETAK!$J$10="",$F652=CETAK!$J$10),OR(CETAK!$J$11="",$G652=CETAK!$J$11),OR(CETAK!$J$12="",$P652=CETAK!$J$12),OR(CETAK!$J$13="",$N652=CETAK!$J$13),OR(CETAK!$J$14="",$T652=CETAK!$J$14)),MAX($AC$3:AC651)+1,""))</f>
        <v/>
      </c>
      <c r="AD652" s="40" t="str">
        <f aca="false">IF($B652="","",IF(AND(OR(ABSENSI!$H$10="",$F652=ABSENSI!$H$10),OR(ABSENSI!$H$11="",$G652=ABSENSI!$H$11),OR(ABSENSI!$H$12="",$P652=ABSENSI!$H$12)),MAX($AD$3:AD651)+1,""))</f>
        <v/>
      </c>
      <c r="AE652" s="40" t="str">
        <f aca="false">IF($B652="","",IF(AND(OR(KARTU!$K$6="",$F652=KARTU!$K$6),OR(KARTU!$K$7="",$G652=KARTU!$K$7),OR(KARTU!$K$8="",$P652=KARTU!$K$8)),MAX($AE$3:AE651)+1,""))</f>
        <v/>
      </c>
    </row>
    <row r="653" customFormat="false" ht="15" hidden="false" customHeight="false" outlineLevel="0" collapsed="false">
      <c r="A653" s="35" t="str">
        <f aca="false">IF($B653="","",COUNTA($B$4:$B653))</f>
        <v/>
      </c>
      <c r="B653" s="36"/>
      <c r="C653" s="37"/>
      <c r="D653" s="37"/>
      <c r="E653" s="38"/>
      <c r="F653" s="36"/>
      <c r="G653" s="39"/>
      <c r="H653" s="39"/>
      <c r="I653" s="36"/>
      <c r="J653" s="36"/>
      <c r="K653" s="36"/>
      <c r="L653" s="36"/>
      <c r="M653" s="40" t="str">
        <f aca="false">IF($F653="","",$F653&amp;IF($G653="",""," - RT "&amp;$G653&amp;IF($H653="","","/"&amp;$H653)))</f>
        <v/>
      </c>
      <c r="N653" s="36"/>
      <c r="O653" s="37"/>
      <c r="P653" s="39"/>
      <c r="Q653" s="41"/>
      <c r="R653" s="35" t="str">
        <f aca="true">IF(OR($B653="",$Q653=""),"",DATEDIF($Q653,TODAY(),"Y"))</f>
        <v/>
      </c>
      <c r="S653" s="40" t="str">
        <f aca="false">IF($R653="","",INDEX(usia_label,MATCH($R653,usia_min,1)))</f>
        <v/>
      </c>
      <c r="T653" s="36"/>
      <c r="U653" s="41"/>
      <c r="V653" s="36"/>
      <c r="W653" s="36"/>
      <c r="X653" s="40" t="str">
        <f aca="false">IF($M653="","",$M653&amp;"#"&amp;COUNTIF($M$4:$M653,$M653))</f>
        <v/>
      </c>
      <c r="Y653" s="40" t="str">
        <f aca="false">IF($B653="","",IF($C653="","NIK kosong",IF(LEN($C653)&lt;&gt;16,"NIK bukan 16 digit",IF(COUNTIF($C$4:$C$2003,$C653&amp;"*")&gt;1,"NIK ganda",IF(AND($D653&lt;&gt;"",LEN($D653)&lt;&gt;16),"No. KK bukan 16 digit",IF(AND($F653="",$I653=""),"Alamat kosong",IF($N653="","Jabatan kosong",IF($O653="","No. HP kosong",IF(AND($R653&lt;&gt;"",$R653&lt;17),"Usia di bawah 17","")))))))))</f>
        <v/>
      </c>
      <c r="Z653" s="40" t="str">
        <f aca="false">IF($B653="","",IF(AND(OR(CARI!$C$5="",ISNUMBER(SEARCH(CARI!$C$5,$B653&amp;" "&amp;$C653&amp;" "&amp;$D653&amp;" "&amp;$O653&amp;" "&amp;$I653&amp;" "&amp;$F653&amp;" "&amp;$J653&amp;" "&amp;$K653&amp;" "&amp;$L653&amp;" "&amp;$V653))),OR(CARI!$C$6="",$F653=CARI!$C$6),OR(CARI!$C$7="",$G653=CARI!$C$7),OR(CARI!$C$8="",$T653=CARI!$C$8)),MAX($Z$3:Z652)+1,""))</f>
        <v/>
      </c>
      <c r="AA653" s="40" t="str">
        <f aca="false">IF($Y653="","",MAX($AA$3:AA652)+1)</f>
        <v/>
      </c>
      <c r="AB653" s="40" t="str">
        <f aca="false">IF($F653="","",$F653&amp;"#"&amp;COUNTIF($F$4:$F653,$F653))</f>
        <v/>
      </c>
      <c r="AC653" s="40" t="str">
        <f aca="false">IF($B653="","",IF(AND(OR(CETAK!$J$10="",$F653=CETAK!$J$10),OR(CETAK!$J$11="",$G653=CETAK!$J$11),OR(CETAK!$J$12="",$P653=CETAK!$J$12),OR(CETAK!$J$13="",$N653=CETAK!$J$13),OR(CETAK!$J$14="",$T653=CETAK!$J$14)),MAX($AC$3:AC652)+1,""))</f>
        <v/>
      </c>
      <c r="AD653" s="40" t="str">
        <f aca="false">IF($B653="","",IF(AND(OR(ABSENSI!$H$10="",$F653=ABSENSI!$H$10),OR(ABSENSI!$H$11="",$G653=ABSENSI!$H$11),OR(ABSENSI!$H$12="",$P653=ABSENSI!$H$12)),MAX($AD$3:AD652)+1,""))</f>
        <v/>
      </c>
      <c r="AE653" s="40" t="str">
        <f aca="false">IF($B653="","",IF(AND(OR(KARTU!$K$6="",$F653=KARTU!$K$6),OR(KARTU!$K$7="",$G653=KARTU!$K$7),OR(KARTU!$K$8="",$P653=KARTU!$K$8)),MAX($AE$3:AE652)+1,""))</f>
        <v/>
      </c>
    </row>
    <row r="654" customFormat="false" ht="15" hidden="false" customHeight="false" outlineLevel="0" collapsed="false">
      <c r="A654" s="35" t="str">
        <f aca="false">IF($B654="","",COUNTA($B$4:$B654))</f>
        <v/>
      </c>
      <c r="B654" s="36"/>
      <c r="C654" s="37"/>
      <c r="D654" s="37"/>
      <c r="E654" s="38"/>
      <c r="F654" s="36"/>
      <c r="G654" s="39"/>
      <c r="H654" s="39"/>
      <c r="I654" s="36"/>
      <c r="J654" s="36"/>
      <c r="K654" s="36"/>
      <c r="L654" s="36"/>
      <c r="M654" s="40" t="str">
        <f aca="false">IF($F654="","",$F654&amp;IF($G654="",""," - RT "&amp;$G654&amp;IF($H654="","","/"&amp;$H654)))</f>
        <v/>
      </c>
      <c r="N654" s="36"/>
      <c r="O654" s="37"/>
      <c r="P654" s="39"/>
      <c r="Q654" s="41"/>
      <c r="R654" s="35" t="str">
        <f aca="true">IF(OR($B654="",$Q654=""),"",DATEDIF($Q654,TODAY(),"Y"))</f>
        <v/>
      </c>
      <c r="S654" s="40" t="str">
        <f aca="false">IF($R654="","",INDEX(usia_label,MATCH($R654,usia_min,1)))</f>
        <v/>
      </c>
      <c r="T654" s="36"/>
      <c r="U654" s="41"/>
      <c r="V654" s="36"/>
      <c r="W654" s="36"/>
      <c r="X654" s="40" t="str">
        <f aca="false">IF($M654="","",$M654&amp;"#"&amp;COUNTIF($M$4:$M654,$M654))</f>
        <v/>
      </c>
      <c r="Y654" s="40" t="str">
        <f aca="false">IF($B654="","",IF($C654="","NIK kosong",IF(LEN($C654)&lt;&gt;16,"NIK bukan 16 digit",IF(COUNTIF($C$4:$C$2003,$C654&amp;"*")&gt;1,"NIK ganda",IF(AND($D654&lt;&gt;"",LEN($D654)&lt;&gt;16),"No. KK bukan 16 digit",IF(AND($F654="",$I654=""),"Alamat kosong",IF($N654="","Jabatan kosong",IF($O654="","No. HP kosong",IF(AND($R654&lt;&gt;"",$R654&lt;17),"Usia di bawah 17","")))))))))</f>
        <v/>
      </c>
      <c r="Z654" s="40" t="str">
        <f aca="false">IF($B654="","",IF(AND(OR(CARI!$C$5="",ISNUMBER(SEARCH(CARI!$C$5,$B654&amp;" "&amp;$C654&amp;" "&amp;$D654&amp;" "&amp;$O654&amp;" "&amp;$I654&amp;" "&amp;$F654&amp;" "&amp;$J654&amp;" "&amp;$K654&amp;" "&amp;$L654&amp;" "&amp;$V654))),OR(CARI!$C$6="",$F654=CARI!$C$6),OR(CARI!$C$7="",$G654=CARI!$C$7),OR(CARI!$C$8="",$T654=CARI!$C$8)),MAX($Z$3:Z653)+1,""))</f>
        <v/>
      </c>
      <c r="AA654" s="40" t="str">
        <f aca="false">IF($Y654="","",MAX($AA$3:AA653)+1)</f>
        <v/>
      </c>
      <c r="AB654" s="40" t="str">
        <f aca="false">IF($F654="","",$F654&amp;"#"&amp;COUNTIF($F$4:$F654,$F654))</f>
        <v/>
      </c>
      <c r="AC654" s="40" t="str">
        <f aca="false">IF($B654="","",IF(AND(OR(CETAK!$J$10="",$F654=CETAK!$J$10),OR(CETAK!$J$11="",$G654=CETAK!$J$11),OR(CETAK!$J$12="",$P654=CETAK!$J$12),OR(CETAK!$J$13="",$N654=CETAK!$J$13),OR(CETAK!$J$14="",$T654=CETAK!$J$14)),MAX($AC$3:AC653)+1,""))</f>
        <v/>
      </c>
      <c r="AD654" s="40" t="str">
        <f aca="false">IF($B654="","",IF(AND(OR(ABSENSI!$H$10="",$F654=ABSENSI!$H$10),OR(ABSENSI!$H$11="",$G654=ABSENSI!$H$11),OR(ABSENSI!$H$12="",$P654=ABSENSI!$H$12)),MAX($AD$3:AD653)+1,""))</f>
        <v/>
      </c>
      <c r="AE654" s="40" t="str">
        <f aca="false">IF($B654="","",IF(AND(OR(KARTU!$K$6="",$F654=KARTU!$K$6),OR(KARTU!$K$7="",$G654=KARTU!$K$7),OR(KARTU!$K$8="",$P654=KARTU!$K$8)),MAX($AE$3:AE653)+1,""))</f>
        <v/>
      </c>
    </row>
    <row r="655" customFormat="false" ht="15" hidden="false" customHeight="false" outlineLevel="0" collapsed="false">
      <c r="A655" s="35" t="str">
        <f aca="false">IF($B655="","",COUNTA($B$4:$B655))</f>
        <v/>
      </c>
      <c r="B655" s="36"/>
      <c r="C655" s="37"/>
      <c r="D655" s="37"/>
      <c r="E655" s="38"/>
      <c r="F655" s="36"/>
      <c r="G655" s="39"/>
      <c r="H655" s="39"/>
      <c r="I655" s="36"/>
      <c r="J655" s="36"/>
      <c r="K655" s="36"/>
      <c r="L655" s="36"/>
      <c r="M655" s="40" t="str">
        <f aca="false">IF($F655="","",$F655&amp;IF($G655="",""," - RT "&amp;$G655&amp;IF($H655="","","/"&amp;$H655)))</f>
        <v/>
      </c>
      <c r="N655" s="36"/>
      <c r="O655" s="37"/>
      <c r="P655" s="39"/>
      <c r="Q655" s="41"/>
      <c r="R655" s="35" t="str">
        <f aca="true">IF(OR($B655="",$Q655=""),"",DATEDIF($Q655,TODAY(),"Y"))</f>
        <v/>
      </c>
      <c r="S655" s="40" t="str">
        <f aca="false">IF($R655="","",INDEX(usia_label,MATCH($R655,usia_min,1)))</f>
        <v/>
      </c>
      <c r="T655" s="36"/>
      <c r="U655" s="41"/>
      <c r="V655" s="36"/>
      <c r="W655" s="36"/>
      <c r="X655" s="40" t="str">
        <f aca="false">IF($M655="","",$M655&amp;"#"&amp;COUNTIF($M$4:$M655,$M655))</f>
        <v/>
      </c>
      <c r="Y655" s="40" t="str">
        <f aca="false">IF($B655="","",IF($C655="","NIK kosong",IF(LEN($C655)&lt;&gt;16,"NIK bukan 16 digit",IF(COUNTIF($C$4:$C$2003,$C655&amp;"*")&gt;1,"NIK ganda",IF(AND($D655&lt;&gt;"",LEN($D655)&lt;&gt;16),"No. KK bukan 16 digit",IF(AND($F655="",$I655=""),"Alamat kosong",IF($N655="","Jabatan kosong",IF($O655="","No. HP kosong",IF(AND($R655&lt;&gt;"",$R655&lt;17),"Usia di bawah 17","")))))))))</f>
        <v/>
      </c>
      <c r="Z655" s="40" t="str">
        <f aca="false">IF($B655="","",IF(AND(OR(CARI!$C$5="",ISNUMBER(SEARCH(CARI!$C$5,$B655&amp;" "&amp;$C655&amp;" "&amp;$D655&amp;" "&amp;$O655&amp;" "&amp;$I655&amp;" "&amp;$F655&amp;" "&amp;$J655&amp;" "&amp;$K655&amp;" "&amp;$L655&amp;" "&amp;$V655))),OR(CARI!$C$6="",$F655=CARI!$C$6),OR(CARI!$C$7="",$G655=CARI!$C$7),OR(CARI!$C$8="",$T655=CARI!$C$8)),MAX($Z$3:Z654)+1,""))</f>
        <v/>
      </c>
      <c r="AA655" s="40" t="str">
        <f aca="false">IF($Y655="","",MAX($AA$3:AA654)+1)</f>
        <v/>
      </c>
      <c r="AB655" s="40" t="str">
        <f aca="false">IF($F655="","",$F655&amp;"#"&amp;COUNTIF($F$4:$F655,$F655))</f>
        <v/>
      </c>
      <c r="AC655" s="40" t="str">
        <f aca="false">IF($B655="","",IF(AND(OR(CETAK!$J$10="",$F655=CETAK!$J$10),OR(CETAK!$J$11="",$G655=CETAK!$J$11),OR(CETAK!$J$12="",$P655=CETAK!$J$12),OR(CETAK!$J$13="",$N655=CETAK!$J$13),OR(CETAK!$J$14="",$T655=CETAK!$J$14)),MAX($AC$3:AC654)+1,""))</f>
        <v/>
      </c>
      <c r="AD655" s="40" t="str">
        <f aca="false">IF($B655="","",IF(AND(OR(ABSENSI!$H$10="",$F655=ABSENSI!$H$10),OR(ABSENSI!$H$11="",$G655=ABSENSI!$H$11),OR(ABSENSI!$H$12="",$P655=ABSENSI!$H$12)),MAX($AD$3:AD654)+1,""))</f>
        <v/>
      </c>
      <c r="AE655" s="40" t="str">
        <f aca="false">IF($B655="","",IF(AND(OR(KARTU!$K$6="",$F655=KARTU!$K$6),OR(KARTU!$K$7="",$G655=KARTU!$K$7),OR(KARTU!$K$8="",$P655=KARTU!$K$8)),MAX($AE$3:AE654)+1,""))</f>
        <v/>
      </c>
    </row>
    <row r="656" customFormat="false" ht="15" hidden="false" customHeight="false" outlineLevel="0" collapsed="false">
      <c r="A656" s="35" t="str">
        <f aca="false">IF($B656="","",COUNTA($B$4:$B656))</f>
        <v/>
      </c>
      <c r="B656" s="36"/>
      <c r="C656" s="37"/>
      <c r="D656" s="37"/>
      <c r="E656" s="38"/>
      <c r="F656" s="36"/>
      <c r="G656" s="39"/>
      <c r="H656" s="39"/>
      <c r="I656" s="36"/>
      <c r="J656" s="36"/>
      <c r="K656" s="36"/>
      <c r="L656" s="36"/>
      <c r="M656" s="40" t="str">
        <f aca="false">IF($F656="","",$F656&amp;IF($G656="",""," - RT "&amp;$G656&amp;IF($H656="","","/"&amp;$H656)))</f>
        <v/>
      </c>
      <c r="N656" s="36"/>
      <c r="O656" s="37"/>
      <c r="P656" s="39"/>
      <c r="Q656" s="41"/>
      <c r="R656" s="35" t="str">
        <f aca="true">IF(OR($B656="",$Q656=""),"",DATEDIF($Q656,TODAY(),"Y"))</f>
        <v/>
      </c>
      <c r="S656" s="40" t="str">
        <f aca="false">IF($R656="","",INDEX(usia_label,MATCH($R656,usia_min,1)))</f>
        <v/>
      </c>
      <c r="T656" s="36"/>
      <c r="U656" s="41"/>
      <c r="V656" s="36"/>
      <c r="W656" s="36"/>
      <c r="X656" s="40" t="str">
        <f aca="false">IF($M656="","",$M656&amp;"#"&amp;COUNTIF($M$4:$M656,$M656))</f>
        <v/>
      </c>
      <c r="Y656" s="40" t="str">
        <f aca="false">IF($B656="","",IF($C656="","NIK kosong",IF(LEN($C656)&lt;&gt;16,"NIK bukan 16 digit",IF(COUNTIF($C$4:$C$2003,$C656&amp;"*")&gt;1,"NIK ganda",IF(AND($D656&lt;&gt;"",LEN($D656)&lt;&gt;16),"No. KK bukan 16 digit",IF(AND($F656="",$I656=""),"Alamat kosong",IF($N656="","Jabatan kosong",IF($O656="","No. HP kosong",IF(AND($R656&lt;&gt;"",$R656&lt;17),"Usia di bawah 17","")))))))))</f>
        <v/>
      </c>
      <c r="Z656" s="40" t="str">
        <f aca="false">IF($B656="","",IF(AND(OR(CARI!$C$5="",ISNUMBER(SEARCH(CARI!$C$5,$B656&amp;" "&amp;$C656&amp;" "&amp;$D656&amp;" "&amp;$O656&amp;" "&amp;$I656&amp;" "&amp;$F656&amp;" "&amp;$J656&amp;" "&amp;$K656&amp;" "&amp;$L656&amp;" "&amp;$V656))),OR(CARI!$C$6="",$F656=CARI!$C$6),OR(CARI!$C$7="",$G656=CARI!$C$7),OR(CARI!$C$8="",$T656=CARI!$C$8)),MAX($Z$3:Z655)+1,""))</f>
        <v/>
      </c>
      <c r="AA656" s="40" t="str">
        <f aca="false">IF($Y656="","",MAX($AA$3:AA655)+1)</f>
        <v/>
      </c>
      <c r="AB656" s="40" t="str">
        <f aca="false">IF($F656="","",$F656&amp;"#"&amp;COUNTIF($F$4:$F656,$F656))</f>
        <v/>
      </c>
      <c r="AC656" s="40" t="str">
        <f aca="false">IF($B656="","",IF(AND(OR(CETAK!$J$10="",$F656=CETAK!$J$10),OR(CETAK!$J$11="",$G656=CETAK!$J$11),OR(CETAK!$J$12="",$P656=CETAK!$J$12),OR(CETAK!$J$13="",$N656=CETAK!$J$13),OR(CETAK!$J$14="",$T656=CETAK!$J$14)),MAX($AC$3:AC655)+1,""))</f>
        <v/>
      </c>
      <c r="AD656" s="40" t="str">
        <f aca="false">IF($B656="","",IF(AND(OR(ABSENSI!$H$10="",$F656=ABSENSI!$H$10),OR(ABSENSI!$H$11="",$G656=ABSENSI!$H$11),OR(ABSENSI!$H$12="",$P656=ABSENSI!$H$12)),MAX($AD$3:AD655)+1,""))</f>
        <v/>
      </c>
      <c r="AE656" s="40" t="str">
        <f aca="false">IF($B656="","",IF(AND(OR(KARTU!$K$6="",$F656=KARTU!$K$6),OR(KARTU!$K$7="",$G656=KARTU!$K$7),OR(KARTU!$K$8="",$P656=KARTU!$K$8)),MAX($AE$3:AE655)+1,""))</f>
        <v/>
      </c>
    </row>
    <row r="657" customFormat="false" ht="15" hidden="false" customHeight="false" outlineLevel="0" collapsed="false">
      <c r="A657" s="35" t="str">
        <f aca="false">IF($B657="","",COUNTA($B$4:$B657))</f>
        <v/>
      </c>
      <c r="B657" s="36"/>
      <c r="C657" s="37"/>
      <c r="D657" s="37"/>
      <c r="E657" s="38"/>
      <c r="F657" s="36"/>
      <c r="G657" s="39"/>
      <c r="H657" s="39"/>
      <c r="I657" s="36"/>
      <c r="J657" s="36"/>
      <c r="K657" s="36"/>
      <c r="L657" s="36"/>
      <c r="M657" s="40" t="str">
        <f aca="false">IF($F657="","",$F657&amp;IF($G657="",""," - RT "&amp;$G657&amp;IF($H657="","","/"&amp;$H657)))</f>
        <v/>
      </c>
      <c r="N657" s="36"/>
      <c r="O657" s="37"/>
      <c r="P657" s="39"/>
      <c r="Q657" s="41"/>
      <c r="R657" s="35" t="str">
        <f aca="true">IF(OR($B657="",$Q657=""),"",DATEDIF($Q657,TODAY(),"Y"))</f>
        <v/>
      </c>
      <c r="S657" s="40" t="str">
        <f aca="false">IF($R657="","",INDEX(usia_label,MATCH($R657,usia_min,1)))</f>
        <v/>
      </c>
      <c r="T657" s="36"/>
      <c r="U657" s="41"/>
      <c r="V657" s="36"/>
      <c r="W657" s="36"/>
      <c r="X657" s="40" t="str">
        <f aca="false">IF($M657="","",$M657&amp;"#"&amp;COUNTIF($M$4:$M657,$M657))</f>
        <v/>
      </c>
      <c r="Y657" s="40" t="str">
        <f aca="false">IF($B657="","",IF($C657="","NIK kosong",IF(LEN($C657)&lt;&gt;16,"NIK bukan 16 digit",IF(COUNTIF($C$4:$C$2003,$C657&amp;"*")&gt;1,"NIK ganda",IF(AND($D657&lt;&gt;"",LEN($D657)&lt;&gt;16),"No. KK bukan 16 digit",IF(AND($F657="",$I657=""),"Alamat kosong",IF($N657="","Jabatan kosong",IF($O657="","No. HP kosong",IF(AND($R657&lt;&gt;"",$R657&lt;17),"Usia di bawah 17","")))))))))</f>
        <v/>
      </c>
      <c r="Z657" s="40" t="str">
        <f aca="false">IF($B657="","",IF(AND(OR(CARI!$C$5="",ISNUMBER(SEARCH(CARI!$C$5,$B657&amp;" "&amp;$C657&amp;" "&amp;$D657&amp;" "&amp;$O657&amp;" "&amp;$I657&amp;" "&amp;$F657&amp;" "&amp;$J657&amp;" "&amp;$K657&amp;" "&amp;$L657&amp;" "&amp;$V657))),OR(CARI!$C$6="",$F657=CARI!$C$6),OR(CARI!$C$7="",$G657=CARI!$C$7),OR(CARI!$C$8="",$T657=CARI!$C$8)),MAX($Z$3:Z656)+1,""))</f>
        <v/>
      </c>
      <c r="AA657" s="40" t="str">
        <f aca="false">IF($Y657="","",MAX($AA$3:AA656)+1)</f>
        <v/>
      </c>
      <c r="AB657" s="40" t="str">
        <f aca="false">IF($F657="","",$F657&amp;"#"&amp;COUNTIF($F$4:$F657,$F657))</f>
        <v/>
      </c>
      <c r="AC657" s="40" t="str">
        <f aca="false">IF($B657="","",IF(AND(OR(CETAK!$J$10="",$F657=CETAK!$J$10),OR(CETAK!$J$11="",$G657=CETAK!$J$11),OR(CETAK!$J$12="",$P657=CETAK!$J$12),OR(CETAK!$J$13="",$N657=CETAK!$J$13),OR(CETAK!$J$14="",$T657=CETAK!$J$14)),MAX($AC$3:AC656)+1,""))</f>
        <v/>
      </c>
      <c r="AD657" s="40" t="str">
        <f aca="false">IF($B657="","",IF(AND(OR(ABSENSI!$H$10="",$F657=ABSENSI!$H$10),OR(ABSENSI!$H$11="",$G657=ABSENSI!$H$11),OR(ABSENSI!$H$12="",$P657=ABSENSI!$H$12)),MAX($AD$3:AD656)+1,""))</f>
        <v/>
      </c>
      <c r="AE657" s="40" t="str">
        <f aca="false">IF($B657="","",IF(AND(OR(KARTU!$K$6="",$F657=KARTU!$K$6),OR(KARTU!$K$7="",$G657=KARTU!$K$7),OR(KARTU!$K$8="",$P657=KARTU!$K$8)),MAX($AE$3:AE656)+1,""))</f>
        <v/>
      </c>
    </row>
    <row r="658" customFormat="false" ht="15" hidden="false" customHeight="false" outlineLevel="0" collapsed="false">
      <c r="A658" s="35" t="str">
        <f aca="false">IF($B658="","",COUNTA($B$4:$B658))</f>
        <v/>
      </c>
      <c r="B658" s="36"/>
      <c r="C658" s="37"/>
      <c r="D658" s="37"/>
      <c r="E658" s="38"/>
      <c r="F658" s="36"/>
      <c r="G658" s="39"/>
      <c r="H658" s="39"/>
      <c r="I658" s="36"/>
      <c r="J658" s="36"/>
      <c r="K658" s="36"/>
      <c r="L658" s="36"/>
      <c r="M658" s="40" t="str">
        <f aca="false">IF($F658="","",$F658&amp;IF($G658="",""," - RT "&amp;$G658&amp;IF($H658="","","/"&amp;$H658)))</f>
        <v/>
      </c>
      <c r="N658" s="36"/>
      <c r="O658" s="37"/>
      <c r="P658" s="39"/>
      <c r="Q658" s="41"/>
      <c r="R658" s="35" t="str">
        <f aca="true">IF(OR($B658="",$Q658=""),"",DATEDIF($Q658,TODAY(),"Y"))</f>
        <v/>
      </c>
      <c r="S658" s="40" t="str">
        <f aca="false">IF($R658="","",INDEX(usia_label,MATCH($R658,usia_min,1)))</f>
        <v/>
      </c>
      <c r="T658" s="36"/>
      <c r="U658" s="41"/>
      <c r="V658" s="36"/>
      <c r="W658" s="36"/>
      <c r="X658" s="40" t="str">
        <f aca="false">IF($M658="","",$M658&amp;"#"&amp;COUNTIF($M$4:$M658,$M658))</f>
        <v/>
      </c>
      <c r="Y658" s="40" t="str">
        <f aca="false">IF($B658="","",IF($C658="","NIK kosong",IF(LEN($C658)&lt;&gt;16,"NIK bukan 16 digit",IF(COUNTIF($C$4:$C$2003,$C658&amp;"*")&gt;1,"NIK ganda",IF(AND($D658&lt;&gt;"",LEN($D658)&lt;&gt;16),"No. KK bukan 16 digit",IF(AND($F658="",$I658=""),"Alamat kosong",IF($N658="","Jabatan kosong",IF($O658="","No. HP kosong",IF(AND($R658&lt;&gt;"",$R658&lt;17),"Usia di bawah 17","")))))))))</f>
        <v/>
      </c>
      <c r="Z658" s="40" t="str">
        <f aca="false">IF($B658="","",IF(AND(OR(CARI!$C$5="",ISNUMBER(SEARCH(CARI!$C$5,$B658&amp;" "&amp;$C658&amp;" "&amp;$D658&amp;" "&amp;$O658&amp;" "&amp;$I658&amp;" "&amp;$F658&amp;" "&amp;$J658&amp;" "&amp;$K658&amp;" "&amp;$L658&amp;" "&amp;$V658))),OR(CARI!$C$6="",$F658=CARI!$C$6),OR(CARI!$C$7="",$G658=CARI!$C$7),OR(CARI!$C$8="",$T658=CARI!$C$8)),MAX($Z$3:Z657)+1,""))</f>
        <v/>
      </c>
      <c r="AA658" s="40" t="str">
        <f aca="false">IF($Y658="","",MAX($AA$3:AA657)+1)</f>
        <v/>
      </c>
      <c r="AB658" s="40" t="str">
        <f aca="false">IF($F658="","",$F658&amp;"#"&amp;COUNTIF($F$4:$F658,$F658))</f>
        <v/>
      </c>
      <c r="AC658" s="40" t="str">
        <f aca="false">IF($B658="","",IF(AND(OR(CETAK!$J$10="",$F658=CETAK!$J$10),OR(CETAK!$J$11="",$G658=CETAK!$J$11),OR(CETAK!$J$12="",$P658=CETAK!$J$12),OR(CETAK!$J$13="",$N658=CETAK!$J$13),OR(CETAK!$J$14="",$T658=CETAK!$J$14)),MAX($AC$3:AC657)+1,""))</f>
        <v/>
      </c>
      <c r="AD658" s="40" t="str">
        <f aca="false">IF($B658="","",IF(AND(OR(ABSENSI!$H$10="",$F658=ABSENSI!$H$10),OR(ABSENSI!$H$11="",$G658=ABSENSI!$H$11),OR(ABSENSI!$H$12="",$P658=ABSENSI!$H$12)),MAX($AD$3:AD657)+1,""))</f>
        <v/>
      </c>
      <c r="AE658" s="40" t="str">
        <f aca="false">IF($B658="","",IF(AND(OR(KARTU!$K$6="",$F658=KARTU!$K$6),OR(KARTU!$K$7="",$G658=KARTU!$K$7),OR(KARTU!$K$8="",$P658=KARTU!$K$8)),MAX($AE$3:AE657)+1,""))</f>
        <v/>
      </c>
    </row>
    <row r="659" customFormat="false" ht="15" hidden="false" customHeight="false" outlineLevel="0" collapsed="false">
      <c r="A659" s="35" t="str">
        <f aca="false">IF($B659="","",COUNTA($B$4:$B659))</f>
        <v/>
      </c>
      <c r="B659" s="36"/>
      <c r="C659" s="37"/>
      <c r="D659" s="37"/>
      <c r="E659" s="38"/>
      <c r="F659" s="36"/>
      <c r="G659" s="39"/>
      <c r="H659" s="39"/>
      <c r="I659" s="36"/>
      <c r="J659" s="36"/>
      <c r="K659" s="36"/>
      <c r="L659" s="36"/>
      <c r="M659" s="40" t="str">
        <f aca="false">IF($F659="","",$F659&amp;IF($G659="",""," - RT "&amp;$G659&amp;IF($H659="","","/"&amp;$H659)))</f>
        <v/>
      </c>
      <c r="N659" s="36"/>
      <c r="O659" s="37"/>
      <c r="P659" s="39"/>
      <c r="Q659" s="41"/>
      <c r="R659" s="35" t="str">
        <f aca="true">IF(OR($B659="",$Q659=""),"",DATEDIF($Q659,TODAY(),"Y"))</f>
        <v/>
      </c>
      <c r="S659" s="40" t="str">
        <f aca="false">IF($R659="","",INDEX(usia_label,MATCH($R659,usia_min,1)))</f>
        <v/>
      </c>
      <c r="T659" s="36"/>
      <c r="U659" s="41"/>
      <c r="V659" s="36"/>
      <c r="W659" s="36"/>
      <c r="X659" s="40" t="str">
        <f aca="false">IF($M659="","",$M659&amp;"#"&amp;COUNTIF($M$4:$M659,$M659))</f>
        <v/>
      </c>
      <c r="Y659" s="40" t="str">
        <f aca="false">IF($B659="","",IF($C659="","NIK kosong",IF(LEN($C659)&lt;&gt;16,"NIK bukan 16 digit",IF(COUNTIF($C$4:$C$2003,$C659&amp;"*")&gt;1,"NIK ganda",IF(AND($D659&lt;&gt;"",LEN($D659)&lt;&gt;16),"No. KK bukan 16 digit",IF(AND($F659="",$I659=""),"Alamat kosong",IF($N659="","Jabatan kosong",IF($O659="","No. HP kosong",IF(AND($R659&lt;&gt;"",$R659&lt;17),"Usia di bawah 17","")))))))))</f>
        <v/>
      </c>
      <c r="Z659" s="40" t="str">
        <f aca="false">IF($B659="","",IF(AND(OR(CARI!$C$5="",ISNUMBER(SEARCH(CARI!$C$5,$B659&amp;" "&amp;$C659&amp;" "&amp;$D659&amp;" "&amp;$O659&amp;" "&amp;$I659&amp;" "&amp;$F659&amp;" "&amp;$J659&amp;" "&amp;$K659&amp;" "&amp;$L659&amp;" "&amp;$V659))),OR(CARI!$C$6="",$F659=CARI!$C$6),OR(CARI!$C$7="",$G659=CARI!$C$7),OR(CARI!$C$8="",$T659=CARI!$C$8)),MAX($Z$3:Z658)+1,""))</f>
        <v/>
      </c>
      <c r="AA659" s="40" t="str">
        <f aca="false">IF($Y659="","",MAX($AA$3:AA658)+1)</f>
        <v/>
      </c>
      <c r="AB659" s="40" t="str">
        <f aca="false">IF($F659="","",$F659&amp;"#"&amp;COUNTIF($F$4:$F659,$F659))</f>
        <v/>
      </c>
      <c r="AC659" s="40" t="str">
        <f aca="false">IF($B659="","",IF(AND(OR(CETAK!$J$10="",$F659=CETAK!$J$10),OR(CETAK!$J$11="",$G659=CETAK!$J$11),OR(CETAK!$J$12="",$P659=CETAK!$J$12),OR(CETAK!$J$13="",$N659=CETAK!$J$13),OR(CETAK!$J$14="",$T659=CETAK!$J$14)),MAX($AC$3:AC658)+1,""))</f>
        <v/>
      </c>
      <c r="AD659" s="40" t="str">
        <f aca="false">IF($B659="","",IF(AND(OR(ABSENSI!$H$10="",$F659=ABSENSI!$H$10),OR(ABSENSI!$H$11="",$G659=ABSENSI!$H$11),OR(ABSENSI!$H$12="",$P659=ABSENSI!$H$12)),MAX($AD$3:AD658)+1,""))</f>
        <v/>
      </c>
      <c r="AE659" s="40" t="str">
        <f aca="false">IF($B659="","",IF(AND(OR(KARTU!$K$6="",$F659=KARTU!$K$6),OR(KARTU!$K$7="",$G659=KARTU!$K$7),OR(KARTU!$K$8="",$P659=KARTU!$K$8)),MAX($AE$3:AE658)+1,""))</f>
        <v/>
      </c>
    </row>
    <row r="660" customFormat="false" ht="15" hidden="false" customHeight="false" outlineLevel="0" collapsed="false">
      <c r="A660" s="35" t="str">
        <f aca="false">IF($B660="","",COUNTA($B$4:$B660))</f>
        <v/>
      </c>
      <c r="B660" s="36"/>
      <c r="C660" s="37"/>
      <c r="D660" s="37"/>
      <c r="E660" s="38"/>
      <c r="F660" s="36"/>
      <c r="G660" s="39"/>
      <c r="H660" s="39"/>
      <c r="I660" s="36"/>
      <c r="J660" s="36"/>
      <c r="K660" s="36"/>
      <c r="L660" s="36"/>
      <c r="M660" s="40" t="str">
        <f aca="false">IF($F660="","",$F660&amp;IF($G660="",""," - RT "&amp;$G660&amp;IF($H660="","","/"&amp;$H660)))</f>
        <v/>
      </c>
      <c r="N660" s="36"/>
      <c r="O660" s="37"/>
      <c r="P660" s="39"/>
      <c r="Q660" s="41"/>
      <c r="R660" s="35" t="str">
        <f aca="true">IF(OR($B660="",$Q660=""),"",DATEDIF($Q660,TODAY(),"Y"))</f>
        <v/>
      </c>
      <c r="S660" s="40" t="str">
        <f aca="false">IF($R660="","",INDEX(usia_label,MATCH($R660,usia_min,1)))</f>
        <v/>
      </c>
      <c r="T660" s="36"/>
      <c r="U660" s="41"/>
      <c r="V660" s="36"/>
      <c r="W660" s="36"/>
      <c r="X660" s="40" t="str">
        <f aca="false">IF($M660="","",$M660&amp;"#"&amp;COUNTIF($M$4:$M660,$M660))</f>
        <v/>
      </c>
      <c r="Y660" s="40" t="str">
        <f aca="false">IF($B660="","",IF($C660="","NIK kosong",IF(LEN($C660)&lt;&gt;16,"NIK bukan 16 digit",IF(COUNTIF($C$4:$C$2003,$C660&amp;"*")&gt;1,"NIK ganda",IF(AND($D660&lt;&gt;"",LEN($D660)&lt;&gt;16),"No. KK bukan 16 digit",IF(AND($F660="",$I660=""),"Alamat kosong",IF($N660="","Jabatan kosong",IF($O660="","No. HP kosong",IF(AND($R660&lt;&gt;"",$R660&lt;17),"Usia di bawah 17","")))))))))</f>
        <v/>
      </c>
      <c r="Z660" s="40" t="str">
        <f aca="false">IF($B660="","",IF(AND(OR(CARI!$C$5="",ISNUMBER(SEARCH(CARI!$C$5,$B660&amp;" "&amp;$C660&amp;" "&amp;$D660&amp;" "&amp;$O660&amp;" "&amp;$I660&amp;" "&amp;$F660&amp;" "&amp;$J660&amp;" "&amp;$K660&amp;" "&amp;$L660&amp;" "&amp;$V660))),OR(CARI!$C$6="",$F660=CARI!$C$6),OR(CARI!$C$7="",$G660=CARI!$C$7),OR(CARI!$C$8="",$T660=CARI!$C$8)),MAX($Z$3:Z659)+1,""))</f>
        <v/>
      </c>
      <c r="AA660" s="40" t="str">
        <f aca="false">IF($Y660="","",MAX($AA$3:AA659)+1)</f>
        <v/>
      </c>
      <c r="AB660" s="40" t="str">
        <f aca="false">IF($F660="","",$F660&amp;"#"&amp;COUNTIF($F$4:$F660,$F660))</f>
        <v/>
      </c>
      <c r="AC660" s="40" t="str">
        <f aca="false">IF($B660="","",IF(AND(OR(CETAK!$J$10="",$F660=CETAK!$J$10),OR(CETAK!$J$11="",$G660=CETAK!$J$11),OR(CETAK!$J$12="",$P660=CETAK!$J$12),OR(CETAK!$J$13="",$N660=CETAK!$J$13),OR(CETAK!$J$14="",$T660=CETAK!$J$14)),MAX($AC$3:AC659)+1,""))</f>
        <v/>
      </c>
      <c r="AD660" s="40" t="str">
        <f aca="false">IF($B660="","",IF(AND(OR(ABSENSI!$H$10="",$F660=ABSENSI!$H$10),OR(ABSENSI!$H$11="",$G660=ABSENSI!$H$11),OR(ABSENSI!$H$12="",$P660=ABSENSI!$H$12)),MAX($AD$3:AD659)+1,""))</f>
        <v/>
      </c>
      <c r="AE660" s="40" t="str">
        <f aca="false">IF($B660="","",IF(AND(OR(KARTU!$K$6="",$F660=KARTU!$K$6),OR(KARTU!$K$7="",$G660=KARTU!$K$7),OR(KARTU!$K$8="",$P660=KARTU!$K$8)),MAX($AE$3:AE659)+1,""))</f>
        <v/>
      </c>
    </row>
    <row r="661" customFormat="false" ht="15" hidden="false" customHeight="false" outlineLevel="0" collapsed="false">
      <c r="A661" s="35" t="str">
        <f aca="false">IF($B661="","",COUNTA($B$4:$B661))</f>
        <v/>
      </c>
      <c r="B661" s="36"/>
      <c r="C661" s="37"/>
      <c r="D661" s="37"/>
      <c r="E661" s="38"/>
      <c r="F661" s="36"/>
      <c r="G661" s="39"/>
      <c r="H661" s="39"/>
      <c r="I661" s="36"/>
      <c r="J661" s="36"/>
      <c r="K661" s="36"/>
      <c r="L661" s="36"/>
      <c r="M661" s="40" t="str">
        <f aca="false">IF($F661="","",$F661&amp;IF($G661="",""," - RT "&amp;$G661&amp;IF($H661="","","/"&amp;$H661)))</f>
        <v/>
      </c>
      <c r="N661" s="36"/>
      <c r="O661" s="37"/>
      <c r="P661" s="39"/>
      <c r="Q661" s="41"/>
      <c r="R661" s="35" t="str">
        <f aca="true">IF(OR($B661="",$Q661=""),"",DATEDIF($Q661,TODAY(),"Y"))</f>
        <v/>
      </c>
      <c r="S661" s="40" t="str">
        <f aca="false">IF($R661="","",INDEX(usia_label,MATCH($R661,usia_min,1)))</f>
        <v/>
      </c>
      <c r="T661" s="36"/>
      <c r="U661" s="41"/>
      <c r="V661" s="36"/>
      <c r="W661" s="36"/>
      <c r="X661" s="40" t="str">
        <f aca="false">IF($M661="","",$M661&amp;"#"&amp;COUNTIF($M$4:$M661,$M661))</f>
        <v/>
      </c>
      <c r="Y661" s="40" t="str">
        <f aca="false">IF($B661="","",IF($C661="","NIK kosong",IF(LEN($C661)&lt;&gt;16,"NIK bukan 16 digit",IF(COUNTIF($C$4:$C$2003,$C661&amp;"*")&gt;1,"NIK ganda",IF(AND($D661&lt;&gt;"",LEN($D661)&lt;&gt;16),"No. KK bukan 16 digit",IF(AND($F661="",$I661=""),"Alamat kosong",IF($N661="","Jabatan kosong",IF($O661="","No. HP kosong",IF(AND($R661&lt;&gt;"",$R661&lt;17),"Usia di bawah 17","")))))))))</f>
        <v/>
      </c>
      <c r="Z661" s="40" t="str">
        <f aca="false">IF($B661="","",IF(AND(OR(CARI!$C$5="",ISNUMBER(SEARCH(CARI!$C$5,$B661&amp;" "&amp;$C661&amp;" "&amp;$D661&amp;" "&amp;$O661&amp;" "&amp;$I661&amp;" "&amp;$F661&amp;" "&amp;$J661&amp;" "&amp;$K661&amp;" "&amp;$L661&amp;" "&amp;$V661))),OR(CARI!$C$6="",$F661=CARI!$C$6),OR(CARI!$C$7="",$G661=CARI!$C$7),OR(CARI!$C$8="",$T661=CARI!$C$8)),MAX($Z$3:Z660)+1,""))</f>
        <v/>
      </c>
      <c r="AA661" s="40" t="str">
        <f aca="false">IF($Y661="","",MAX($AA$3:AA660)+1)</f>
        <v/>
      </c>
      <c r="AB661" s="40" t="str">
        <f aca="false">IF($F661="","",$F661&amp;"#"&amp;COUNTIF($F$4:$F661,$F661))</f>
        <v/>
      </c>
      <c r="AC661" s="40" t="str">
        <f aca="false">IF($B661="","",IF(AND(OR(CETAK!$J$10="",$F661=CETAK!$J$10),OR(CETAK!$J$11="",$G661=CETAK!$J$11),OR(CETAK!$J$12="",$P661=CETAK!$J$12),OR(CETAK!$J$13="",$N661=CETAK!$J$13),OR(CETAK!$J$14="",$T661=CETAK!$J$14)),MAX($AC$3:AC660)+1,""))</f>
        <v/>
      </c>
      <c r="AD661" s="40" t="str">
        <f aca="false">IF($B661="","",IF(AND(OR(ABSENSI!$H$10="",$F661=ABSENSI!$H$10),OR(ABSENSI!$H$11="",$G661=ABSENSI!$H$11),OR(ABSENSI!$H$12="",$P661=ABSENSI!$H$12)),MAX($AD$3:AD660)+1,""))</f>
        <v/>
      </c>
      <c r="AE661" s="40" t="str">
        <f aca="false">IF($B661="","",IF(AND(OR(KARTU!$K$6="",$F661=KARTU!$K$6),OR(KARTU!$K$7="",$G661=KARTU!$K$7),OR(KARTU!$K$8="",$P661=KARTU!$K$8)),MAX($AE$3:AE660)+1,""))</f>
        <v/>
      </c>
    </row>
    <row r="662" customFormat="false" ht="15" hidden="false" customHeight="false" outlineLevel="0" collapsed="false">
      <c r="A662" s="35" t="str">
        <f aca="false">IF($B662="","",COUNTA($B$4:$B662))</f>
        <v/>
      </c>
      <c r="B662" s="36"/>
      <c r="C662" s="37"/>
      <c r="D662" s="37"/>
      <c r="E662" s="38"/>
      <c r="F662" s="36"/>
      <c r="G662" s="39"/>
      <c r="H662" s="39"/>
      <c r="I662" s="36"/>
      <c r="J662" s="36"/>
      <c r="K662" s="36"/>
      <c r="L662" s="36"/>
      <c r="M662" s="40" t="str">
        <f aca="false">IF($F662="","",$F662&amp;IF($G662="",""," - RT "&amp;$G662&amp;IF($H662="","","/"&amp;$H662)))</f>
        <v/>
      </c>
      <c r="N662" s="36"/>
      <c r="O662" s="37"/>
      <c r="P662" s="39"/>
      <c r="Q662" s="41"/>
      <c r="R662" s="35" t="str">
        <f aca="true">IF(OR($B662="",$Q662=""),"",DATEDIF($Q662,TODAY(),"Y"))</f>
        <v/>
      </c>
      <c r="S662" s="40" t="str">
        <f aca="false">IF($R662="","",INDEX(usia_label,MATCH($R662,usia_min,1)))</f>
        <v/>
      </c>
      <c r="T662" s="36"/>
      <c r="U662" s="41"/>
      <c r="V662" s="36"/>
      <c r="W662" s="36"/>
      <c r="X662" s="40" t="str">
        <f aca="false">IF($M662="","",$M662&amp;"#"&amp;COUNTIF($M$4:$M662,$M662))</f>
        <v/>
      </c>
      <c r="Y662" s="40" t="str">
        <f aca="false">IF($B662="","",IF($C662="","NIK kosong",IF(LEN($C662)&lt;&gt;16,"NIK bukan 16 digit",IF(COUNTIF($C$4:$C$2003,$C662&amp;"*")&gt;1,"NIK ganda",IF(AND($D662&lt;&gt;"",LEN($D662)&lt;&gt;16),"No. KK bukan 16 digit",IF(AND($F662="",$I662=""),"Alamat kosong",IF($N662="","Jabatan kosong",IF($O662="","No. HP kosong",IF(AND($R662&lt;&gt;"",$R662&lt;17),"Usia di bawah 17","")))))))))</f>
        <v/>
      </c>
      <c r="Z662" s="40" t="str">
        <f aca="false">IF($B662="","",IF(AND(OR(CARI!$C$5="",ISNUMBER(SEARCH(CARI!$C$5,$B662&amp;" "&amp;$C662&amp;" "&amp;$D662&amp;" "&amp;$O662&amp;" "&amp;$I662&amp;" "&amp;$F662&amp;" "&amp;$J662&amp;" "&amp;$K662&amp;" "&amp;$L662&amp;" "&amp;$V662))),OR(CARI!$C$6="",$F662=CARI!$C$6),OR(CARI!$C$7="",$G662=CARI!$C$7),OR(CARI!$C$8="",$T662=CARI!$C$8)),MAX($Z$3:Z661)+1,""))</f>
        <v/>
      </c>
      <c r="AA662" s="40" t="str">
        <f aca="false">IF($Y662="","",MAX($AA$3:AA661)+1)</f>
        <v/>
      </c>
      <c r="AB662" s="40" t="str">
        <f aca="false">IF($F662="","",$F662&amp;"#"&amp;COUNTIF($F$4:$F662,$F662))</f>
        <v/>
      </c>
      <c r="AC662" s="40" t="str">
        <f aca="false">IF($B662="","",IF(AND(OR(CETAK!$J$10="",$F662=CETAK!$J$10),OR(CETAK!$J$11="",$G662=CETAK!$J$11),OR(CETAK!$J$12="",$P662=CETAK!$J$12),OR(CETAK!$J$13="",$N662=CETAK!$J$13),OR(CETAK!$J$14="",$T662=CETAK!$J$14)),MAX($AC$3:AC661)+1,""))</f>
        <v/>
      </c>
      <c r="AD662" s="40" t="str">
        <f aca="false">IF($B662="","",IF(AND(OR(ABSENSI!$H$10="",$F662=ABSENSI!$H$10),OR(ABSENSI!$H$11="",$G662=ABSENSI!$H$11),OR(ABSENSI!$H$12="",$P662=ABSENSI!$H$12)),MAX($AD$3:AD661)+1,""))</f>
        <v/>
      </c>
      <c r="AE662" s="40" t="str">
        <f aca="false">IF($B662="","",IF(AND(OR(KARTU!$K$6="",$F662=KARTU!$K$6),OR(KARTU!$K$7="",$G662=KARTU!$K$7),OR(KARTU!$K$8="",$P662=KARTU!$K$8)),MAX($AE$3:AE661)+1,""))</f>
        <v/>
      </c>
    </row>
    <row r="663" customFormat="false" ht="15" hidden="false" customHeight="false" outlineLevel="0" collapsed="false">
      <c r="A663" s="35" t="str">
        <f aca="false">IF($B663="","",COUNTA($B$4:$B663))</f>
        <v/>
      </c>
      <c r="B663" s="36"/>
      <c r="C663" s="37"/>
      <c r="D663" s="37"/>
      <c r="E663" s="38"/>
      <c r="F663" s="36"/>
      <c r="G663" s="39"/>
      <c r="H663" s="39"/>
      <c r="I663" s="36"/>
      <c r="J663" s="36"/>
      <c r="K663" s="36"/>
      <c r="L663" s="36"/>
      <c r="M663" s="40" t="str">
        <f aca="false">IF($F663="","",$F663&amp;IF($G663="",""," - RT "&amp;$G663&amp;IF($H663="","","/"&amp;$H663)))</f>
        <v/>
      </c>
      <c r="N663" s="36"/>
      <c r="O663" s="37"/>
      <c r="P663" s="39"/>
      <c r="Q663" s="41"/>
      <c r="R663" s="35" t="str">
        <f aca="true">IF(OR($B663="",$Q663=""),"",DATEDIF($Q663,TODAY(),"Y"))</f>
        <v/>
      </c>
      <c r="S663" s="40" t="str">
        <f aca="false">IF($R663="","",INDEX(usia_label,MATCH($R663,usia_min,1)))</f>
        <v/>
      </c>
      <c r="T663" s="36"/>
      <c r="U663" s="41"/>
      <c r="V663" s="36"/>
      <c r="W663" s="36"/>
      <c r="X663" s="40" t="str">
        <f aca="false">IF($M663="","",$M663&amp;"#"&amp;COUNTIF($M$4:$M663,$M663))</f>
        <v/>
      </c>
      <c r="Y663" s="40" t="str">
        <f aca="false">IF($B663="","",IF($C663="","NIK kosong",IF(LEN($C663)&lt;&gt;16,"NIK bukan 16 digit",IF(COUNTIF($C$4:$C$2003,$C663&amp;"*")&gt;1,"NIK ganda",IF(AND($D663&lt;&gt;"",LEN($D663)&lt;&gt;16),"No. KK bukan 16 digit",IF(AND($F663="",$I663=""),"Alamat kosong",IF($N663="","Jabatan kosong",IF($O663="","No. HP kosong",IF(AND($R663&lt;&gt;"",$R663&lt;17),"Usia di bawah 17","")))))))))</f>
        <v/>
      </c>
      <c r="Z663" s="40" t="str">
        <f aca="false">IF($B663="","",IF(AND(OR(CARI!$C$5="",ISNUMBER(SEARCH(CARI!$C$5,$B663&amp;" "&amp;$C663&amp;" "&amp;$D663&amp;" "&amp;$O663&amp;" "&amp;$I663&amp;" "&amp;$F663&amp;" "&amp;$J663&amp;" "&amp;$K663&amp;" "&amp;$L663&amp;" "&amp;$V663))),OR(CARI!$C$6="",$F663=CARI!$C$6),OR(CARI!$C$7="",$G663=CARI!$C$7),OR(CARI!$C$8="",$T663=CARI!$C$8)),MAX($Z$3:Z662)+1,""))</f>
        <v/>
      </c>
      <c r="AA663" s="40" t="str">
        <f aca="false">IF($Y663="","",MAX($AA$3:AA662)+1)</f>
        <v/>
      </c>
      <c r="AB663" s="40" t="str">
        <f aca="false">IF($F663="","",$F663&amp;"#"&amp;COUNTIF($F$4:$F663,$F663))</f>
        <v/>
      </c>
      <c r="AC663" s="40" t="str">
        <f aca="false">IF($B663="","",IF(AND(OR(CETAK!$J$10="",$F663=CETAK!$J$10),OR(CETAK!$J$11="",$G663=CETAK!$J$11),OR(CETAK!$J$12="",$P663=CETAK!$J$12),OR(CETAK!$J$13="",$N663=CETAK!$J$13),OR(CETAK!$J$14="",$T663=CETAK!$J$14)),MAX($AC$3:AC662)+1,""))</f>
        <v/>
      </c>
      <c r="AD663" s="40" t="str">
        <f aca="false">IF($B663="","",IF(AND(OR(ABSENSI!$H$10="",$F663=ABSENSI!$H$10),OR(ABSENSI!$H$11="",$G663=ABSENSI!$H$11),OR(ABSENSI!$H$12="",$P663=ABSENSI!$H$12)),MAX($AD$3:AD662)+1,""))</f>
        <v/>
      </c>
      <c r="AE663" s="40" t="str">
        <f aca="false">IF($B663="","",IF(AND(OR(KARTU!$K$6="",$F663=KARTU!$K$6),OR(KARTU!$K$7="",$G663=KARTU!$K$7),OR(KARTU!$K$8="",$P663=KARTU!$K$8)),MAX($AE$3:AE662)+1,""))</f>
        <v/>
      </c>
    </row>
    <row r="664" customFormat="false" ht="15" hidden="false" customHeight="false" outlineLevel="0" collapsed="false">
      <c r="A664" s="35" t="str">
        <f aca="false">IF($B664="","",COUNTA($B$4:$B664))</f>
        <v/>
      </c>
      <c r="B664" s="36"/>
      <c r="C664" s="37"/>
      <c r="D664" s="37"/>
      <c r="E664" s="38"/>
      <c r="F664" s="36"/>
      <c r="G664" s="39"/>
      <c r="H664" s="39"/>
      <c r="I664" s="36"/>
      <c r="J664" s="36"/>
      <c r="K664" s="36"/>
      <c r="L664" s="36"/>
      <c r="M664" s="40" t="str">
        <f aca="false">IF($F664="","",$F664&amp;IF($G664="",""," - RT "&amp;$G664&amp;IF($H664="","","/"&amp;$H664)))</f>
        <v/>
      </c>
      <c r="N664" s="36"/>
      <c r="O664" s="37"/>
      <c r="P664" s="39"/>
      <c r="Q664" s="41"/>
      <c r="R664" s="35" t="str">
        <f aca="true">IF(OR($B664="",$Q664=""),"",DATEDIF($Q664,TODAY(),"Y"))</f>
        <v/>
      </c>
      <c r="S664" s="40" t="str">
        <f aca="false">IF($R664="","",INDEX(usia_label,MATCH($R664,usia_min,1)))</f>
        <v/>
      </c>
      <c r="T664" s="36"/>
      <c r="U664" s="41"/>
      <c r="V664" s="36"/>
      <c r="W664" s="36"/>
      <c r="X664" s="40" t="str">
        <f aca="false">IF($M664="","",$M664&amp;"#"&amp;COUNTIF($M$4:$M664,$M664))</f>
        <v/>
      </c>
      <c r="Y664" s="40" t="str">
        <f aca="false">IF($B664="","",IF($C664="","NIK kosong",IF(LEN($C664)&lt;&gt;16,"NIK bukan 16 digit",IF(COUNTIF($C$4:$C$2003,$C664&amp;"*")&gt;1,"NIK ganda",IF(AND($D664&lt;&gt;"",LEN($D664)&lt;&gt;16),"No. KK bukan 16 digit",IF(AND($F664="",$I664=""),"Alamat kosong",IF($N664="","Jabatan kosong",IF($O664="","No. HP kosong",IF(AND($R664&lt;&gt;"",$R664&lt;17),"Usia di bawah 17","")))))))))</f>
        <v/>
      </c>
      <c r="Z664" s="40" t="str">
        <f aca="false">IF($B664="","",IF(AND(OR(CARI!$C$5="",ISNUMBER(SEARCH(CARI!$C$5,$B664&amp;" "&amp;$C664&amp;" "&amp;$D664&amp;" "&amp;$O664&amp;" "&amp;$I664&amp;" "&amp;$F664&amp;" "&amp;$J664&amp;" "&amp;$K664&amp;" "&amp;$L664&amp;" "&amp;$V664))),OR(CARI!$C$6="",$F664=CARI!$C$6),OR(CARI!$C$7="",$G664=CARI!$C$7),OR(CARI!$C$8="",$T664=CARI!$C$8)),MAX($Z$3:Z663)+1,""))</f>
        <v/>
      </c>
      <c r="AA664" s="40" t="str">
        <f aca="false">IF($Y664="","",MAX($AA$3:AA663)+1)</f>
        <v/>
      </c>
      <c r="AB664" s="40" t="str">
        <f aca="false">IF($F664="","",$F664&amp;"#"&amp;COUNTIF($F$4:$F664,$F664))</f>
        <v/>
      </c>
      <c r="AC664" s="40" t="str">
        <f aca="false">IF($B664="","",IF(AND(OR(CETAK!$J$10="",$F664=CETAK!$J$10),OR(CETAK!$J$11="",$G664=CETAK!$J$11),OR(CETAK!$J$12="",$P664=CETAK!$J$12),OR(CETAK!$J$13="",$N664=CETAK!$J$13),OR(CETAK!$J$14="",$T664=CETAK!$J$14)),MAX($AC$3:AC663)+1,""))</f>
        <v/>
      </c>
      <c r="AD664" s="40" t="str">
        <f aca="false">IF($B664="","",IF(AND(OR(ABSENSI!$H$10="",$F664=ABSENSI!$H$10),OR(ABSENSI!$H$11="",$G664=ABSENSI!$H$11),OR(ABSENSI!$H$12="",$P664=ABSENSI!$H$12)),MAX($AD$3:AD663)+1,""))</f>
        <v/>
      </c>
      <c r="AE664" s="40" t="str">
        <f aca="false">IF($B664="","",IF(AND(OR(KARTU!$K$6="",$F664=KARTU!$K$6),OR(KARTU!$K$7="",$G664=KARTU!$K$7),OR(KARTU!$K$8="",$P664=KARTU!$K$8)),MAX($AE$3:AE663)+1,""))</f>
        <v/>
      </c>
    </row>
    <row r="665" customFormat="false" ht="15" hidden="false" customHeight="false" outlineLevel="0" collapsed="false">
      <c r="A665" s="35" t="str">
        <f aca="false">IF($B665="","",COUNTA($B$4:$B665))</f>
        <v/>
      </c>
      <c r="B665" s="36"/>
      <c r="C665" s="37"/>
      <c r="D665" s="37"/>
      <c r="E665" s="38"/>
      <c r="F665" s="36"/>
      <c r="G665" s="39"/>
      <c r="H665" s="39"/>
      <c r="I665" s="36"/>
      <c r="J665" s="36"/>
      <c r="K665" s="36"/>
      <c r="L665" s="36"/>
      <c r="M665" s="40" t="str">
        <f aca="false">IF($F665="","",$F665&amp;IF($G665="",""," - RT "&amp;$G665&amp;IF($H665="","","/"&amp;$H665)))</f>
        <v/>
      </c>
      <c r="N665" s="36"/>
      <c r="O665" s="37"/>
      <c r="P665" s="39"/>
      <c r="Q665" s="41"/>
      <c r="R665" s="35" t="str">
        <f aca="true">IF(OR($B665="",$Q665=""),"",DATEDIF($Q665,TODAY(),"Y"))</f>
        <v/>
      </c>
      <c r="S665" s="40" t="str">
        <f aca="false">IF($R665="","",INDEX(usia_label,MATCH($R665,usia_min,1)))</f>
        <v/>
      </c>
      <c r="T665" s="36"/>
      <c r="U665" s="41"/>
      <c r="V665" s="36"/>
      <c r="W665" s="36"/>
      <c r="X665" s="40" t="str">
        <f aca="false">IF($M665="","",$M665&amp;"#"&amp;COUNTIF($M$4:$M665,$M665))</f>
        <v/>
      </c>
      <c r="Y665" s="40" t="str">
        <f aca="false">IF($B665="","",IF($C665="","NIK kosong",IF(LEN($C665)&lt;&gt;16,"NIK bukan 16 digit",IF(COUNTIF($C$4:$C$2003,$C665&amp;"*")&gt;1,"NIK ganda",IF(AND($D665&lt;&gt;"",LEN($D665)&lt;&gt;16),"No. KK bukan 16 digit",IF(AND($F665="",$I665=""),"Alamat kosong",IF($N665="","Jabatan kosong",IF($O665="","No. HP kosong",IF(AND($R665&lt;&gt;"",$R665&lt;17),"Usia di bawah 17","")))))))))</f>
        <v/>
      </c>
      <c r="Z665" s="40" t="str">
        <f aca="false">IF($B665="","",IF(AND(OR(CARI!$C$5="",ISNUMBER(SEARCH(CARI!$C$5,$B665&amp;" "&amp;$C665&amp;" "&amp;$D665&amp;" "&amp;$O665&amp;" "&amp;$I665&amp;" "&amp;$F665&amp;" "&amp;$J665&amp;" "&amp;$K665&amp;" "&amp;$L665&amp;" "&amp;$V665))),OR(CARI!$C$6="",$F665=CARI!$C$6),OR(CARI!$C$7="",$G665=CARI!$C$7),OR(CARI!$C$8="",$T665=CARI!$C$8)),MAX($Z$3:Z664)+1,""))</f>
        <v/>
      </c>
      <c r="AA665" s="40" t="str">
        <f aca="false">IF($Y665="","",MAX($AA$3:AA664)+1)</f>
        <v/>
      </c>
      <c r="AB665" s="40" t="str">
        <f aca="false">IF($F665="","",$F665&amp;"#"&amp;COUNTIF($F$4:$F665,$F665))</f>
        <v/>
      </c>
      <c r="AC665" s="40" t="str">
        <f aca="false">IF($B665="","",IF(AND(OR(CETAK!$J$10="",$F665=CETAK!$J$10),OR(CETAK!$J$11="",$G665=CETAK!$J$11),OR(CETAK!$J$12="",$P665=CETAK!$J$12),OR(CETAK!$J$13="",$N665=CETAK!$J$13),OR(CETAK!$J$14="",$T665=CETAK!$J$14)),MAX($AC$3:AC664)+1,""))</f>
        <v/>
      </c>
      <c r="AD665" s="40" t="str">
        <f aca="false">IF($B665="","",IF(AND(OR(ABSENSI!$H$10="",$F665=ABSENSI!$H$10),OR(ABSENSI!$H$11="",$G665=ABSENSI!$H$11),OR(ABSENSI!$H$12="",$P665=ABSENSI!$H$12)),MAX($AD$3:AD664)+1,""))</f>
        <v/>
      </c>
      <c r="AE665" s="40" t="str">
        <f aca="false">IF($B665="","",IF(AND(OR(KARTU!$K$6="",$F665=KARTU!$K$6),OR(KARTU!$K$7="",$G665=KARTU!$K$7),OR(KARTU!$K$8="",$P665=KARTU!$K$8)),MAX($AE$3:AE664)+1,""))</f>
        <v/>
      </c>
    </row>
    <row r="666" customFormat="false" ht="15" hidden="false" customHeight="false" outlineLevel="0" collapsed="false">
      <c r="A666" s="35" t="str">
        <f aca="false">IF($B666="","",COUNTA($B$4:$B666))</f>
        <v/>
      </c>
      <c r="B666" s="36"/>
      <c r="C666" s="37"/>
      <c r="D666" s="37"/>
      <c r="E666" s="38"/>
      <c r="F666" s="36"/>
      <c r="G666" s="39"/>
      <c r="H666" s="39"/>
      <c r="I666" s="36"/>
      <c r="J666" s="36"/>
      <c r="K666" s="36"/>
      <c r="L666" s="36"/>
      <c r="M666" s="40" t="str">
        <f aca="false">IF($F666="","",$F666&amp;IF($G666="",""," - RT "&amp;$G666&amp;IF($H666="","","/"&amp;$H666)))</f>
        <v/>
      </c>
      <c r="N666" s="36"/>
      <c r="O666" s="37"/>
      <c r="P666" s="39"/>
      <c r="Q666" s="41"/>
      <c r="R666" s="35" t="str">
        <f aca="true">IF(OR($B666="",$Q666=""),"",DATEDIF($Q666,TODAY(),"Y"))</f>
        <v/>
      </c>
      <c r="S666" s="40" t="str">
        <f aca="false">IF($R666="","",INDEX(usia_label,MATCH($R666,usia_min,1)))</f>
        <v/>
      </c>
      <c r="T666" s="36"/>
      <c r="U666" s="41"/>
      <c r="V666" s="36"/>
      <c r="W666" s="36"/>
      <c r="X666" s="40" t="str">
        <f aca="false">IF($M666="","",$M666&amp;"#"&amp;COUNTIF($M$4:$M666,$M666))</f>
        <v/>
      </c>
      <c r="Y666" s="40" t="str">
        <f aca="false">IF($B666="","",IF($C666="","NIK kosong",IF(LEN($C666)&lt;&gt;16,"NIK bukan 16 digit",IF(COUNTIF($C$4:$C$2003,$C666&amp;"*")&gt;1,"NIK ganda",IF(AND($D666&lt;&gt;"",LEN($D666)&lt;&gt;16),"No. KK bukan 16 digit",IF(AND($F666="",$I666=""),"Alamat kosong",IF($N666="","Jabatan kosong",IF($O666="","No. HP kosong",IF(AND($R666&lt;&gt;"",$R666&lt;17),"Usia di bawah 17","")))))))))</f>
        <v/>
      </c>
      <c r="Z666" s="40" t="str">
        <f aca="false">IF($B666="","",IF(AND(OR(CARI!$C$5="",ISNUMBER(SEARCH(CARI!$C$5,$B666&amp;" "&amp;$C666&amp;" "&amp;$D666&amp;" "&amp;$O666&amp;" "&amp;$I666&amp;" "&amp;$F666&amp;" "&amp;$J666&amp;" "&amp;$K666&amp;" "&amp;$L666&amp;" "&amp;$V666))),OR(CARI!$C$6="",$F666=CARI!$C$6),OR(CARI!$C$7="",$G666=CARI!$C$7),OR(CARI!$C$8="",$T666=CARI!$C$8)),MAX($Z$3:Z665)+1,""))</f>
        <v/>
      </c>
      <c r="AA666" s="40" t="str">
        <f aca="false">IF($Y666="","",MAX($AA$3:AA665)+1)</f>
        <v/>
      </c>
      <c r="AB666" s="40" t="str">
        <f aca="false">IF($F666="","",$F666&amp;"#"&amp;COUNTIF($F$4:$F666,$F666))</f>
        <v/>
      </c>
      <c r="AC666" s="40" t="str">
        <f aca="false">IF($B666="","",IF(AND(OR(CETAK!$J$10="",$F666=CETAK!$J$10),OR(CETAK!$J$11="",$G666=CETAK!$J$11),OR(CETAK!$J$12="",$P666=CETAK!$J$12),OR(CETAK!$J$13="",$N666=CETAK!$J$13),OR(CETAK!$J$14="",$T666=CETAK!$J$14)),MAX($AC$3:AC665)+1,""))</f>
        <v/>
      </c>
      <c r="AD666" s="40" t="str">
        <f aca="false">IF($B666="","",IF(AND(OR(ABSENSI!$H$10="",$F666=ABSENSI!$H$10),OR(ABSENSI!$H$11="",$G666=ABSENSI!$H$11),OR(ABSENSI!$H$12="",$P666=ABSENSI!$H$12)),MAX($AD$3:AD665)+1,""))</f>
        <v/>
      </c>
      <c r="AE666" s="40" t="str">
        <f aca="false">IF($B666="","",IF(AND(OR(KARTU!$K$6="",$F666=KARTU!$K$6),OR(KARTU!$K$7="",$G666=KARTU!$K$7),OR(KARTU!$K$8="",$P666=KARTU!$K$8)),MAX($AE$3:AE665)+1,""))</f>
        <v/>
      </c>
    </row>
    <row r="667" customFormat="false" ht="15" hidden="false" customHeight="false" outlineLevel="0" collapsed="false">
      <c r="A667" s="35" t="str">
        <f aca="false">IF($B667="","",COUNTA($B$4:$B667))</f>
        <v/>
      </c>
      <c r="B667" s="36"/>
      <c r="C667" s="37"/>
      <c r="D667" s="37"/>
      <c r="E667" s="38"/>
      <c r="F667" s="36"/>
      <c r="G667" s="39"/>
      <c r="H667" s="39"/>
      <c r="I667" s="36"/>
      <c r="J667" s="36"/>
      <c r="K667" s="36"/>
      <c r="L667" s="36"/>
      <c r="M667" s="40" t="str">
        <f aca="false">IF($F667="","",$F667&amp;IF($G667="",""," - RT "&amp;$G667&amp;IF($H667="","","/"&amp;$H667)))</f>
        <v/>
      </c>
      <c r="N667" s="36"/>
      <c r="O667" s="37"/>
      <c r="P667" s="39"/>
      <c r="Q667" s="41"/>
      <c r="R667" s="35" t="str">
        <f aca="true">IF(OR($B667="",$Q667=""),"",DATEDIF($Q667,TODAY(),"Y"))</f>
        <v/>
      </c>
      <c r="S667" s="40" t="str">
        <f aca="false">IF($R667="","",INDEX(usia_label,MATCH($R667,usia_min,1)))</f>
        <v/>
      </c>
      <c r="T667" s="36"/>
      <c r="U667" s="41"/>
      <c r="V667" s="36"/>
      <c r="W667" s="36"/>
      <c r="X667" s="40" t="str">
        <f aca="false">IF($M667="","",$M667&amp;"#"&amp;COUNTIF($M$4:$M667,$M667))</f>
        <v/>
      </c>
      <c r="Y667" s="40" t="str">
        <f aca="false">IF($B667="","",IF($C667="","NIK kosong",IF(LEN($C667)&lt;&gt;16,"NIK bukan 16 digit",IF(COUNTIF($C$4:$C$2003,$C667&amp;"*")&gt;1,"NIK ganda",IF(AND($D667&lt;&gt;"",LEN($D667)&lt;&gt;16),"No. KK bukan 16 digit",IF(AND($F667="",$I667=""),"Alamat kosong",IF($N667="","Jabatan kosong",IF($O667="","No. HP kosong",IF(AND($R667&lt;&gt;"",$R667&lt;17),"Usia di bawah 17","")))))))))</f>
        <v/>
      </c>
      <c r="Z667" s="40" t="str">
        <f aca="false">IF($B667="","",IF(AND(OR(CARI!$C$5="",ISNUMBER(SEARCH(CARI!$C$5,$B667&amp;" "&amp;$C667&amp;" "&amp;$D667&amp;" "&amp;$O667&amp;" "&amp;$I667&amp;" "&amp;$F667&amp;" "&amp;$J667&amp;" "&amp;$K667&amp;" "&amp;$L667&amp;" "&amp;$V667))),OR(CARI!$C$6="",$F667=CARI!$C$6),OR(CARI!$C$7="",$G667=CARI!$C$7),OR(CARI!$C$8="",$T667=CARI!$C$8)),MAX($Z$3:Z666)+1,""))</f>
        <v/>
      </c>
      <c r="AA667" s="40" t="str">
        <f aca="false">IF($Y667="","",MAX($AA$3:AA666)+1)</f>
        <v/>
      </c>
      <c r="AB667" s="40" t="str">
        <f aca="false">IF($F667="","",$F667&amp;"#"&amp;COUNTIF($F$4:$F667,$F667))</f>
        <v/>
      </c>
      <c r="AC667" s="40" t="str">
        <f aca="false">IF($B667="","",IF(AND(OR(CETAK!$J$10="",$F667=CETAK!$J$10),OR(CETAK!$J$11="",$G667=CETAK!$J$11),OR(CETAK!$J$12="",$P667=CETAK!$J$12),OR(CETAK!$J$13="",$N667=CETAK!$J$13),OR(CETAK!$J$14="",$T667=CETAK!$J$14)),MAX($AC$3:AC666)+1,""))</f>
        <v/>
      </c>
      <c r="AD667" s="40" t="str">
        <f aca="false">IF($B667="","",IF(AND(OR(ABSENSI!$H$10="",$F667=ABSENSI!$H$10),OR(ABSENSI!$H$11="",$G667=ABSENSI!$H$11),OR(ABSENSI!$H$12="",$P667=ABSENSI!$H$12)),MAX($AD$3:AD666)+1,""))</f>
        <v/>
      </c>
      <c r="AE667" s="40" t="str">
        <f aca="false">IF($B667="","",IF(AND(OR(KARTU!$K$6="",$F667=KARTU!$K$6),OR(KARTU!$K$7="",$G667=KARTU!$K$7),OR(KARTU!$K$8="",$P667=KARTU!$K$8)),MAX($AE$3:AE666)+1,""))</f>
        <v/>
      </c>
    </row>
    <row r="668" customFormat="false" ht="15" hidden="false" customHeight="false" outlineLevel="0" collapsed="false">
      <c r="A668" s="35" t="str">
        <f aca="false">IF($B668="","",COUNTA($B$4:$B668))</f>
        <v/>
      </c>
      <c r="B668" s="36"/>
      <c r="C668" s="37"/>
      <c r="D668" s="37"/>
      <c r="E668" s="38"/>
      <c r="F668" s="36"/>
      <c r="G668" s="39"/>
      <c r="H668" s="39"/>
      <c r="I668" s="36"/>
      <c r="J668" s="36"/>
      <c r="K668" s="36"/>
      <c r="L668" s="36"/>
      <c r="M668" s="40" t="str">
        <f aca="false">IF($F668="","",$F668&amp;IF($G668="",""," - RT "&amp;$G668&amp;IF($H668="","","/"&amp;$H668)))</f>
        <v/>
      </c>
      <c r="N668" s="36"/>
      <c r="O668" s="37"/>
      <c r="P668" s="39"/>
      <c r="Q668" s="41"/>
      <c r="R668" s="35" t="str">
        <f aca="true">IF(OR($B668="",$Q668=""),"",DATEDIF($Q668,TODAY(),"Y"))</f>
        <v/>
      </c>
      <c r="S668" s="40" t="str">
        <f aca="false">IF($R668="","",INDEX(usia_label,MATCH($R668,usia_min,1)))</f>
        <v/>
      </c>
      <c r="T668" s="36"/>
      <c r="U668" s="41"/>
      <c r="V668" s="36"/>
      <c r="W668" s="36"/>
      <c r="X668" s="40" t="str">
        <f aca="false">IF($M668="","",$M668&amp;"#"&amp;COUNTIF($M$4:$M668,$M668))</f>
        <v/>
      </c>
      <c r="Y668" s="40" t="str">
        <f aca="false">IF($B668="","",IF($C668="","NIK kosong",IF(LEN($C668)&lt;&gt;16,"NIK bukan 16 digit",IF(COUNTIF($C$4:$C$2003,$C668&amp;"*")&gt;1,"NIK ganda",IF(AND($D668&lt;&gt;"",LEN($D668)&lt;&gt;16),"No. KK bukan 16 digit",IF(AND($F668="",$I668=""),"Alamat kosong",IF($N668="","Jabatan kosong",IF($O668="","No. HP kosong",IF(AND($R668&lt;&gt;"",$R668&lt;17),"Usia di bawah 17","")))))))))</f>
        <v/>
      </c>
      <c r="Z668" s="40" t="str">
        <f aca="false">IF($B668="","",IF(AND(OR(CARI!$C$5="",ISNUMBER(SEARCH(CARI!$C$5,$B668&amp;" "&amp;$C668&amp;" "&amp;$D668&amp;" "&amp;$O668&amp;" "&amp;$I668&amp;" "&amp;$F668&amp;" "&amp;$J668&amp;" "&amp;$K668&amp;" "&amp;$L668&amp;" "&amp;$V668))),OR(CARI!$C$6="",$F668=CARI!$C$6),OR(CARI!$C$7="",$G668=CARI!$C$7),OR(CARI!$C$8="",$T668=CARI!$C$8)),MAX($Z$3:Z667)+1,""))</f>
        <v/>
      </c>
      <c r="AA668" s="40" t="str">
        <f aca="false">IF($Y668="","",MAX($AA$3:AA667)+1)</f>
        <v/>
      </c>
      <c r="AB668" s="40" t="str">
        <f aca="false">IF($F668="","",$F668&amp;"#"&amp;COUNTIF($F$4:$F668,$F668))</f>
        <v/>
      </c>
      <c r="AC668" s="40" t="str">
        <f aca="false">IF($B668="","",IF(AND(OR(CETAK!$J$10="",$F668=CETAK!$J$10),OR(CETAK!$J$11="",$G668=CETAK!$J$11),OR(CETAK!$J$12="",$P668=CETAK!$J$12),OR(CETAK!$J$13="",$N668=CETAK!$J$13),OR(CETAK!$J$14="",$T668=CETAK!$J$14)),MAX($AC$3:AC667)+1,""))</f>
        <v/>
      </c>
      <c r="AD668" s="40" t="str">
        <f aca="false">IF($B668="","",IF(AND(OR(ABSENSI!$H$10="",$F668=ABSENSI!$H$10),OR(ABSENSI!$H$11="",$G668=ABSENSI!$H$11),OR(ABSENSI!$H$12="",$P668=ABSENSI!$H$12)),MAX($AD$3:AD667)+1,""))</f>
        <v/>
      </c>
      <c r="AE668" s="40" t="str">
        <f aca="false">IF($B668="","",IF(AND(OR(KARTU!$K$6="",$F668=KARTU!$K$6),OR(KARTU!$K$7="",$G668=KARTU!$K$7),OR(KARTU!$K$8="",$P668=KARTU!$K$8)),MAX($AE$3:AE667)+1,""))</f>
        <v/>
      </c>
    </row>
    <row r="669" customFormat="false" ht="15" hidden="false" customHeight="false" outlineLevel="0" collapsed="false">
      <c r="A669" s="35" t="str">
        <f aca="false">IF($B669="","",COUNTA($B$4:$B669))</f>
        <v/>
      </c>
      <c r="B669" s="36"/>
      <c r="C669" s="37"/>
      <c r="D669" s="37"/>
      <c r="E669" s="38"/>
      <c r="F669" s="36"/>
      <c r="G669" s="39"/>
      <c r="H669" s="39"/>
      <c r="I669" s="36"/>
      <c r="J669" s="36"/>
      <c r="K669" s="36"/>
      <c r="L669" s="36"/>
      <c r="M669" s="40" t="str">
        <f aca="false">IF($F669="","",$F669&amp;IF($G669="",""," - RT "&amp;$G669&amp;IF($H669="","","/"&amp;$H669)))</f>
        <v/>
      </c>
      <c r="N669" s="36"/>
      <c r="O669" s="37"/>
      <c r="P669" s="39"/>
      <c r="Q669" s="41"/>
      <c r="R669" s="35" t="str">
        <f aca="true">IF(OR($B669="",$Q669=""),"",DATEDIF($Q669,TODAY(),"Y"))</f>
        <v/>
      </c>
      <c r="S669" s="40" t="str">
        <f aca="false">IF($R669="","",INDEX(usia_label,MATCH($R669,usia_min,1)))</f>
        <v/>
      </c>
      <c r="T669" s="36"/>
      <c r="U669" s="41"/>
      <c r="V669" s="36"/>
      <c r="W669" s="36"/>
      <c r="X669" s="40" t="str">
        <f aca="false">IF($M669="","",$M669&amp;"#"&amp;COUNTIF($M$4:$M669,$M669))</f>
        <v/>
      </c>
      <c r="Y669" s="40" t="str">
        <f aca="false">IF($B669="","",IF($C669="","NIK kosong",IF(LEN($C669)&lt;&gt;16,"NIK bukan 16 digit",IF(COUNTIF($C$4:$C$2003,$C669&amp;"*")&gt;1,"NIK ganda",IF(AND($D669&lt;&gt;"",LEN($D669)&lt;&gt;16),"No. KK bukan 16 digit",IF(AND($F669="",$I669=""),"Alamat kosong",IF($N669="","Jabatan kosong",IF($O669="","No. HP kosong",IF(AND($R669&lt;&gt;"",$R669&lt;17),"Usia di bawah 17","")))))))))</f>
        <v/>
      </c>
      <c r="Z669" s="40" t="str">
        <f aca="false">IF($B669="","",IF(AND(OR(CARI!$C$5="",ISNUMBER(SEARCH(CARI!$C$5,$B669&amp;" "&amp;$C669&amp;" "&amp;$D669&amp;" "&amp;$O669&amp;" "&amp;$I669&amp;" "&amp;$F669&amp;" "&amp;$J669&amp;" "&amp;$K669&amp;" "&amp;$L669&amp;" "&amp;$V669))),OR(CARI!$C$6="",$F669=CARI!$C$6),OR(CARI!$C$7="",$G669=CARI!$C$7),OR(CARI!$C$8="",$T669=CARI!$C$8)),MAX($Z$3:Z668)+1,""))</f>
        <v/>
      </c>
      <c r="AA669" s="40" t="str">
        <f aca="false">IF($Y669="","",MAX($AA$3:AA668)+1)</f>
        <v/>
      </c>
      <c r="AB669" s="40" t="str">
        <f aca="false">IF($F669="","",$F669&amp;"#"&amp;COUNTIF($F$4:$F669,$F669))</f>
        <v/>
      </c>
      <c r="AC669" s="40" t="str">
        <f aca="false">IF($B669="","",IF(AND(OR(CETAK!$J$10="",$F669=CETAK!$J$10),OR(CETAK!$J$11="",$G669=CETAK!$J$11),OR(CETAK!$J$12="",$P669=CETAK!$J$12),OR(CETAK!$J$13="",$N669=CETAK!$J$13),OR(CETAK!$J$14="",$T669=CETAK!$J$14)),MAX($AC$3:AC668)+1,""))</f>
        <v/>
      </c>
      <c r="AD669" s="40" t="str">
        <f aca="false">IF($B669="","",IF(AND(OR(ABSENSI!$H$10="",$F669=ABSENSI!$H$10),OR(ABSENSI!$H$11="",$G669=ABSENSI!$H$11),OR(ABSENSI!$H$12="",$P669=ABSENSI!$H$12)),MAX($AD$3:AD668)+1,""))</f>
        <v/>
      </c>
      <c r="AE669" s="40" t="str">
        <f aca="false">IF($B669="","",IF(AND(OR(KARTU!$K$6="",$F669=KARTU!$K$6),OR(KARTU!$K$7="",$G669=KARTU!$K$7),OR(KARTU!$K$8="",$P669=KARTU!$K$8)),MAX($AE$3:AE668)+1,""))</f>
        <v/>
      </c>
    </row>
    <row r="670" customFormat="false" ht="15" hidden="false" customHeight="false" outlineLevel="0" collapsed="false">
      <c r="A670" s="35" t="str">
        <f aca="false">IF($B670="","",COUNTA($B$4:$B670))</f>
        <v/>
      </c>
      <c r="B670" s="36"/>
      <c r="C670" s="37"/>
      <c r="D670" s="37"/>
      <c r="E670" s="38"/>
      <c r="F670" s="36"/>
      <c r="G670" s="39"/>
      <c r="H670" s="39"/>
      <c r="I670" s="36"/>
      <c r="J670" s="36"/>
      <c r="K670" s="36"/>
      <c r="L670" s="36"/>
      <c r="M670" s="40" t="str">
        <f aca="false">IF($F670="","",$F670&amp;IF($G670="",""," - RT "&amp;$G670&amp;IF($H670="","","/"&amp;$H670)))</f>
        <v/>
      </c>
      <c r="N670" s="36"/>
      <c r="O670" s="37"/>
      <c r="P670" s="39"/>
      <c r="Q670" s="41"/>
      <c r="R670" s="35" t="str">
        <f aca="true">IF(OR($B670="",$Q670=""),"",DATEDIF($Q670,TODAY(),"Y"))</f>
        <v/>
      </c>
      <c r="S670" s="40" t="str">
        <f aca="false">IF($R670="","",INDEX(usia_label,MATCH($R670,usia_min,1)))</f>
        <v/>
      </c>
      <c r="T670" s="36"/>
      <c r="U670" s="41"/>
      <c r="V670" s="36"/>
      <c r="W670" s="36"/>
      <c r="X670" s="40" t="str">
        <f aca="false">IF($M670="","",$M670&amp;"#"&amp;COUNTIF($M$4:$M670,$M670))</f>
        <v/>
      </c>
      <c r="Y670" s="40" t="str">
        <f aca="false">IF($B670="","",IF($C670="","NIK kosong",IF(LEN($C670)&lt;&gt;16,"NIK bukan 16 digit",IF(COUNTIF($C$4:$C$2003,$C670&amp;"*")&gt;1,"NIK ganda",IF(AND($D670&lt;&gt;"",LEN($D670)&lt;&gt;16),"No. KK bukan 16 digit",IF(AND($F670="",$I670=""),"Alamat kosong",IF($N670="","Jabatan kosong",IF($O670="","No. HP kosong",IF(AND($R670&lt;&gt;"",$R670&lt;17),"Usia di bawah 17","")))))))))</f>
        <v/>
      </c>
      <c r="Z670" s="40" t="str">
        <f aca="false">IF($B670="","",IF(AND(OR(CARI!$C$5="",ISNUMBER(SEARCH(CARI!$C$5,$B670&amp;" "&amp;$C670&amp;" "&amp;$D670&amp;" "&amp;$O670&amp;" "&amp;$I670&amp;" "&amp;$F670&amp;" "&amp;$J670&amp;" "&amp;$K670&amp;" "&amp;$L670&amp;" "&amp;$V670))),OR(CARI!$C$6="",$F670=CARI!$C$6),OR(CARI!$C$7="",$G670=CARI!$C$7),OR(CARI!$C$8="",$T670=CARI!$C$8)),MAX($Z$3:Z669)+1,""))</f>
        <v/>
      </c>
      <c r="AA670" s="40" t="str">
        <f aca="false">IF($Y670="","",MAX($AA$3:AA669)+1)</f>
        <v/>
      </c>
      <c r="AB670" s="40" t="str">
        <f aca="false">IF($F670="","",$F670&amp;"#"&amp;COUNTIF($F$4:$F670,$F670))</f>
        <v/>
      </c>
      <c r="AC670" s="40" t="str">
        <f aca="false">IF($B670="","",IF(AND(OR(CETAK!$J$10="",$F670=CETAK!$J$10),OR(CETAK!$J$11="",$G670=CETAK!$J$11),OR(CETAK!$J$12="",$P670=CETAK!$J$12),OR(CETAK!$J$13="",$N670=CETAK!$J$13),OR(CETAK!$J$14="",$T670=CETAK!$J$14)),MAX($AC$3:AC669)+1,""))</f>
        <v/>
      </c>
      <c r="AD670" s="40" t="str">
        <f aca="false">IF($B670="","",IF(AND(OR(ABSENSI!$H$10="",$F670=ABSENSI!$H$10),OR(ABSENSI!$H$11="",$G670=ABSENSI!$H$11),OR(ABSENSI!$H$12="",$P670=ABSENSI!$H$12)),MAX($AD$3:AD669)+1,""))</f>
        <v/>
      </c>
      <c r="AE670" s="40" t="str">
        <f aca="false">IF($B670="","",IF(AND(OR(KARTU!$K$6="",$F670=KARTU!$K$6),OR(KARTU!$K$7="",$G670=KARTU!$K$7),OR(KARTU!$K$8="",$P670=KARTU!$K$8)),MAX($AE$3:AE669)+1,""))</f>
        <v/>
      </c>
    </row>
    <row r="671" customFormat="false" ht="15" hidden="false" customHeight="false" outlineLevel="0" collapsed="false">
      <c r="A671" s="35" t="str">
        <f aca="false">IF($B671="","",COUNTA($B$4:$B671))</f>
        <v/>
      </c>
      <c r="B671" s="36"/>
      <c r="C671" s="37"/>
      <c r="D671" s="37"/>
      <c r="E671" s="38"/>
      <c r="F671" s="36"/>
      <c r="G671" s="39"/>
      <c r="H671" s="39"/>
      <c r="I671" s="36"/>
      <c r="J671" s="36"/>
      <c r="K671" s="36"/>
      <c r="L671" s="36"/>
      <c r="M671" s="40" t="str">
        <f aca="false">IF($F671="","",$F671&amp;IF($G671="",""," - RT "&amp;$G671&amp;IF($H671="","","/"&amp;$H671)))</f>
        <v/>
      </c>
      <c r="N671" s="36"/>
      <c r="O671" s="37"/>
      <c r="P671" s="39"/>
      <c r="Q671" s="41"/>
      <c r="R671" s="35" t="str">
        <f aca="true">IF(OR($B671="",$Q671=""),"",DATEDIF($Q671,TODAY(),"Y"))</f>
        <v/>
      </c>
      <c r="S671" s="40" t="str">
        <f aca="false">IF($R671="","",INDEX(usia_label,MATCH($R671,usia_min,1)))</f>
        <v/>
      </c>
      <c r="T671" s="36"/>
      <c r="U671" s="41"/>
      <c r="V671" s="36"/>
      <c r="W671" s="36"/>
      <c r="X671" s="40" t="str">
        <f aca="false">IF($M671="","",$M671&amp;"#"&amp;COUNTIF($M$4:$M671,$M671))</f>
        <v/>
      </c>
      <c r="Y671" s="40" t="str">
        <f aca="false">IF($B671="","",IF($C671="","NIK kosong",IF(LEN($C671)&lt;&gt;16,"NIK bukan 16 digit",IF(COUNTIF($C$4:$C$2003,$C671&amp;"*")&gt;1,"NIK ganda",IF(AND($D671&lt;&gt;"",LEN($D671)&lt;&gt;16),"No. KK bukan 16 digit",IF(AND($F671="",$I671=""),"Alamat kosong",IF($N671="","Jabatan kosong",IF($O671="","No. HP kosong",IF(AND($R671&lt;&gt;"",$R671&lt;17),"Usia di bawah 17","")))))))))</f>
        <v/>
      </c>
      <c r="Z671" s="40" t="str">
        <f aca="false">IF($B671="","",IF(AND(OR(CARI!$C$5="",ISNUMBER(SEARCH(CARI!$C$5,$B671&amp;" "&amp;$C671&amp;" "&amp;$D671&amp;" "&amp;$O671&amp;" "&amp;$I671&amp;" "&amp;$F671&amp;" "&amp;$J671&amp;" "&amp;$K671&amp;" "&amp;$L671&amp;" "&amp;$V671))),OR(CARI!$C$6="",$F671=CARI!$C$6),OR(CARI!$C$7="",$G671=CARI!$C$7),OR(CARI!$C$8="",$T671=CARI!$C$8)),MAX($Z$3:Z670)+1,""))</f>
        <v/>
      </c>
      <c r="AA671" s="40" t="str">
        <f aca="false">IF($Y671="","",MAX($AA$3:AA670)+1)</f>
        <v/>
      </c>
      <c r="AB671" s="40" t="str">
        <f aca="false">IF($F671="","",$F671&amp;"#"&amp;COUNTIF($F$4:$F671,$F671))</f>
        <v/>
      </c>
      <c r="AC671" s="40" t="str">
        <f aca="false">IF($B671="","",IF(AND(OR(CETAK!$J$10="",$F671=CETAK!$J$10),OR(CETAK!$J$11="",$G671=CETAK!$J$11),OR(CETAK!$J$12="",$P671=CETAK!$J$12),OR(CETAK!$J$13="",$N671=CETAK!$J$13),OR(CETAK!$J$14="",$T671=CETAK!$J$14)),MAX($AC$3:AC670)+1,""))</f>
        <v/>
      </c>
      <c r="AD671" s="40" t="str">
        <f aca="false">IF($B671="","",IF(AND(OR(ABSENSI!$H$10="",$F671=ABSENSI!$H$10),OR(ABSENSI!$H$11="",$G671=ABSENSI!$H$11),OR(ABSENSI!$H$12="",$P671=ABSENSI!$H$12)),MAX($AD$3:AD670)+1,""))</f>
        <v/>
      </c>
      <c r="AE671" s="40" t="str">
        <f aca="false">IF($B671="","",IF(AND(OR(KARTU!$K$6="",$F671=KARTU!$K$6),OR(KARTU!$K$7="",$G671=KARTU!$K$7),OR(KARTU!$K$8="",$P671=KARTU!$K$8)),MAX($AE$3:AE670)+1,""))</f>
        <v/>
      </c>
    </row>
    <row r="672" customFormat="false" ht="15" hidden="false" customHeight="false" outlineLevel="0" collapsed="false">
      <c r="A672" s="35" t="str">
        <f aca="false">IF($B672="","",COUNTA($B$4:$B672))</f>
        <v/>
      </c>
      <c r="B672" s="36"/>
      <c r="C672" s="37"/>
      <c r="D672" s="37"/>
      <c r="E672" s="38"/>
      <c r="F672" s="36"/>
      <c r="G672" s="39"/>
      <c r="H672" s="39"/>
      <c r="I672" s="36"/>
      <c r="J672" s="36"/>
      <c r="K672" s="36"/>
      <c r="L672" s="36"/>
      <c r="M672" s="40" t="str">
        <f aca="false">IF($F672="","",$F672&amp;IF($G672="",""," - RT "&amp;$G672&amp;IF($H672="","","/"&amp;$H672)))</f>
        <v/>
      </c>
      <c r="N672" s="36"/>
      <c r="O672" s="37"/>
      <c r="P672" s="39"/>
      <c r="Q672" s="41"/>
      <c r="R672" s="35" t="str">
        <f aca="true">IF(OR($B672="",$Q672=""),"",DATEDIF($Q672,TODAY(),"Y"))</f>
        <v/>
      </c>
      <c r="S672" s="40" t="str">
        <f aca="false">IF($R672="","",INDEX(usia_label,MATCH($R672,usia_min,1)))</f>
        <v/>
      </c>
      <c r="T672" s="36"/>
      <c r="U672" s="41"/>
      <c r="V672" s="36"/>
      <c r="W672" s="36"/>
      <c r="X672" s="40" t="str">
        <f aca="false">IF($M672="","",$M672&amp;"#"&amp;COUNTIF($M$4:$M672,$M672))</f>
        <v/>
      </c>
      <c r="Y672" s="40" t="str">
        <f aca="false">IF($B672="","",IF($C672="","NIK kosong",IF(LEN($C672)&lt;&gt;16,"NIK bukan 16 digit",IF(COUNTIF($C$4:$C$2003,$C672&amp;"*")&gt;1,"NIK ganda",IF(AND($D672&lt;&gt;"",LEN($D672)&lt;&gt;16),"No. KK bukan 16 digit",IF(AND($F672="",$I672=""),"Alamat kosong",IF($N672="","Jabatan kosong",IF($O672="","No. HP kosong",IF(AND($R672&lt;&gt;"",$R672&lt;17),"Usia di bawah 17","")))))))))</f>
        <v/>
      </c>
      <c r="Z672" s="40" t="str">
        <f aca="false">IF($B672="","",IF(AND(OR(CARI!$C$5="",ISNUMBER(SEARCH(CARI!$C$5,$B672&amp;" "&amp;$C672&amp;" "&amp;$D672&amp;" "&amp;$O672&amp;" "&amp;$I672&amp;" "&amp;$F672&amp;" "&amp;$J672&amp;" "&amp;$K672&amp;" "&amp;$L672&amp;" "&amp;$V672))),OR(CARI!$C$6="",$F672=CARI!$C$6),OR(CARI!$C$7="",$G672=CARI!$C$7),OR(CARI!$C$8="",$T672=CARI!$C$8)),MAX($Z$3:Z671)+1,""))</f>
        <v/>
      </c>
      <c r="AA672" s="40" t="str">
        <f aca="false">IF($Y672="","",MAX($AA$3:AA671)+1)</f>
        <v/>
      </c>
      <c r="AB672" s="40" t="str">
        <f aca="false">IF($F672="","",$F672&amp;"#"&amp;COUNTIF($F$4:$F672,$F672))</f>
        <v/>
      </c>
      <c r="AC672" s="40" t="str">
        <f aca="false">IF($B672="","",IF(AND(OR(CETAK!$J$10="",$F672=CETAK!$J$10),OR(CETAK!$J$11="",$G672=CETAK!$J$11),OR(CETAK!$J$12="",$P672=CETAK!$J$12),OR(CETAK!$J$13="",$N672=CETAK!$J$13),OR(CETAK!$J$14="",$T672=CETAK!$J$14)),MAX($AC$3:AC671)+1,""))</f>
        <v/>
      </c>
      <c r="AD672" s="40" t="str">
        <f aca="false">IF($B672="","",IF(AND(OR(ABSENSI!$H$10="",$F672=ABSENSI!$H$10),OR(ABSENSI!$H$11="",$G672=ABSENSI!$H$11),OR(ABSENSI!$H$12="",$P672=ABSENSI!$H$12)),MAX($AD$3:AD671)+1,""))</f>
        <v/>
      </c>
      <c r="AE672" s="40" t="str">
        <f aca="false">IF($B672="","",IF(AND(OR(KARTU!$K$6="",$F672=KARTU!$K$6),OR(KARTU!$K$7="",$G672=KARTU!$K$7),OR(KARTU!$K$8="",$P672=KARTU!$K$8)),MAX($AE$3:AE671)+1,""))</f>
        <v/>
      </c>
    </row>
    <row r="673" customFormat="false" ht="15" hidden="false" customHeight="false" outlineLevel="0" collapsed="false">
      <c r="A673" s="35" t="str">
        <f aca="false">IF($B673="","",COUNTA($B$4:$B673))</f>
        <v/>
      </c>
      <c r="B673" s="36"/>
      <c r="C673" s="37"/>
      <c r="D673" s="37"/>
      <c r="E673" s="38"/>
      <c r="F673" s="36"/>
      <c r="G673" s="39"/>
      <c r="H673" s="39"/>
      <c r="I673" s="36"/>
      <c r="J673" s="36"/>
      <c r="K673" s="36"/>
      <c r="L673" s="36"/>
      <c r="M673" s="40" t="str">
        <f aca="false">IF($F673="","",$F673&amp;IF($G673="",""," - RT "&amp;$G673&amp;IF($H673="","","/"&amp;$H673)))</f>
        <v/>
      </c>
      <c r="N673" s="36"/>
      <c r="O673" s="37"/>
      <c r="P673" s="39"/>
      <c r="Q673" s="41"/>
      <c r="R673" s="35" t="str">
        <f aca="true">IF(OR($B673="",$Q673=""),"",DATEDIF($Q673,TODAY(),"Y"))</f>
        <v/>
      </c>
      <c r="S673" s="40" t="str">
        <f aca="false">IF($R673="","",INDEX(usia_label,MATCH($R673,usia_min,1)))</f>
        <v/>
      </c>
      <c r="T673" s="36"/>
      <c r="U673" s="41"/>
      <c r="V673" s="36"/>
      <c r="W673" s="36"/>
      <c r="X673" s="40" t="str">
        <f aca="false">IF($M673="","",$M673&amp;"#"&amp;COUNTIF($M$4:$M673,$M673))</f>
        <v/>
      </c>
      <c r="Y673" s="40" t="str">
        <f aca="false">IF($B673="","",IF($C673="","NIK kosong",IF(LEN($C673)&lt;&gt;16,"NIK bukan 16 digit",IF(COUNTIF($C$4:$C$2003,$C673&amp;"*")&gt;1,"NIK ganda",IF(AND($D673&lt;&gt;"",LEN($D673)&lt;&gt;16),"No. KK bukan 16 digit",IF(AND($F673="",$I673=""),"Alamat kosong",IF($N673="","Jabatan kosong",IF($O673="","No. HP kosong",IF(AND($R673&lt;&gt;"",$R673&lt;17),"Usia di bawah 17","")))))))))</f>
        <v/>
      </c>
      <c r="Z673" s="40" t="str">
        <f aca="false">IF($B673="","",IF(AND(OR(CARI!$C$5="",ISNUMBER(SEARCH(CARI!$C$5,$B673&amp;" "&amp;$C673&amp;" "&amp;$D673&amp;" "&amp;$O673&amp;" "&amp;$I673&amp;" "&amp;$F673&amp;" "&amp;$J673&amp;" "&amp;$K673&amp;" "&amp;$L673&amp;" "&amp;$V673))),OR(CARI!$C$6="",$F673=CARI!$C$6),OR(CARI!$C$7="",$G673=CARI!$C$7),OR(CARI!$C$8="",$T673=CARI!$C$8)),MAX($Z$3:Z672)+1,""))</f>
        <v/>
      </c>
      <c r="AA673" s="40" t="str">
        <f aca="false">IF($Y673="","",MAX($AA$3:AA672)+1)</f>
        <v/>
      </c>
      <c r="AB673" s="40" t="str">
        <f aca="false">IF($F673="","",$F673&amp;"#"&amp;COUNTIF($F$4:$F673,$F673))</f>
        <v/>
      </c>
      <c r="AC673" s="40" t="str">
        <f aca="false">IF($B673="","",IF(AND(OR(CETAK!$J$10="",$F673=CETAK!$J$10),OR(CETAK!$J$11="",$G673=CETAK!$J$11),OR(CETAK!$J$12="",$P673=CETAK!$J$12),OR(CETAK!$J$13="",$N673=CETAK!$J$13),OR(CETAK!$J$14="",$T673=CETAK!$J$14)),MAX($AC$3:AC672)+1,""))</f>
        <v/>
      </c>
      <c r="AD673" s="40" t="str">
        <f aca="false">IF($B673="","",IF(AND(OR(ABSENSI!$H$10="",$F673=ABSENSI!$H$10),OR(ABSENSI!$H$11="",$G673=ABSENSI!$H$11),OR(ABSENSI!$H$12="",$P673=ABSENSI!$H$12)),MAX($AD$3:AD672)+1,""))</f>
        <v/>
      </c>
      <c r="AE673" s="40" t="str">
        <f aca="false">IF($B673="","",IF(AND(OR(KARTU!$K$6="",$F673=KARTU!$K$6),OR(KARTU!$K$7="",$G673=KARTU!$K$7),OR(KARTU!$K$8="",$P673=KARTU!$K$8)),MAX($AE$3:AE672)+1,""))</f>
        <v/>
      </c>
    </row>
    <row r="674" customFormat="false" ht="15" hidden="false" customHeight="false" outlineLevel="0" collapsed="false">
      <c r="A674" s="35" t="str">
        <f aca="false">IF($B674="","",COUNTA($B$4:$B674))</f>
        <v/>
      </c>
      <c r="B674" s="36"/>
      <c r="C674" s="37"/>
      <c r="D674" s="37"/>
      <c r="E674" s="38"/>
      <c r="F674" s="36"/>
      <c r="G674" s="39"/>
      <c r="H674" s="39"/>
      <c r="I674" s="36"/>
      <c r="J674" s="36"/>
      <c r="K674" s="36"/>
      <c r="L674" s="36"/>
      <c r="M674" s="40" t="str">
        <f aca="false">IF($F674="","",$F674&amp;IF($G674="",""," - RT "&amp;$G674&amp;IF($H674="","","/"&amp;$H674)))</f>
        <v/>
      </c>
      <c r="N674" s="36"/>
      <c r="O674" s="37"/>
      <c r="P674" s="39"/>
      <c r="Q674" s="41"/>
      <c r="R674" s="35" t="str">
        <f aca="true">IF(OR($B674="",$Q674=""),"",DATEDIF($Q674,TODAY(),"Y"))</f>
        <v/>
      </c>
      <c r="S674" s="40" t="str">
        <f aca="false">IF($R674="","",INDEX(usia_label,MATCH($R674,usia_min,1)))</f>
        <v/>
      </c>
      <c r="T674" s="36"/>
      <c r="U674" s="41"/>
      <c r="V674" s="36"/>
      <c r="W674" s="36"/>
      <c r="X674" s="40" t="str">
        <f aca="false">IF($M674="","",$M674&amp;"#"&amp;COUNTIF($M$4:$M674,$M674))</f>
        <v/>
      </c>
      <c r="Y674" s="40" t="str">
        <f aca="false">IF($B674="","",IF($C674="","NIK kosong",IF(LEN($C674)&lt;&gt;16,"NIK bukan 16 digit",IF(COUNTIF($C$4:$C$2003,$C674&amp;"*")&gt;1,"NIK ganda",IF(AND($D674&lt;&gt;"",LEN($D674)&lt;&gt;16),"No. KK bukan 16 digit",IF(AND($F674="",$I674=""),"Alamat kosong",IF($N674="","Jabatan kosong",IF($O674="","No. HP kosong",IF(AND($R674&lt;&gt;"",$R674&lt;17),"Usia di bawah 17","")))))))))</f>
        <v/>
      </c>
      <c r="Z674" s="40" t="str">
        <f aca="false">IF($B674="","",IF(AND(OR(CARI!$C$5="",ISNUMBER(SEARCH(CARI!$C$5,$B674&amp;" "&amp;$C674&amp;" "&amp;$D674&amp;" "&amp;$O674&amp;" "&amp;$I674&amp;" "&amp;$F674&amp;" "&amp;$J674&amp;" "&amp;$K674&amp;" "&amp;$L674&amp;" "&amp;$V674))),OR(CARI!$C$6="",$F674=CARI!$C$6),OR(CARI!$C$7="",$G674=CARI!$C$7),OR(CARI!$C$8="",$T674=CARI!$C$8)),MAX($Z$3:Z673)+1,""))</f>
        <v/>
      </c>
      <c r="AA674" s="40" t="str">
        <f aca="false">IF($Y674="","",MAX($AA$3:AA673)+1)</f>
        <v/>
      </c>
      <c r="AB674" s="40" t="str">
        <f aca="false">IF($F674="","",$F674&amp;"#"&amp;COUNTIF($F$4:$F674,$F674))</f>
        <v/>
      </c>
      <c r="AC674" s="40" t="str">
        <f aca="false">IF($B674="","",IF(AND(OR(CETAK!$J$10="",$F674=CETAK!$J$10),OR(CETAK!$J$11="",$G674=CETAK!$J$11),OR(CETAK!$J$12="",$P674=CETAK!$J$12),OR(CETAK!$J$13="",$N674=CETAK!$J$13),OR(CETAK!$J$14="",$T674=CETAK!$J$14)),MAX($AC$3:AC673)+1,""))</f>
        <v/>
      </c>
      <c r="AD674" s="40" t="str">
        <f aca="false">IF($B674="","",IF(AND(OR(ABSENSI!$H$10="",$F674=ABSENSI!$H$10),OR(ABSENSI!$H$11="",$G674=ABSENSI!$H$11),OR(ABSENSI!$H$12="",$P674=ABSENSI!$H$12)),MAX($AD$3:AD673)+1,""))</f>
        <v/>
      </c>
      <c r="AE674" s="40" t="str">
        <f aca="false">IF($B674="","",IF(AND(OR(KARTU!$K$6="",$F674=KARTU!$K$6),OR(KARTU!$K$7="",$G674=KARTU!$K$7),OR(KARTU!$K$8="",$P674=KARTU!$K$8)),MAX($AE$3:AE673)+1,""))</f>
        <v/>
      </c>
    </row>
    <row r="675" customFormat="false" ht="15" hidden="false" customHeight="false" outlineLevel="0" collapsed="false">
      <c r="A675" s="35" t="str">
        <f aca="false">IF($B675="","",COUNTA($B$4:$B675))</f>
        <v/>
      </c>
      <c r="B675" s="36"/>
      <c r="C675" s="37"/>
      <c r="D675" s="37"/>
      <c r="E675" s="38"/>
      <c r="F675" s="36"/>
      <c r="G675" s="39"/>
      <c r="H675" s="39"/>
      <c r="I675" s="36"/>
      <c r="J675" s="36"/>
      <c r="K675" s="36"/>
      <c r="L675" s="36"/>
      <c r="M675" s="40" t="str">
        <f aca="false">IF($F675="","",$F675&amp;IF($G675="",""," - RT "&amp;$G675&amp;IF($H675="","","/"&amp;$H675)))</f>
        <v/>
      </c>
      <c r="N675" s="36"/>
      <c r="O675" s="37"/>
      <c r="P675" s="39"/>
      <c r="Q675" s="41"/>
      <c r="R675" s="35" t="str">
        <f aca="true">IF(OR($B675="",$Q675=""),"",DATEDIF($Q675,TODAY(),"Y"))</f>
        <v/>
      </c>
      <c r="S675" s="40" t="str">
        <f aca="false">IF($R675="","",INDEX(usia_label,MATCH($R675,usia_min,1)))</f>
        <v/>
      </c>
      <c r="T675" s="36"/>
      <c r="U675" s="41"/>
      <c r="V675" s="36"/>
      <c r="W675" s="36"/>
      <c r="X675" s="40" t="str">
        <f aca="false">IF($M675="","",$M675&amp;"#"&amp;COUNTIF($M$4:$M675,$M675))</f>
        <v/>
      </c>
      <c r="Y675" s="40" t="str">
        <f aca="false">IF($B675="","",IF($C675="","NIK kosong",IF(LEN($C675)&lt;&gt;16,"NIK bukan 16 digit",IF(COUNTIF($C$4:$C$2003,$C675&amp;"*")&gt;1,"NIK ganda",IF(AND($D675&lt;&gt;"",LEN($D675)&lt;&gt;16),"No. KK bukan 16 digit",IF(AND($F675="",$I675=""),"Alamat kosong",IF($N675="","Jabatan kosong",IF($O675="","No. HP kosong",IF(AND($R675&lt;&gt;"",$R675&lt;17),"Usia di bawah 17","")))))))))</f>
        <v/>
      </c>
      <c r="Z675" s="40" t="str">
        <f aca="false">IF($B675="","",IF(AND(OR(CARI!$C$5="",ISNUMBER(SEARCH(CARI!$C$5,$B675&amp;" "&amp;$C675&amp;" "&amp;$D675&amp;" "&amp;$O675&amp;" "&amp;$I675&amp;" "&amp;$F675&amp;" "&amp;$J675&amp;" "&amp;$K675&amp;" "&amp;$L675&amp;" "&amp;$V675))),OR(CARI!$C$6="",$F675=CARI!$C$6),OR(CARI!$C$7="",$G675=CARI!$C$7),OR(CARI!$C$8="",$T675=CARI!$C$8)),MAX($Z$3:Z674)+1,""))</f>
        <v/>
      </c>
      <c r="AA675" s="40" t="str">
        <f aca="false">IF($Y675="","",MAX($AA$3:AA674)+1)</f>
        <v/>
      </c>
      <c r="AB675" s="40" t="str">
        <f aca="false">IF($F675="","",$F675&amp;"#"&amp;COUNTIF($F$4:$F675,$F675))</f>
        <v/>
      </c>
      <c r="AC675" s="40" t="str">
        <f aca="false">IF($B675="","",IF(AND(OR(CETAK!$J$10="",$F675=CETAK!$J$10),OR(CETAK!$J$11="",$G675=CETAK!$J$11),OR(CETAK!$J$12="",$P675=CETAK!$J$12),OR(CETAK!$J$13="",$N675=CETAK!$J$13),OR(CETAK!$J$14="",$T675=CETAK!$J$14)),MAX($AC$3:AC674)+1,""))</f>
        <v/>
      </c>
      <c r="AD675" s="40" t="str">
        <f aca="false">IF($B675="","",IF(AND(OR(ABSENSI!$H$10="",$F675=ABSENSI!$H$10),OR(ABSENSI!$H$11="",$G675=ABSENSI!$H$11),OR(ABSENSI!$H$12="",$P675=ABSENSI!$H$12)),MAX($AD$3:AD674)+1,""))</f>
        <v/>
      </c>
      <c r="AE675" s="40" t="str">
        <f aca="false">IF($B675="","",IF(AND(OR(KARTU!$K$6="",$F675=KARTU!$K$6),OR(KARTU!$K$7="",$G675=KARTU!$K$7),OR(KARTU!$K$8="",$P675=KARTU!$K$8)),MAX($AE$3:AE674)+1,""))</f>
        <v/>
      </c>
    </row>
    <row r="676" customFormat="false" ht="15" hidden="false" customHeight="false" outlineLevel="0" collapsed="false">
      <c r="A676" s="35" t="str">
        <f aca="false">IF($B676="","",COUNTA($B$4:$B676))</f>
        <v/>
      </c>
      <c r="B676" s="36"/>
      <c r="C676" s="37"/>
      <c r="D676" s="37"/>
      <c r="E676" s="38"/>
      <c r="F676" s="36"/>
      <c r="G676" s="39"/>
      <c r="H676" s="39"/>
      <c r="I676" s="36"/>
      <c r="J676" s="36"/>
      <c r="K676" s="36"/>
      <c r="L676" s="36"/>
      <c r="M676" s="40" t="str">
        <f aca="false">IF($F676="","",$F676&amp;IF($G676="",""," - RT "&amp;$G676&amp;IF($H676="","","/"&amp;$H676)))</f>
        <v/>
      </c>
      <c r="N676" s="36"/>
      <c r="O676" s="37"/>
      <c r="P676" s="39"/>
      <c r="Q676" s="41"/>
      <c r="R676" s="35" t="str">
        <f aca="true">IF(OR($B676="",$Q676=""),"",DATEDIF($Q676,TODAY(),"Y"))</f>
        <v/>
      </c>
      <c r="S676" s="40" t="str">
        <f aca="false">IF($R676="","",INDEX(usia_label,MATCH($R676,usia_min,1)))</f>
        <v/>
      </c>
      <c r="T676" s="36"/>
      <c r="U676" s="41"/>
      <c r="V676" s="36"/>
      <c r="W676" s="36"/>
      <c r="X676" s="40" t="str">
        <f aca="false">IF($M676="","",$M676&amp;"#"&amp;COUNTIF($M$4:$M676,$M676))</f>
        <v/>
      </c>
      <c r="Y676" s="40" t="str">
        <f aca="false">IF($B676="","",IF($C676="","NIK kosong",IF(LEN($C676)&lt;&gt;16,"NIK bukan 16 digit",IF(COUNTIF($C$4:$C$2003,$C676&amp;"*")&gt;1,"NIK ganda",IF(AND($D676&lt;&gt;"",LEN($D676)&lt;&gt;16),"No. KK bukan 16 digit",IF(AND($F676="",$I676=""),"Alamat kosong",IF($N676="","Jabatan kosong",IF($O676="","No. HP kosong",IF(AND($R676&lt;&gt;"",$R676&lt;17),"Usia di bawah 17","")))))))))</f>
        <v/>
      </c>
      <c r="Z676" s="40" t="str">
        <f aca="false">IF($B676="","",IF(AND(OR(CARI!$C$5="",ISNUMBER(SEARCH(CARI!$C$5,$B676&amp;" "&amp;$C676&amp;" "&amp;$D676&amp;" "&amp;$O676&amp;" "&amp;$I676&amp;" "&amp;$F676&amp;" "&amp;$J676&amp;" "&amp;$K676&amp;" "&amp;$L676&amp;" "&amp;$V676))),OR(CARI!$C$6="",$F676=CARI!$C$6),OR(CARI!$C$7="",$G676=CARI!$C$7),OR(CARI!$C$8="",$T676=CARI!$C$8)),MAX($Z$3:Z675)+1,""))</f>
        <v/>
      </c>
      <c r="AA676" s="40" t="str">
        <f aca="false">IF($Y676="","",MAX($AA$3:AA675)+1)</f>
        <v/>
      </c>
      <c r="AB676" s="40" t="str">
        <f aca="false">IF($F676="","",$F676&amp;"#"&amp;COUNTIF($F$4:$F676,$F676))</f>
        <v/>
      </c>
      <c r="AC676" s="40" t="str">
        <f aca="false">IF($B676="","",IF(AND(OR(CETAK!$J$10="",$F676=CETAK!$J$10),OR(CETAK!$J$11="",$G676=CETAK!$J$11),OR(CETAK!$J$12="",$P676=CETAK!$J$12),OR(CETAK!$J$13="",$N676=CETAK!$J$13),OR(CETAK!$J$14="",$T676=CETAK!$J$14)),MAX($AC$3:AC675)+1,""))</f>
        <v/>
      </c>
      <c r="AD676" s="40" t="str">
        <f aca="false">IF($B676="","",IF(AND(OR(ABSENSI!$H$10="",$F676=ABSENSI!$H$10),OR(ABSENSI!$H$11="",$G676=ABSENSI!$H$11),OR(ABSENSI!$H$12="",$P676=ABSENSI!$H$12)),MAX($AD$3:AD675)+1,""))</f>
        <v/>
      </c>
      <c r="AE676" s="40" t="str">
        <f aca="false">IF($B676="","",IF(AND(OR(KARTU!$K$6="",$F676=KARTU!$K$6),OR(KARTU!$K$7="",$G676=KARTU!$K$7),OR(KARTU!$K$8="",$P676=KARTU!$K$8)),MAX($AE$3:AE675)+1,""))</f>
        <v/>
      </c>
    </row>
    <row r="677" customFormat="false" ht="15" hidden="false" customHeight="false" outlineLevel="0" collapsed="false">
      <c r="A677" s="35" t="str">
        <f aca="false">IF($B677="","",COUNTA($B$4:$B677))</f>
        <v/>
      </c>
      <c r="B677" s="36"/>
      <c r="C677" s="37"/>
      <c r="D677" s="37"/>
      <c r="E677" s="38"/>
      <c r="F677" s="36"/>
      <c r="G677" s="39"/>
      <c r="H677" s="39"/>
      <c r="I677" s="36"/>
      <c r="J677" s="36"/>
      <c r="K677" s="36"/>
      <c r="L677" s="36"/>
      <c r="M677" s="40" t="str">
        <f aca="false">IF($F677="","",$F677&amp;IF($G677="",""," - RT "&amp;$G677&amp;IF($H677="","","/"&amp;$H677)))</f>
        <v/>
      </c>
      <c r="N677" s="36"/>
      <c r="O677" s="37"/>
      <c r="P677" s="39"/>
      <c r="Q677" s="41"/>
      <c r="R677" s="35" t="str">
        <f aca="true">IF(OR($B677="",$Q677=""),"",DATEDIF($Q677,TODAY(),"Y"))</f>
        <v/>
      </c>
      <c r="S677" s="40" t="str">
        <f aca="false">IF($R677="","",INDEX(usia_label,MATCH($R677,usia_min,1)))</f>
        <v/>
      </c>
      <c r="T677" s="36"/>
      <c r="U677" s="41"/>
      <c r="V677" s="36"/>
      <c r="W677" s="36"/>
      <c r="X677" s="40" t="str">
        <f aca="false">IF($M677="","",$M677&amp;"#"&amp;COUNTIF($M$4:$M677,$M677))</f>
        <v/>
      </c>
      <c r="Y677" s="40" t="str">
        <f aca="false">IF($B677="","",IF($C677="","NIK kosong",IF(LEN($C677)&lt;&gt;16,"NIK bukan 16 digit",IF(COUNTIF($C$4:$C$2003,$C677&amp;"*")&gt;1,"NIK ganda",IF(AND($D677&lt;&gt;"",LEN($D677)&lt;&gt;16),"No. KK bukan 16 digit",IF(AND($F677="",$I677=""),"Alamat kosong",IF($N677="","Jabatan kosong",IF($O677="","No. HP kosong",IF(AND($R677&lt;&gt;"",$R677&lt;17),"Usia di bawah 17","")))))))))</f>
        <v/>
      </c>
      <c r="Z677" s="40" t="str">
        <f aca="false">IF($B677="","",IF(AND(OR(CARI!$C$5="",ISNUMBER(SEARCH(CARI!$C$5,$B677&amp;" "&amp;$C677&amp;" "&amp;$D677&amp;" "&amp;$O677&amp;" "&amp;$I677&amp;" "&amp;$F677&amp;" "&amp;$J677&amp;" "&amp;$K677&amp;" "&amp;$L677&amp;" "&amp;$V677))),OR(CARI!$C$6="",$F677=CARI!$C$6),OR(CARI!$C$7="",$G677=CARI!$C$7),OR(CARI!$C$8="",$T677=CARI!$C$8)),MAX($Z$3:Z676)+1,""))</f>
        <v/>
      </c>
      <c r="AA677" s="40" t="str">
        <f aca="false">IF($Y677="","",MAX($AA$3:AA676)+1)</f>
        <v/>
      </c>
      <c r="AB677" s="40" t="str">
        <f aca="false">IF($F677="","",$F677&amp;"#"&amp;COUNTIF($F$4:$F677,$F677))</f>
        <v/>
      </c>
      <c r="AC677" s="40" t="str">
        <f aca="false">IF($B677="","",IF(AND(OR(CETAK!$J$10="",$F677=CETAK!$J$10),OR(CETAK!$J$11="",$G677=CETAK!$J$11),OR(CETAK!$J$12="",$P677=CETAK!$J$12),OR(CETAK!$J$13="",$N677=CETAK!$J$13),OR(CETAK!$J$14="",$T677=CETAK!$J$14)),MAX($AC$3:AC676)+1,""))</f>
        <v/>
      </c>
      <c r="AD677" s="40" t="str">
        <f aca="false">IF($B677="","",IF(AND(OR(ABSENSI!$H$10="",$F677=ABSENSI!$H$10),OR(ABSENSI!$H$11="",$G677=ABSENSI!$H$11),OR(ABSENSI!$H$12="",$P677=ABSENSI!$H$12)),MAX($AD$3:AD676)+1,""))</f>
        <v/>
      </c>
      <c r="AE677" s="40" t="str">
        <f aca="false">IF($B677="","",IF(AND(OR(KARTU!$K$6="",$F677=KARTU!$K$6),OR(KARTU!$K$7="",$G677=KARTU!$K$7),OR(KARTU!$K$8="",$P677=KARTU!$K$8)),MAX($AE$3:AE676)+1,""))</f>
        <v/>
      </c>
    </row>
    <row r="678" customFormat="false" ht="15" hidden="false" customHeight="false" outlineLevel="0" collapsed="false">
      <c r="A678" s="35" t="str">
        <f aca="false">IF($B678="","",COUNTA($B$4:$B678))</f>
        <v/>
      </c>
      <c r="B678" s="36"/>
      <c r="C678" s="37"/>
      <c r="D678" s="37"/>
      <c r="E678" s="38"/>
      <c r="F678" s="36"/>
      <c r="G678" s="39"/>
      <c r="H678" s="39"/>
      <c r="I678" s="36"/>
      <c r="J678" s="36"/>
      <c r="K678" s="36"/>
      <c r="L678" s="36"/>
      <c r="M678" s="40" t="str">
        <f aca="false">IF($F678="","",$F678&amp;IF($G678="",""," - RT "&amp;$G678&amp;IF($H678="","","/"&amp;$H678)))</f>
        <v/>
      </c>
      <c r="N678" s="36"/>
      <c r="O678" s="37"/>
      <c r="P678" s="39"/>
      <c r="Q678" s="41"/>
      <c r="R678" s="35" t="str">
        <f aca="true">IF(OR($B678="",$Q678=""),"",DATEDIF($Q678,TODAY(),"Y"))</f>
        <v/>
      </c>
      <c r="S678" s="40" t="str">
        <f aca="false">IF($R678="","",INDEX(usia_label,MATCH($R678,usia_min,1)))</f>
        <v/>
      </c>
      <c r="T678" s="36"/>
      <c r="U678" s="41"/>
      <c r="V678" s="36"/>
      <c r="W678" s="36"/>
      <c r="X678" s="40" t="str">
        <f aca="false">IF($M678="","",$M678&amp;"#"&amp;COUNTIF($M$4:$M678,$M678))</f>
        <v/>
      </c>
      <c r="Y678" s="40" t="str">
        <f aca="false">IF($B678="","",IF($C678="","NIK kosong",IF(LEN($C678)&lt;&gt;16,"NIK bukan 16 digit",IF(COUNTIF($C$4:$C$2003,$C678&amp;"*")&gt;1,"NIK ganda",IF(AND($D678&lt;&gt;"",LEN($D678)&lt;&gt;16),"No. KK bukan 16 digit",IF(AND($F678="",$I678=""),"Alamat kosong",IF($N678="","Jabatan kosong",IF($O678="","No. HP kosong",IF(AND($R678&lt;&gt;"",$R678&lt;17),"Usia di bawah 17","")))))))))</f>
        <v/>
      </c>
      <c r="Z678" s="40" t="str">
        <f aca="false">IF($B678="","",IF(AND(OR(CARI!$C$5="",ISNUMBER(SEARCH(CARI!$C$5,$B678&amp;" "&amp;$C678&amp;" "&amp;$D678&amp;" "&amp;$O678&amp;" "&amp;$I678&amp;" "&amp;$F678&amp;" "&amp;$J678&amp;" "&amp;$K678&amp;" "&amp;$L678&amp;" "&amp;$V678))),OR(CARI!$C$6="",$F678=CARI!$C$6),OR(CARI!$C$7="",$G678=CARI!$C$7),OR(CARI!$C$8="",$T678=CARI!$C$8)),MAX($Z$3:Z677)+1,""))</f>
        <v/>
      </c>
      <c r="AA678" s="40" t="str">
        <f aca="false">IF($Y678="","",MAX($AA$3:AA677)+1)</f>
        <v/>
      </c>
      <c r="AB678" s="40" t="str">
        <f aca="false">IF($F678="","",$F678&amp;"#"&amp;COUNTIF($F$4:$F678,$F678))</f>
        <v/>
      </c>
      <c r="AC678" s="40" t="str">
        <f aca="false">IF($B678="","",IF(AND(OR(CETAK!$J$10="",$F678=CETAK!$J$10),OR(CETAK!$J$11="",$G678=CETAK!$J$11),OR(CETAK!$J$12="",$P678=CETAK!$J$12),OR(CETAK!$J$13="",$N678=CETAK!$J$13),OR(CETAK!$J$14="",$T678=CETAK!$J$14)),MAX($AC$3:AC677)+1,""))</f>
        <v/>
      </c>
      <c r="AD678" s="40" t="str">
        <f aca="false">IF($B678="","",IF(AND(OR(ABSENSI!$H$10="",$F678=ABSENSI!$H$10),OR(ABSENSI!$H$11="",$G678=ABSENSI!$H$11),OR(ABSENSI!$H$12="",$P678=ABSENSI!$H$12)),MAX($AD$3:AD677)+1,""))</f>
        <v/>
      </c>
      <c r="AE678" s="40" t="str">
        <f aca="false">IF($B678="","",IF(AND(OR(KARTU!$K$6="",$F678=KARTU!$K$6),OR(KARTU!$K$7="",$G678=KARTU!$K$7),OR(KARTU!$K$8="",$P678=KARTU!$K$8)),MAX($AE$3:AE677)+1,""))</f>
        <v/>
      </c>
    </row>
    <row r="679" customFormat="false" ht="15" hidden="false" customHeight="false" outlineLevel="0" collapsed="false">
      <c r="A679" s="35" t="str">
        <f aca="false">IF($B679="","",COUNTA($B$4:$B679))</f>
        <v/>
      </c>
      <c r="B679" s="36"/>
      <c r="C679" s="37"/>
      <c r="D679" s="37"/>
      <c r="E679" s="38"/>
      <c r="F679" s="36"/>
      <c r="G679" s="39"/>
      <c r="H679" s="39"/>
      <c r="I679" s="36"/>
      <c r="J679" s="36"/>
      <c r="K679" s="36"/>
      <c r="L679" s="36"/>
      <c r="M679" s="40" t="str">
        <f aca="false">IF($F679="","",$F679&amp;IF($G679="",""," - RT "&amp;$G679&amp;IF($H679="","","/"&amp;$H679)))</f>
        <v/>
      </c>
      <c r="N679" s="36"/>
      <c r="O679" s="37"/>
      <c r="P679" s="39"/>
      <c r="Q679" s="41"/>
      <c r="R679" s="35" t="str">
        <f aca="true">IF(OR($B679="",$Q679=""),"",DATEDIF($Q679,TODAY(),"Y"))</f>
        <v/>
      </c>
      <c r="S679" s="40" t="str">
        <f aca="false">IF($R679="","",INDEX(usia_label,MATCH($R679,usia_min,1)))</f>
        <v/>
      </c>
      <c r="T679" s="36"/>
      <c r="U679" s="41"/>
      <c r="V679" s="36"/>
      <c r="W679" s="36"/>
      <c r="X679" s="40" t="str">
        <f aca="false">IF($M679="","",$M679&amp;"#"&amp;COUNTIF($M$4:$M679,$M679))</f>
        <v/>
      </c>
      <c r="Y679" s="40" t="str">
        <f aca="false">IF($B679="","",IF($C679="","NIK kosong",IF(LEN($C679)&lt;&gt;16,"NIK bukan 16 digit",IF(COUNTIF($C$4:$C$2003,$C679&amp;"*")&gt;1,"NIK ganda",IF(AND($D679&lt;&gt;"",LEN($D679)&lt;&gt;16),"No. KK bukan 16 digit",IF(AND($F679="",$I679=""),"Alamat kosong",IF($N679="","Jabatan kosong",IF($O679="","No. HP kosong",IF(AND($R679&lt;&gt;"",$R679&lt;17),"Usia di bawah 17","")))))))))</f>
        <v/>
      </c>
      <c r="Z679" s="40" t="str">
        <f aca="false">IF($B679="","",IF(AND(OR(CARI!$C$5="",ISNUMBER(SEARCH(CARI!$C$5,$B679&amp;" "&amp;$C679&amp;" "&amp;$D679&amp;" "&amp;$O679&amp;" "&amp;$I679&amp;" "&amp;$F679&amp;" "&amp;$J679&amp;" "&amp;$K679&amp;" "&amp;$L679&amp;" "&amp;$V679))),OR(CARI!$C$6="",$F679=CARI!$C$6),OR(CARI!$C$7="",$G679=CARI!$C$7),OR(CARI!$C$8="",$T679=CARI!$C$8)),MAX($Z$3:Z678)+1,""))</f>
        <v/>
      </c>
      <c r="AA679" s="40" t="str">
        <f aca="false">IF($Y679="","",MAX($AA$3:AA678)+1)</f>
        <v/>
      </c>
      <c r="AB679" s="40" t="str">
        <f aca="false">IF($F679="","",$F679&amp;"#"&amp;COUNTIF($F$4:$F679,$F679))</f>
        <v/>
      </c>
      <c r="AC679" s="40" t="str">
        <f aca="false">IF($B679="","",IF(AND(OR(CETAK!$J$10="",$F679=CETAK!$J$10),OR(CETAK!$J$11="",$G679=CETAK!$J$11),OR(CETAK!$J$12="",$P679=CETAK!$J$12),OR(CETAK!$J$13="",$N679=CETAK!$J$13),OR(CETAK!$J$14="",$T679=CETAK!$J$14)),MAX($AC$3:AC678)+1,""))</f>
        <v/>
      </c>
      <c r="AD679" s="40" t="str">
        <f aca="false">IF($B679="","",IF(AND(OR(ABSENSI!$H$10="",$F679=ABSENSI!$H$10),OR(ABSENSI!$H$11="",$G679=ABSENSI!$H$11),OR(ABSENSI!$H$12="",$P679=ABSENSI!$H$12)),MAX($AD$3:AD678)+1,""))</f>
        <v/>
      </c>
      <c r="AE679" s="40" t="str">
        <f aca="false">IF($B679="","",IF(AND(OR(KARTU!$K$6="",$F679=KARTU!$K$6),OR(KARTU!$K$7="",$G679=KARTU!$K$7),OR(KARTU!$K$8="",$P679=KARTU!$K$8)),MAX($AE$3:AE678)+1,""))</f>
        <v/>
      </c>
    </row>
    <row r="680" customFormat="false" ht="15" hidden="false" customHeight="false" outlineLevel="0" collapsed="false">
      <c r="A680" s="35" t="str">
        <f aca="false">IF($B680="","",COUNTA($B$4:$B680))</f>
        <v/>
      </c>
      <c r="B680" s="36"/>
      <c r="C680" s="37"/>
      <c r="D680" s="37"/>
      <c r="E680" s="38"/>
      <c r="F680" s="36"/>
      <c r="G680" s="39"/>
      <c r="H680" s="39"/>
      <c r="I680" s="36"/>
      <c r="J680" s="36"/>
      <c r="K680" s="36"/>
      <c r="L680" s="36"/>
      <c r="M680" s="40" t="str">
        <f aca="false">IF($F680="","",$F680&amp;IF($G680="",""," - RT "&amp;$G680&amp;IF($H680="","","/"&amp;$H680)))</f>
        <v/>
      </c>
      <c r="N680" s="36"/>
      <c r="O680" s="37"/>
      <c r="P680" s="39"/>
      <c r="Q680" s="41"/>
      <c r="R680" s="35" t="str">
        <f aca="true">IF(OR($B680="",$Q680=""),"",DATEDIF($Q680,TODAY(),"Y"))</f>
        <v/>
      </c>
      <c r="S680" s="40" t="str">
        <f aca="false">IF($R680="","",INDEX(usia_label,MATCH($R680,usia_min,1)))</f>
        <v/>
      </c>
      <c r="T680" s="36"/>
      <c r="U680" s="41"/>
      <c r="V680" s="36"/>
      <c r="W680" s="36"/>
      <c r="X680" s="40" t="str">
        <f aca="false">IF($M680="","",$M680&amp;"#"&amp;COUNTIF($M$4:$M680,$M680))</f>
        <v/>
      </c>
      <c r="Y680" s="40" t="str">
        <f aca="false">IF($B680="","",IF($C680="","NIK kosong",IF(LEN($C680)&lt;&gt;16,"NIK bukan 16 digit",IF(COUNTIF($C$4:$C$2003,$C680&amp;"*")&gt;1,"NIK ganda",IF(AND($D680&lt;&gt;"",LEN($D680)&lt;&gt;16),"No. KK bukan 16 digit",IF(AND($F680="",$I680=""),"Alamat kosong",IF($N680="","Jabatan kosong",IF($O680="","No. HP kosong",IF(AND($R680&lt;&gt;"",$R680&lt;17),"Usia di bawah 17","")))))))))</f>
        <v/>
      </c>
      <c r="Z680" s="40" t="str">
        <f aca="false">IF($B680="","",IF(AND(OR(CARI!$C$5="",ISNUMBER(SEARCH(CARI!$C$5,$B680&amp;" "&amp;$C680&amp;" "&amp;$D680&amp;" "&amp;$O680&amp;" "&amp;$I680&amp;" "&amp;$F680&amp;" "&amp;$J680&amp;" "&amp;$K680&amp;" "&amp;$L680&amp;" "&amp;$V680))),OR(CARI!$C$6="",$F680=CARI!$C$6),OR(CARI!$C$7="",$G680=CARI!$C$7),OR(CARI!$C$8="",$T680=CARI!$C$8)),MAX($Z$3:Z679)+1,""))</f>
        <v/>
      </c>
      <c r="AA680" s="40" t="str">
        <f aca="false">IF($Y680="","",MAX($AA$3:AA679)+1)</f>
        <v/>
      </c>
      <c r="AB680" s="40" t="str">
        <f aca="false">IF($F680="","",$F680&amp;"#"&amp;COUNTIF($F$4:$F680,$F680))</f>
        <v/>
      </c>
      <c r="AC680" s="40" t="str">
        <f aca="false">IF($B680="","",IF(AND(OR(CETAK!$J$10="",$F680=CETAK!$J$10),OR(CETAK!$J$11="",$G680=CETAK!$J$11),OR(CETAK!$J$12="",$P680=CETAK!$J$12),OR(CETAK!$J$13="",$N680=CETAK!$J$13),OR(CETAK!$J$14="",$T680=CETAK!$J$14)),MAX($AC$3:AC679)+1,""))</f>
        <v/>
      </c>
      <c r="AD680" s="40" t="str">
        <f aca="false">IF($B680="","",IF(AND(OR(ABSENSI!$H$10="",$F680=ABSENSI!$H$10),OR(ABSENSI!$H$11="",$G680=ABSENSI!$H$11),OR(ABSENSI!$H$12="",$P680=ABSENSI!$H$12)),MAX($AD$3:AD679)+1,""))</f>
        <v/>
      </c>
      <c r="AE680" s="40" t="str">
        <f aca="false">IF($B680="","",IF(AND(OR(KARTU!$K$6="",$F680=KARTU!$K$6),OR(KARTU!$K$7="",$G680=KARTU!$K$7),OR(KARTU!$K$8="",$P680=KARTU!$K$8)),MAX($AE$3:AE679)+1,""))</f>
        <v/>
      </c>
    </row>
    <row r="681" customFormat="false" ht="15" hidden="false" customHeight="false" outlineLevel="0" collapsed="false">
      <c r="A681" s="35" t="str">
        <f aca="false">IF($B681="","",COUNTA($B$4:$B681))</f>
        <v/>
      </c>
      <c r="B681" s="36"/>
      <c r="C681" s="37"/>
      <c r="D681" s="37"/>
      <c r="E681" s="38"/>
      <c r="F681" s="36"/>
      <c r="G681" s="39"/>
      <c r="H681" s="39"/>
      <c r="I681" s="36"/>
      <c r="J681" s="36"/>
      <c r="K681" s="36"/>
      <c r="L681" s="36"/>
      <c r="M681" s="40" t="str">
        <f aca="false">IF($F681="","",$F681&amp;IF($G681="",""," - RT "&amp;$G681&amp;IF($H681="","","/"&amp;$H681)))</f>
        <v/>
      </c>
      <c r="N681" s="36"/>
      <c r="O681" s="37"/>
      <c r="P681" s="39"/>
      <c r="Q681" s="41"/>
      <c r="R681" s="35" t="str">
        <f aca="true">IF(OR($B681="",$Q681=""),"",DATEDIF($Q681,TODAY(),"Y"))</f>
        <v/>
      </c>
      <c r="S681" s="40" t="str">
        <f aca="false">IF($R681="","",INDEX(usia_label,MATCH($R681,usia_min,1)))</f>
        <v/>
      </c>
      <c r="T681" s="36"/>
      <c r="U681" s="41"/>
      <c r="V681" s="36"/>
      <c r="W681" s="36"/>
      <c r="X681" s="40" t="str">
        <f aca="false">IF($M681="","",$M681&amp;"#"&amp;COUNTIF($M$4:$M681,$M681))</f>
        <v/>
      </c>
      <c r="Y681" s="40" t="str">
        <f aca="false">IF($B681="","",IF($C681="","NIK kosong",IF(LEN($C681)&lt;&gt;16,"NIK bukan 16 digit",IF(COUNTIF($C$4:$C$2003,$C681&amp;"*")&gt;1,"NIK ganda",IF(AND($D681&lt;&gt;"",LEN($D681)&lt;&gt;16),"No. KK bukan 16 digit",IF(AND($F681="",$I681=""),"Alamat kosong",IF($N681="","Jabatan kosong",IF($O681="","No. HP kosong",IF(AND($R681&lt;&gt;"",$R681&lt;17),"Usia di bawah 17","")))))))))</f>
        <v/>
      </c>
      <c r="Z681" s="40" t="str">
        <f aca="false">IF($B681="","",IF(AND(OR(CARI!$C$5="",ISNUMBER(SEARCH(CARI!$C$5,$B681&amp;" "&amp;$C681&amp;" "&amp;$D681&amp;" "&amp;$O681&amp;" "&amp;$I681&amp;" "&amp;$F681&amp;" "&amp;$J681&amp;" "&amp;$K681&amp;" "&amp;$L681&amp;" "&amp;$V681))),OR(CARI!$C$6="",$F681=CARI!$C$6),OR(CARI!$C$7="",$G681=CARI!$C$7),OR(CARI!$C$8="",$T681=CARI!$C$8)),MAX($Z$3:Z680)+1,""))</f>
        <v/>
      </c>
      <c r="AA681" s="40" t="str">
        <f aca="false">IF($Y681="","",MAX($AA$3:AA680)+1)</f>
        <v/>
      </c>
      <c r="AB681" s="40" t="str">
        <f aca="false">IF($F681="","",$F681&amp;"#"&amp;COUNTIF($F$4:$F681,$F681))</f>
        <v/>
      </c>
      <c r="AC681" s="40" t="str">
        <f aca="false">IF($B681="","",IF(AND(OR(CETAK!$J$10="",$F681=CETAK!$J$10),OR(CETAK!$J$11="",$G681=CETAK!$J$11),OR(CETAK!$J$12="",$P681=CETAK!$J$12),OR(CETAK!$J$13="",$N681=CETAK!$J$13),OR(CETAK!$J$14="",$T681=CETAK!$J$14)),MAX($AC$3:AC680)+1,""))</f>
        <v/>
      </c>
      <c r="AD681" s="40" t="str">
        <f aca="false">IF($B681="","",IF(AND(OR(ABSENSI!$H$10="",$F681=ABSENSI!$H$10),OR(ABSENSI!$H$11="",$G681=ABSENSI!$H$11),OR(ABSENSI!$H$12="",$P681=ABSENSI!$H$12)),MAX($AD$3:AD680)+1,""))</f>
        <v/>
      </c>
      <c r="AE681" s="40" t="str">
        <f aca="false">IF($B681="","",IF(AND(OR(KARTU!$K$6="",$F681=KARTU!$K$6),OR(KARTU!$K$7="",$G681=KARTU!$K$7),OR(KARTU!$K$8="",$P681=KARTU!$K$8)),MAX($AE$3:AE680)+1,""))</f>
        <v/>
      </c>
    </row>
    <row r="682" customFormat="false" ht="15" hidden="false" customHeight="false" outlineLevel="0" collapsed="false">
      <c r="A682" s="35" t="str">
        <f aca="false">IF($B682="","",COUNTA($B$4:$B682))</f>
        <v/>
      </c>
      <c r="B682" s="36"/>
      <c r="C682" s="37"/>
      <c r="D682" s="37"/>
      <c r="E682" s="38"/>
      <c r="F682" s="36"/>
      <c r="G682" s="39"/>
      <c r="H682" s="39"/>
      <c r="I682" s="36"/>
      <c r="J682" s="36"/>
      <c r="K682" s="36"/>
      <c r="L682" s="36"/>
      <c r="M682" s="40" t="str">
        <f aca="false">IF($F682="","",$F682&amp;IF($G682="",""," - RT "&amp;$G682&amp;IF($H682="","","/"&amp;$H682)))</f>
        <v/>
      </c>
      <c r="N682" s="36"/>
      <c r="O682" s="37"/>
      <c r="P682" s="39"/>
      <c r="Q682" s="41"/>
      <c r="R682" s="35" t="str">
        <f aca="true">IF(OR($B682="",$Q682=""),"",DATEDIF($Q682,TODAY(),"Y"))</f>
        <v/>
      </c>
      <c r="S682" s="40" t="str">
        <f aca="false">IF($R682="","",INDEX(usia_label,MATCH($R682,usia_min,1)))</f>
        <v/>
      </c>
      <c r="T682" s="36"/>
      <c r="U682" s="41"/>
      <c r="V682" s="36"/>
      <c r="W682" s="36"/>
      <c r="X682" s="40" t="str">
        <f aca="false">IF($M682="","",$M682&amp;"#"&amp;COUNTIF($M$4:$M682,$M682))</f>
        <v/>
      </c>
      <c r="Y682" s="40" t="str">
        <f aca="false">IF($B682="","",IF($C682="","NIK kosong",IF(LEN($C682)&lt;&gt;16,"NIK bukan 16 digit",IF(COUNTIF($C$4:$C$2003,$C682&amp;"*")&gt;1,"NIK ganda",IF(AND($D682&lt;&gt;"",LEN($D682)&lt;&gt;16),"No. KK bukan 16 digit",IF(AND($F682="",$I682=""),"Alamat kosong",IF($N682="","Jabatan kosong",IF($O682="","No. HP kosong",IF(AND($R682&lt;&gt;"",$R682&lt;17),"Usia di bawah 17","")))))))))</f>
        <v/>
      </c>
      <c r="Z682" s="40" t="str">
        <f aca="false">IF($B682="","",IF(AND(OR(CARI!$C$5="",ISNUMBER(SEARCH(CARI!$C$5,$B682&amp;" "&amp;$C682&amp;" "&amp;$D682&amp;" "&amp;$O682&amp;" "&amp;$I682&amp;" "&amp;$F682&amp;" "&amp;$J682&amp;" "&amp;$K682&amp;" "&amp;$L682&amp;" "&amp;$V682))),OR(CARI!$C$6="",$F682=CARI!$C$6),OR(CARI!$C$7="",$G682=CARI!$C$7),OR(CARI!$C$8="",$T682=CARI!$C$8)),MAX($Z$3:Z681)+1,""))</f>
        <v/>
      </c>
      <c r="AA682" s="40" t="str">
        <f aca="false">IF($Y682="","",MAX($AA$3:AA681)+1)</f>
        <v/>
      </c>
      <c r="AB682" s="40" t="str">
        <f aca="false">IF($F682="","",$F682&amp;"#"&amp;COUNTIF($F$4:$F682,$F682))</f>
        <v/>
      </c>
      <c r="AC682" s="40" t="str">
        <f aca="false">IF($B682="","",IF(AND(OR(CETAK!$J$10="",$F682=CETAK!$J$10),OR(CETAK!$J$11="",$G682=CETAK!$J$11),OR(CETAK!$J$12="",$P682=CETAK!$J$12),OR(CETAK!$J$13="",$N682=CETAK!$J$13),OR(CETAK!$J$14="",$T682=CETAK!$J$14)),MAX($AC$3:AC681)+1,""))</f>
        <v/>
      </c>
      <c r="AD682" s="40" t="str">
        <f aca="false">IF($B682="","",IF(AND(OR(ABSENSI!$H$10="",$F682=ABSENSI!$H$10),OR(ABSENSI!$H$11="",$G682=ABSENSI!$H$11),OR(ABSENSI!$H$12="",$P682=ABSENSI!$H$12)),MAX($AD$3:AD681)+1,""))</f>
        <v/>
      </c>
      <c r="AE682" s="40" t="str">
        <f aca="false">IF($B682="","",IF(AND(OR(KARTU!$K$6="",$F682=KARTU!$K$6),OR(KARTU!$K$7="",$G682=KARTU!$K$7),OR(KARTU!$K$8="",$P682=KARTU!$K$8)),MAX($AE$3:AE681)+1,""))</f>
        <v/>
      </c>
    </row>
    <row r="683" customFormat="false" ht="15" hidden="false" customHeight="false" outlineLevel="0" collapsed="false">
      <c r="A683" s="35" t="str">
        <f aca="false">IF($B683="","",COUNTA($B$4:$B683))</f>
        <v/>
      </c>
      <c r="B683" s="36"/>
      <c r="C683" s="37"/>
      <c r="D683" s="37"/>
      <c r="E683" s="38"/>
      <c r="F683" s="36"/>
      <c r="G683" s="39"/>
      <c r="H683" s="39"/>
      <c r="I683" s="36"/>
      <c r="J683" s="36"/>
      <c r="K683" s="36"/>
      <c r="L683" s="36"/>
      <c r="M683" s="40" t="str">
        <f aca="false">IF($F683="","",$F683&amp;IF($G683="",""," - RT "&amp;$G683&amp;IF($H683="","","/"&amp;$H683)))</f>
        <v/>
      </c>
      <c r="N683" s="36"/>
      <c r="O683" s="37"/>
      <c r="P683" s="39"/>
      <c r="Q683" s="41"/>
      <c r="R683" s="35" t="str">
        <f aca="true">IF(OR($B683="",$Q683=""),"",DATEDIF($Q683,TODAY(),"Y"))</f>
        <v/>
      </c>
      <c r="S683" s="40" t="str">
        <f aca="false">IF($R683="","",INDEX(usia_label,MATCH($R683,usia_min,1)))</f>
        <v/>
      </c>
      <c r="T683" s="36"/>
      <c r="U683" s="41"/>
      <c r="V683" s="36"/>
      <c r="W683" s="36"/>
      <c r="X683" s="40" t="str">
        <f aca="false">IF($M683="","",$M683&amp;"#"&amp;COUNTIF($M$4:$M683,$M683))</f>
        <v/>
      </c>
      <c r="Y683" s="40" t="str">
        <f aca="false">IF($B683="","",IF($C683="","NIK kosong",IF(LEN($C683)&lt;&gt;16,"NIK bukan 16 digit",IF(COUNTIF($C$4:$C$2003,$C683&amp;"*")&gt;1,"NIK ganda",IF(AND($D683&lt;&gt;"",LEN($D683)&lt;&gt;16),"No. KK bukan 16 digit",IF(AND($F683="",$I683=""),"Alamat kosong",IF($N683="","Jabatan kosong",IF($O683="","No. HP kosong",IF(AND($R683&lt;&gt;"",$R683&lt;17),"Usia di bawah 17","")))))))))</f>
        <v/>
      </c>
      <c r="Z683" s="40" t="str">
        <f aca="false">IF($B683="","",IF(AND(OR(CARI!$C$5="",ISNUMBER(SEARCH(CARI!$C$5,$B683&amp;" "&amp;$C683&amp;" "&amp;$D683&amp;" "&amp;$O683&amp;" "&amp;$I683&amp;" "&amp;$F683&amp;" "&amp;$J683&amp;" "&amp;$K683&amp;" "&amp;$L683&amp;" "&amp;$V683))),OR(CARI!$C$6="",$F683=CARI!$C$6),OR(CARI!$C$7="",$G683=CARI!$C$7),OR(CARI!$C$8="",$T683=CARI!$C$8)),MAX($Z$3:Z682)+1,""))</f>
        <v/>
      </c>
      <c r="AA683" s="40" t="str">
        <f aca="false">IF($Y683="","",MAX($AA$3:AA682)+1)</f>
        <v/>
      </c>
      <c r="AB683" s="40" t="str">
        <f aca="false">IF($F683="","",$F683&amp;"#"&amp;COUNTIF($F$4:$F683,$F683))</f>
        <v/>
      </c>
      <c r="AC683" s="40" t="str">
        <f aca="false">IF($B683="","",IF(AND(OR(CETAK!$J$10="",$F683=CETAK!$J$10),OR(CETAK!$J$11="",$G683=CETAK!$J$11),OR(CETAK!$J$12="",$P683=CETAK!$J$12),OR(CETAK!$J$13="",$N683=CETAK!$J$13),OR(CETAK!$J$14="",$T683=CETAK!$J$14)),MAX($AC$3:AC682)+1,""))</f>
        <v/>
      </c>
      <c r="AD683" s="40" t="str">
        <f aca="false">IF($B683="","",IF(AND(OR(ABSENSI!$H$10="",$F683=ABSENSI!$H$10),OR(ABSENSI!$H$11="",$G683=ABSENSI!$H$11),OR(ABSENSI!$H$12="",$P683=ABSENSI!$H$12)),MAX($AD$3:AD682)+1,""))</f>
        <v/>
      </c>
      <c r="AE683" s="40" t="str">
        <f aca="false">IF($B683="","",IF(AND(OR(KARTU!$K$6="",$F683=KARTU!$K$6),OR(KARTU!$K$7="",$G683=KARTU!$K$7),OR(KARTU!$K$8="",$P683=KARTU!$K$8)),MAX($AE$3:AE682)+1,""))</f>
        <v/>
      </c>
    </row>
    <row r="684" customFormat="false" ht="15" hidden="false" customHeight="false" outlineLevel="0" collapsed="false">
      <c r="A684" s="35" t="str">
        <f aca="false">IF($B684="","",COUNTA($B$4:$B684))</f>
        <v/>
      </c>
      <c r="B684" s="36"/>
      <c r="C684" s="37"/>
      <c r="D684" s="37"/>
      <c r="E684" s="38"/>
      <c r="F684" s="36"/>
      <c r="G684" s="39"/>
      <c r="H684" s="39"/>
      <c r="I684" s="36"/>
      <c r="J684" s="36"/>
      <c r="K684" s="36"/>
      <c r="L684" s="36"/>
      <c r="M684" s="40" t="str">
        <f aca="false">IF($F684="","",$F684&amp;IF($G684="",""," - RT "&amp;$G684&amp;IF($H684="","","/"&amp;$H684)))</f>
        <v/>
      </c>
      <c r="N684" s="36"/>
      <c r="O684" s="37"/>
      <c r="P684" s="39"/>
      <c r="Q684" s="41"/>
      <c r="R684" s="35" t="str">
        <f aca="true">IF(OR($B684="",$Q684=""),"",DATEDIF($Q684,TODAY(),"Y"))</f>
        <v/>
      </c>
      <c r="S684" s="40" t="str">
        <f aca="false">IF($R684="","",INDEX(usia_label,MATCH($R684,usia_min,1)))</f>
        <v/>
      </c>
      <c r="T684" s="36"/>
      <c r="U684" s="41"/>
      <c r="V684" s="36"/>
      <c r="W684" s="36"/>
      <c r="X684" s="40" t="str">
        <f aca="false">IF($M684="","",$M684&amp;"#"&amp;COUNTIF($M$4:$M684,$M684))</f>
        <v/>
      </c>
      <c r="Y684" s="40" t="str">
        <f aca="false">IF($B684="","",IF($C684="","NIK kosong",IF(LEN($C684)&lt;&gt;16,"NIK bukan 16 digit",IF(COUNTIF($C$4:$C$2003,$C684&amp;"*")&gt;1,"NIK ganda",IF(AND($D684&lt;&gt;"",LEN($D684)&lt;&gt;16),"No. KK bukan 16 digit",IF(AND($F684="",$I684=""),"Alamat kosong",IF($N684="","Jabatan kosong",IF($O684="","No. HP kosong",IF(AND($R684&lt;&gt;"",$R684&lt;17),"Usia di bawah 17","")))))))))</f>
        <v/>
      </c>
      <c r="Z684" s="40" t="str">
        <f aca="false">IF($B684="","",IF(AND(OR(CARI!$C$5="",ISNUMBER(SEARCH(CARI!$C$5,$B684&amp;" "&amp;$C684&amp;" "&amp;$D684&amp;" "&amp;$O684&amp;" "&amp;$I684&amp;" "&amp;$F684&amp;" "&amp;$J684&amp;" "&amp;$K684&amp;" "&amp;$L684&amp;" "&amp;$V684))),OR(CARI!$C$6="",$F684=CARI!$C$6),OR(CARI!$C$7="",$G684=CARI!$C$7),OR(CARI!$C$8="",$T684=CARI!$C$8)),MAX($Z$3:Z683)+1,""))</f>
        <v/>
      </c>
      <c r="AA684" s="40" t="str">
        <f aca="false">IF($Y684="","",MAX($AA$3:AA683)+1)</f>
        <v/>
      </c>
      <c r="AB684" s="40" t="str">
        <f aca="false">IF($F684="","",$F684&amp;"#"&amp;COUNTIF($F$4:$F684,$F684))</f>
        <v/>
      </c>
      <c r="AC684" s="40" t="str">
        <f aca="false">IF($B684="","",IF(AND(OR(CETAK!$J$10="",$F684=CETAK!$J$10),OR(CETAK!$J$11="",$G684=CETAK!$J$11),OR(CETAK!$J$12="",$P684=CETAK!$J$12),OR(CETAK!$J$13="",$N684=CETAK!$J$13),OR(CETAK!$J$14="",$T684=CETAK!$J$14)),MAX($AC$3:AC683)+1,""))</f>
        <v/>
      </c>
      <c r="AD684" s="40" t="str">
        <f aca="false">IF($B684="","",IF(AND(OR(ABSENSI!$H$10="",$F684=ABSENSI!$H$10),OR(ABSENSI!$H$11="",$G684=ABSENSI!$H$11),OR(ABSENSI!$H$12="",$P684=ABSENSI!$H$12)),MAX($AD$3:AD683)+1,""))</f>
        <v/>
      </c>
      <c r="AE684" s="40" t="str">
        <f aca="false">IF($B684="","",IF(AND(OR(KARTU!$K$6="",$F684=KARTU!$K$6),OR(KARTU!$K$7="",$G684=KARTU!$K$7),OR(KARTU!$K$8="",$P684=KARTU!$K$8)),MAX($AE$3:AE683)+1,""))</f>
        <v/>
      </c>
    </row>
    <row r="685" customFormat="false" ht="15" hidden="false" customHeight="false" outlineLevel="0" collapsed="false">
      <c r="A685" s="35" t="str">
        <f aca="false">IF($B685="","",COUNTA($B$4:$B685))</f>
        <v/>
      </c>
      <c r="B685" s="36"/>
      <c r="C685" s="37"/>
      <c r="D685" s="37"/>
      <c r="E685" s="38"/>
      <c r="F685" s="36"/>
      <c r="G685" s="39"/>
      <c r="H685" s="39"/>
      <c r="I685" s="36"/>
      <c r="J685" s="36"/>
      <c r="K685" s="36"/>
      <c r="L685" s="36"/>
      <c r="M685" s="40" t="str">
        <f aca="false">IF($F685="","",$F685&amp;IF($G685="",""," - RT "&amp;$G685&amp;IF($H685="","","/"&amp;$H685)))</f>
        <v/>
      </c>
      <c r="N685" s="36"/>
      <c r="O685" s="37"/>
      <c r="P685" s="39"/>
      <c r="Q685" s="41"/>
      <c r="R685" s="35" t="str">
        <f aca="true">IF(OR($B685="",$Q685=""),"",DATEDIF($Q685,TODAY(),"Y"))</f>
        <v/>
      </c>
      <c r="S685" s="40" t="str">
        <f aca="false">IF($R685="","",INDEX(usia_label,MATCH($R685,usia_min,1)))</f>
        <v/>
      </c>
      <c r="T685" s="36"/>
      <c r="U685" s="41"/>
      <c r="V685" s="36"/>
      <c r="W685" s="36"/>
      <c r="X685" s="40" t="str">
        <f aca="false">IF($M685="","",$M685&amp;"#"&amp;COUNTIF($M$4:$M685,$M685))</f>
        <v/>
      </c>
      <c r="Y685" s="40" t="str">
        <f aca="false">IF($B685="","",IF($C685="","NIK kosong",IF(LEN($C685)&lt;&gt;16,"NIK bukan 16 digit",IF(COUNTIF($C$4:$C$2003,$C685&amp;"*")&gt;1,"NIK ganda",IF(AND($D685&lt;&gt;"",LEN($D685)&lt;&gt;16),"No. KK bukan 16 digit",IF(AND($F685="",$I685=""),"Alamat kosong",IF($N685="","Jabatan kosong",IF($O685="","No. HP kosong",IF(AND($R685&lt;&gt;"",$R685&lt;17),"Usia di bawah 17","")))))))))</f>
        <v/>
      </c>
      <c r="Z685" s="40" t="str">
        <f aca="false">IF($B685="","",IF(AND(OR(CARI!$C$5="",ISNUMBER(SEARCH(CARI!$C$5,$B685&amp;" "&amp;$C685&amp;" "&amp;$D685&amp;" "&amp;$O685&amp;" "&amp;$I685&amp;" "&amp;$F685&amp;" "&amp;$J685&amp;" "&amp;$K685&amp;" "&amp;$L685&amp;" "&amp;$V685))),OR(CARI!$C$6="",$F685=CARI!$C$6),OR(CARI!$C$7="",$G685=CARI!$C$7),OR(CARI!$C$8="",$T685=CARI!$C$8)),MAX($Z$3:Z684)+1,""))</f>
        <v/>
      </c>
      <c r="AA685" s="40" t="str">
        <f aca="false">IF($Y685="","",MAX($AA$3:AA684)+1)</f>
        <v/>
      </c>
      <c r="AB685" s="40" t="str">
        <f aca="false">IF($F685="","",$F685&amp;"#"&amp;COUNTIF($F$4:$F685,$F685))</f>
        <v/>
      </c>
      <c r="AC685" s="40" t="str">
        <f aca="false">IF($B685="","",IF(AND(OR(CETAK!$J$10="",$F685=CETAK!$J$10),OR(CETAK!$J$11="",$G685=CETAK!$J$11),OR(CETAK!$J$12="",$P685=CETAK!$J$12),OR(CETAK!$J$13="",$N685=CETAK!$J$13),OR(CETAK!$J$14="",$T685=CETAK!$J$14)),MAX($AC$3:AC684)+1,""))</f>
        <v/>
      </c>
      <c r="AD685" s="40" t="str">
        <f aca="false">IF($B685="","",IF(AND(OR(ABSENSI!$H$10="",$F685=ABSENSI!$H$10),OR(ABSENSI!$H$11="",$G685=ABSENSI!$H$11),OR(ABSENSI!$H$12="",$P685=ABSENSI!$H$12)),MAX($AD$3:AD684)+1,""))</f>
        <v/>
      </c>
      <c r="AE685" s="40" t="str">
        <f aca="false">IF($B685="","",IF(AND(OR(KARTU!$K$6="",$F685=KARTU!$K$6),OR(KARTU!$K$7="",$G685=KARTU!$K$7),OR(KARTU!$K$8="",$P685=KARTU!$K$8)),MAX($AE$3:AE684)+1,""))</f>
        <v/>
      </c>
    </row>
    <row r="686" customFormat="false" ht="15" hidden="false" customHeight="false" outlineLevel="0" collapsed="false">
      <c r="A686" s="35" t="str">
        <f aca="false">IF($B686="","",COUNTA($B$4:$B686))</f>
        <v/>
      </c>
      <c r="B686" s="36"/>
      <c r="C686" s="37"/>
      <c r="D686" s="37"/>
      <c r="E686" s="38"/>
      <c r="F686" s="36"/>
      <c r="G686" s="39"/>
      <c r="H686" s="39"/>
      <c r="I686" s="36"/>
      <c r="J686" s="36"/>
      <c r="K686" s="36"/>
      <c r="L686" s="36"/>
      <c r="M686" s="40" t="str">
        <f aca="false">IF($F686="","",$F686&amp;IF($G686="",""," - RT "&amp;$G686&amp;IF($H686="","","/"&amp;$H686)))</f>
        <v/>
      </c>
      <c r="N686" s="36"/>
      <c r="O686" s="37"/>
      <c r="P686" s="39"/>
      <c r="Q686" s="41"/>
      <c r="R686" s="35" t="str">
        <f aca="true">IF(OR($B686="",$Q686=""),"",DATEDIF($Q686,TODAY(),"Y"))</f>
        <v/>
      </c>
      <c r="S686" s="40" t="str">
        <f aca="false">IF($R686="","",INDEX(usia_label,MATCH($R686,usia_min,1)))</f>
        <v/>
      </c>
      <c r="T686" s="36"/>
      <c r="U686" s="41"/>
      <c r="V686" s="36"/>
      <c r="W686" s="36"/>
      <c r="X686" s="40" t="str">
        <f aca="false">IF($M686="","",$M686&amp;"#"&amp;COUNTIF($M$4:$M686,$M686))</f>
        <v/>
      </c>
      <c r="Y686" s="40" t="str">
        <f aca="false">IF($B686="","",IF($C686="","NIK kosong",IF(LEN($C686)&lt;&gt;16,"NIK bukan 16 digit",IF(COUNTIF($C$4:$C$2003,$C686&amp;"*")&gt;1,"NIK ganda",IF(AND($D686&lt;&gt;"",LEN($D686)&lt;&gt;16),"No. KK bukan 16 digit",IF(AND($F686="",$I686=""),"Alamat kosong",IF($N686="","Jabatan kosong",IF($O686="","No. HP kosong",IF(AND($R686&lt;&gt;"",$R686&lt;17),"Usia di bawah 17","")))))))))</f>
        <v/>
      </c>
      <c r="Z686" s="40" t="str">
        <f aca="false">IF($B686="","",IF(AND(OR(CARI!$C$5="",ISNUMBER(SEARCH(CARI!$C$5,$B686&amp;" "&amp;$C686&amp;" "&amp;$D686&amp;" "&amp;$O686&amp;" "&amp;$I686&amp;" "&amp;$F686&amp;" "&amp;$J686&amp;" "&amp;$K686&amp;" "&amp;$L686&amp;" "&amp;$V686))),OR(CARI!$C$6="",$F686=CARI!$C$6),OR(CARI!$C$7="",$G686=CARI!$C$7),OR(CARI!$C$8="",$T686=CARI!$C$8)),MAX($Z$3:Z685)+1,""))</f>
        <v/>
      </c>
      <c r="AA686" s="40" t="str">
        <f aca="false">IF($Y686="","",MAX($AA$3:AA685)+1)</f>
        <v/>
      </c>
      <c r="AB686" s="40" t="str">
        <f aca="false">IF($F686="","",$F686&amp;"#"&amp;COUNTIF($F$4:$F686,$F686))</f>
        <v/>
      </c>
      <c r="AC686" s="40" t="str">
        <f aca="false">IF($B686="","",IF(AND(OR(CETAK!$J$10="",$F686=CETAK!$J$10),OR(CETAK!$J$11="",$G686=CETAK!$J$11),OR(CETAK!$J$12="",$P686=CETAK!$J$12),OR(CETAK!$J$13="",$N686=CETAK!$J$13),OR(CETAK!$J$14="",$T686=CETAK!$J$14)),MAX($AC$3:AC685)+1,""))</f>
        <v/>
      </c>
      <c r="AD686" s="40" t="str">
        <f aca="false">IF($B686="","",IF(AND(OR(ABSENSI!$H$10="",$F686=ABSENSI!$H$10),OR(ABSENSI!$H$11="",$G686=ABSENSI!$H$11),OR(ABSENSI!$H$12="",$P686=ABSENSI!$H$12)),MAX($AD$3:AD685)+1,""))</f>
        <v/>
      </c>
      <c r="AE686" s="40" t="str">
        <f aca="false">IF($B686="","",IF(AND(OR(KARTU!$K$6="",$F686=KARTU!$K$6),OR(KARTU!$K$7="",$G686=KARTU!$K$7),OR(KARTU!$K$8="",$P686=KARTU!$K$8)),MAX($AE$3:AE685)+1,""))</f>
        <v/>
      </c>
    </row>
    <row r="687" customFormat="false" ht="15" hidden="false" customHeight="false" outlineLevel="0" collapsed="false">
      <c r="A687" s="35" t="str">
        <f aca="false">IF($B687="","",COUNTA($B$4:$B687))</f>
        <v/>
      </c>
      <c r="B687" s="36"/>
      <c r="C687" s="37"/>
      <c r="D687" s="37"/>
      <c r="E687" s="38"/>
      <c r="F687" s="36"/>
      <c r="G687" s="39"/>
      <c r="H687" s="39"/>
      <c r="I687" s="36"/>
      <c r="J687" s="36"/>
      <c r="K687" s="36"/>
      <c r="L687" s="36"/>
      <c r="M687" s="40" t="str">
        <f aca="false">IF($F687="","",$F687&amp;IF($G687="",""," - RT "&amp;$G687&amp;IF($H687="","","/"&amp;$H687)))</f>
        <v/>
      </c>
      <c r="N687" s="36"/>
      <c r="O687" s="37"/>
      <c r="P687" s="39"/>
      <c r="Q687" s="41"/>
      <c r="R687" s="35" t="str">
        <f aca="true">IF(OR($B687="",$Q687=""),"",DATEDIF($Q687,TODAY(),"Y"))</f>
        <v/>
      </c>
      <c r="S687" s="40" t="str">
        <f aca="false">IF($R687="","",INDEX(usia_label,MATCH($R687,usia_min,1)))</f>
        <v/>
      </c>
      <c r="T687" s="36"/>
      <c r="U687" s="41"/>
      <c r="V687" s="36"/>
      <c r="W687" s="36"/>
      <c r="X687" s="40" t="str">
        <f aca="false">IF($M687="","",$M687&amp;"#"&amp;COUNTIF($M$4:$M687,$M687))</f>
        <v/>
      </c>
      <c r="Y687" s="40" t="str">
        <f aca="false">IF($B687="","",IF($C687="","NIK kosong",IF(LEN($C687)&lt;&gt;16,"NIK bukan 16 digit",IF(COUNTIF($C$4:$C$2003,$C687&amp;"*")&gt;1,"NIK ganda",IF(AND($D687&lt;&gt;"",LEN($D687)&lt;&gt;16),"No. KK bukan 16 digit",IF(AND($F687="",$I687=""),"Alamat kosong",IF($N687="","Jabatan kosong",IF($O687="","No. HP kosong",IF(AND($R687&lt;&gt;"",$R687&lt;17),"Usia di bawah 17","")))))))))</f>
        <v/>
      </c>
      <c r="Z687" s="40" t="str">
        <f aca="false">IF($B687="","",IF(AND(OR(CARI!$C$5="",ISNUMBER(SEARCH(CARI!$C$5,$B687&amp;" "&amp;$C687&amp;" "&amp;$D687&amp;" "&amp;$O687&amp;" "&amp;$I687&amp;" "&amp;$F687&amp;" "&amp;$J687&amp;" "&amp;$K687&amp;" "&amp;$L687&amp;" "&amp;$V687))),OR(CARI!$C$6="",$F687=CARI!$C$6),OR(CARI!$C$7="",$G687=CARI!$C$7),OR(CARI!$C$8="",$T687=CARI!$C$8)),MAX($Z$3:Z686)+1,""))</f>
        <v/>
      </c>
      <c r="AA687" s="40" t="str">
        <f aca="false">IF($Y687="","",MAX($AA$3:AA686)+1)</f>
        <v/>
      </c>
      <c r="AB687" s="40" t="str">
        <f aca="false">IF($F687="","",$F687&amp;"#"&amp;COUNTIF($F$4:$F687,$F687))</f>
        <v/>
      </c>
      <c r="AC687" s="40" t="str">
        <f aca="false">IF($B687="","",IF(AND(OR(CETAK!$J$10="",$F687=CETAK!$J$10),OR(CETAK!$J$11="",$G687=CETAK!$J$11),OR(CETAK!$J$12="",$P687=CETAK!$J$12),OR(CETAK!$J$13="",$N687=CETAK!$J$13),OR(CETAK!$J$14="",$T687=CETAK!$J$14)),MAX($AC$3:AC686)+1,""))</f>
        <v/>
      </c>
      <c r="AD687" s="40" t="str">
        <f aca="false">IF($B687="","",IF(AND(OR(ABSENSI!$H$10="",$F687=ABSENSI!$H$10),OR(ABSENSI!$H$11="",$G687=ABSENSI!$H$11),OR(ABSENSI!$H$12="",$P687=ABSENSI!$H$12)),MAX($AD$3:AD686)+1,""))</f>
        <v/>
      </c>
      <c r="AE687" s="40" t="str">
        <f aca="false">IF($B687="","",IF(AND(OR(KARTU!$K$6="",$F687=KARTU!$K$6),OR(KARTU!$K$7="",$G687=KARTU!$K$7),OR(KARTU!$K$8="",$P687=KARTU!$K$8)),MAX($AE$3:AE686)+1,""))</f>
        <v/>
      </c>
    </row>
    <row r="688" customFormat="false" ht="15" hidden="false" customHeight="false" outlineLevel="0" collapsed="false">
      <c r="A688" s="35" t="str">
        <f aca="false">IF($B688="","",COUNTA($B$4:$B688))</f>
        <v/>
      </c>
      <c r="B688" s="36"/>
      <c r="C688" s="37"/>
      <c r="D688" s="37"/>
      <c r="E688" s="38"/>
      <c r="F688" s="36"/>
      <c r="G688" s="39"/>
      <c r="H688" s="39"/>
      <c r="I688" s="36"/>
      <c r="J688" s="36"/>
      <c r="K688" s="36"/>
      <c r="L688" s="36"/>
      <c r="M688" s="40" t="str">
        <f aca="false">IF($F688="","",$F688&amp;IF($G688="",""," - RT "&amp;$G688&amp;IF($H688="","","/"&amp;$H688)))</f>
        <v/>
      </c>
      <c r="N688" s="36"/>
      <c r="O688" s="37"/>
      <c r="P688" s="39"/>
      <c r="Q688" s="41"/>
      <c r="R688" s="35" t="str">
        <f aca="true">IF(OR($B688="",$Q688=""),"",DATEDIF($Q688,TODAY(),"Y"))</f>
        <v/>
      </c>
      <c r="S688" s="40" t="str">
        <f aca="false">IF($R688="","",INDEX(usia_label,MATCH($R688,usia_min,1)))</f>
        <v/>
      </c>
      <c r="T688" s="36"/>
      <c r="U688" s="41"/>
      <c r="V688" s="36"/>
      <c r="W688" s="36"/>
      <c r="X688" s="40" t="str">
        <f aca="false">IF($M688="","",$M688&amp;"#"&amp;COUNTIF($M$4:$M688,$M688))</f>
        <v/>
      </c>
      <c r="Y688" s="40" t="str">
        <f aca="false">IF($B688="","",IF($C688="","NIK kosong",IF(LEN($C688)&lt;&gt;16,"NIK bukan 16 digit",IF(COUNTIF($C$4:$C$2003,$C688&amp;"*")&gt;1,"NIK ganda",IF(AND($D688&lt;&gt;"",LEN($D688)&lt;&gt;16),"No. KK bukan 16 digit",IF(AND($F688="",$I688=""),"Alamat kosong",IF($N688="","Jabatan kosong",IF($O688="","No. HP kosong",IF(AND($R688&lt;&gt;"",$R688&lt;17),"Usia di bawah 17","")))))))))</f>
        <v/>
      </c>
      <c r="Z688" s="40" t="str">
        <f aca="false">IF($B688="","",IF(AND(OR(CARI!$C$5="",ISNUMBER(SEARCH(CARI!$C$5,$B688&amp;" "&amp;$C688&amp;" "&amp;$D688&amp;" "&amp;$O688&amp;" "&amp;$I688&amp;" "&amp;$F688&amp;" "&amp;$J688&amp;" "&amp;$K688&amp;" "&amp;$L688&amp;" "&amp;$V688))),OR(CARI!$C$6="",$F688=CARI!$C$6),OR(CARI!$C$7="",$G688=CARI!$C$7),OR(CARI!$C$8="",$T688=CARI!$C$8)),MAX($Z$3:Z687)+1,""))</f>
        <v/>
      </c>
      <c r="AA688" s="40" t="str">
        <f aca="false">IF($Y688="","",MAX($AA$3:AA687)+1)</f>
        <v/>
      </c>
      <c r="AB688" s="40" t="str">
        <f aca="false">IF($F688="","",$F688&amp;"#"&amp;COUNTIF($F$4:$F688,$F688))</f>
        <v/>
      </c>
      <c r="AC688" s="40" t="str">
        <f aca="false">IF($B688="","",IF(AND(OR(CETAK!$J$10="",$F688=CETAK!$J$10),OR(CETAK!$J$11="",$G688=CETAK!$J$11),OR(CETAK!$J$12="",$P688=CETAK!$J$12),OR(CETAK!$J$13="",$N688=CETAK!$J$13),OR(CETAK!$J$14="",$T688=CETAK!$J$14)),MAX($AC$3:AC687)+1,""))</f>
        <v/>
      </c>
      <c r="AD688" s="40" t="str">
        <f aca="false">IF($B688="","",IF(AND(OR(ABSENSI!$H$10="",$F688=ABSENSI!$H$10),OR(ABSENSI!$H$11="",$G688=ABSENSI!$H$11),OR(ABSENSI!$H$12="",$P688=ABSENSI!$H$12)),MAX($AD$3:AD687)+1,""))</f>
        <v/>
      </c>
      <c r="AE688" s="40" t="str">
        <f aca="false">IF($B688="","",IF(AND(OR(KARTU!$K$6="",$F688=KARTU!$K$6),OR(KARTU!$K$7="",$G688=KARTU!$K$7),OR(KARTU!$K$8="",$P688=KARTU!$K$8)),MAX($AE$3:AE687)+1,""))</f>
        <v/>
      </c>
    </row>
    <row r="689" customFormat="false" ht="15" hidden="false" customHeight="false" outlineLevel="0" collapsed="false">
      <c r="A689" s="35" t="str">
        <f aca="false">IF($B689="","",COUNTA($B$4:$B689))</f>
        <v/>
      </c>
      <c r="B689" s="36"/>
      <c r="C689" s="37"/>
      <c r="D689" s="37"/>
      <c r="E689" s="38"/>
      <c r="F689" s="36"/>
      <c r="G689" s="39"/>
      <c r="H689" s="39"/>
      <c r="I689" s="36"/>
      <c r="J689" s="36"/>
      <c r="K689" s="36"/>
      <c r="L689" s="36"/>
      <c r="M689" s="40" t="str">
        <f aca="false">IF($F689="","",$F689&amp;IF($G689="",""," - RT "&amp;$G689&amp;IF($H689="","","/"&amp;$H689)))</f>
        <v/>
      </c>
      <c r="N689" s="36"/>
      <c r="O689" s="37"/>
      <c r="P689" s="39"/>
      <c r="Q689" s="41"/>
      <c r="R689" s="35" t="str">
        <f aca="true">IF(OR($B689="",$Q689=""),"",DATEDIF($Q689,TODAY(),"Y"))</f>
        <v/>
      </c>
      <c r="S689" s="40" t="str">
        <f aca="false">IF($R689="","",INDEX(usia_label,MATCH($R689,usia_min,1)))</f>
        <v/>
      </c>
      <c r="T689" s="36"/>
      <c r="U689" s="41"/>
      <c r="V689" s="36"/>
      <c r="W689" s="36"/>
      <c r="X689" s="40" t="str">
        <f aca="false">IF($M689="","",$M689&amp;"#"&amp;COUNTIF($M$4:$M689,$M689))</f>
        <v/>
      </c>
      <c r="Y689" s="40" t="str">
        <f aca="false">IF($B689="","",IF($C689="","NIK kosong",IF(LEN($C689)&lt;&gt;16,"NIK bukan 16 digit",IF(COUNTIF($C$4:$C$2003,$C689&amp;"*")&gt;1,"NIK ganda",IF(AND($D689&lt;&gt;"",LEN($D689)&lt;&gt;16),"No. KK bukan 16 digit",IF(AND($F689="",$I689=""),"Alamat kosong",IF($N689="","Jabatan kosong",IF($O689="","No. HP kosong",IF(AND($R689&lt;&gt;"",$R689&lt;17),"Usia di bawah 17","")))))))))</f>
        <v/>
      </c>
      <c r="Z689" s="40" t="str">
        <f aca="false">IF($B689="","",IF(AND(OR(CARI!$C$5="",ISNUMBER(SEARCH(CARI!$C$5,$B689&amp;" "&amp;$C689&amp;" "&amp;$D689&amp;" "&amp;$O689&amp;" "&amp;$I689&amp;" "&amp;$F689&amp;" "&amp;$J689&amp;" "&amp;$K689&amp;" "&amp;$L689&amp;" "&amp;$V689))),OR(CARI!$C$6="",$F689=CARI!$C$6),OR(CARI!$C$7="",$G689=CARI!$C$7),OR(CARI!$C$8="",$T689=CARI!$C$8)),MAX($Z$3:Z688)+1,""))</f>
        <v/>
      </c>
      <c r="AA689" s="40" t="str">
        <f aca="false">IF($Y689="","",MAX($AA$3:AA688)+1)</f>
        <v/>
      </c>
      <c r="AB689" s="40" t="str">
        <f aca="false">IF($F689="","",$F689&amp;"#"&amp;COUNTIF($F$4:$F689,$F689))</f>
        <v/>
      </c>
      <c r="AC689" s="40" t="str">
        <f aca="false">IF($B689="","",IF(AND(OR(CETAK!$J$10="",$F689=CETAK!$J$10),OR(CETAK!$J$11="",$G689=CETAK!$J$11),OR(CETAK!$J$12="",$P689=CETAK!$J$12),OR(CETAK!$J$13="",$N689=CETAK!$J$13),OR(CETAK!$J$14="",$T689=CETAK!$J$14)),MAX($AC$3:AC688)+1,""))</f>
        <v/>
      </c>
      <c r="AD689" s="40" t="str">
        <f aca="false">IF($B689="","",IF(AND(OR(ABSENSI!$H$10="",$F689=ABSENSI!$H$10),OR(ABSENSI!$H$11="",$G689=ABSENSI!$H$11),OR(ABSENSI!$H$12="",$P689=ABSENSI!$H$12)),MAX($AD$3:AD688)+1,""))</f>
        <v/>
      </c>
      <c r="AE689" s="40" t="str">
        <f aca="false">IF($B689="","",IF(AND(OR(KARTU!$K$6="",$F689=KARTU!$K$6),OR(KARTU!$K$7="",$G689=KARTU!$K$7),OR(KARTU!$K$8="",$P689=KARTU!$K$8)),MAX($AE$3:AE688)+1,""))</f>
        <v/>
      </c>
    </row>
    <row r="690" customFormat="false" ht="15" hidden="false" customHeight="false" outlineLevel="0" collapsed="false">
      <c r="A690" s="35" t="str">
        <f aca="false">IF($B690="","",COUNTA($B$4:$B690))</f>
        <v/>
      </c>
      <c r="B690" s="36"/>
      <c r="C690" s="37"/>
      <c r="D690" s="37"/>
      <c r="E690" s="38"/>
      <c r="F690" s="36"/>
      <c r="G690" s="39"/>
      <c r="H690" s="39"/>
      <c r="I690" s="36"/>
      <c r="J690" s="36"/>
      <c r="K690" s="36"/>
      <c r="L690" s="36"/>
      <c r="M690" s="40" t="str">
        <f aca="false">IF($F690="","",$F690&amp;IF($G690="",""," - RT "&amp;$G690&amp;IF($H690="","","/"&amp;$H690)))</f>
        <v/>
      </c>
      <c r="N690" s="36"/>
      <c r="O690" s="37"/>
      <c r="P690" s="39"/>
      <c r="Q690" s="41"/>
      <c r="R690" s="35" t="str">
        <f aca="true">IF(OR($B690="",$Q690=""),"",DATEDIF($Q690,TODAY(),"Y"))</f>
        <v/>
      </c>
      <c r="S690" s="40" t="str">
        <f aca="false">IF($R690="","",INDEX(usia_label,MATCH($R690,usia_min,1)))</f>
        <v/>
      </c>
      <c r="T690" s="36"/>
      <c r="U690" s="41"/>
      <c r="V690" s="36"/>
      <c r="W690" s="36"/>
      <c r="X690" s="40" t="str">
        <f aca="false">IF($M690="","",$M690&amp;"#"&amp;COUNTIF($M$4:$M690,$M690))</f>
        <v/>
      </c>
      <c r="Y690" s="40" t="str">
        <f aca="false">IF($B690="","",IF($C690="","NIK kosong",IF(LEN($C690)&lt;&gt;16,"NIK bukan 16 digit",IF(COUNTIF($C$4:$C$2003,$C690&amp;"*")&gt;1,"NIK ganda",IF(AND($D690&lt;&gt;"",LEN($D690)&lt;&gt;16),"No. KK bukan 16 digit",IF(AND($F690="",$I690=""),"Alamat kosong",IF($N690="","Jabatan kosong",IF($O690="","No. HP kosong",IF(AND($R690&lt;&gt;"",$R690&lt;17),"Usia di bawah 17","")))))))))</f>
        <v/>
      </c>
      <c r="Z690" s="40" t="str">
        <f aca="false">IF($B690="","",IF(AND(OR(CARI!$C$5="",ISNUMBER(SEARCH(CARI!$C$5,$B690&amp;" "&amp;$C690&amp;" "&amp;$D690&amp;" "&amp;$O690&amp;" "&amp;$I690&amp;" "&amp;$F690&amp;" "&amp;$J690&amp;" "&amp;$K690&amp;" "&amp;$L690&amp;" "&amp;$V690))),OR(CARI!$C$6="",$F690=CARI!$C$6),OR(CARI!$C$7="",$G690=CARI!$C$7),OR(CARI!$C$8="",$T690=CARI!$C$8)),MAX($Z$3:Z689)+1,""))</f>
        <v/>
      </c>
      <c r="AA690" s="40" t="str">
        <f aca="false">IF($Y690="","",MAX($AA$3:AA689)+1)</f>
        <v/>
      </c>
      <c r="AB690" s="40" t="str">
        <f aca="false">IF($F690="","",$F690&amp;"#"&amp;COUNTIF($F$4:$F690,$F690))</f>
        <v/>
      </c>
      <c r="AC690" s="40" t="str">
        <f aca="false">IF($B690="","",IF(AND(OR(CETAK!$J$10="",$F690=CETAK!$J$10),OR(CETAK!$J$11="",$G690=CETAK!$J$11),OR(CETAK!$J$12="",$P690=CETAK!$J$12),OR(CETAK!$J$13="",$N690=CETAK!$J$13),OR(CETAK!$J$14="",$T690=CETAK!$J$14)),MAX($AC$3:AC689)+1,""))</f>
        <v/>
      </c>
      <c r="AD690" s="40" t="str">
        <f aca="false">IF($B690="","",IF(AND(OR(ABSENSI!$H$10="",$F690=ABSENSI!$H$10),OR(ABSENSI!$H$11="",$G690=ABSENSI!$H$11),OR(ABSENSI!$H$12="",$P690=ABSENSI!$H$12)),MAX($AD$3:AD689)+1,""))</f>
        <v/>
      </c>
      <c r="AE690" s="40" t="str">
        <f aca="false">IF($B690="","",IF(AND(OR(KARTU!$K$6="",$F690=KARTU!$K$6),OR(KARTU!$K$7="",$G690=KARTU!$K$7),OR(KARTU!$K$8="",$P690=KARTU!$K$8)),MAX($AE$3:AE689)+1,""))</f>
        <v/>
      </c>
    </row>
    <row r="691" customFormat="false" ht="15" hidden="false" customHeight="false" outlineLevel="0" collapsed="false">
      <c r="A691" s="35" t="str">
        <f aca="false">IF($B691="","",COUNTA($B$4:$B691))</f>
        <v/>
      </c>
      <c r="B691" s="36"/>
      <c r="C691" s="37"/>
      <c r="D691" s="37"/>
      <c r="E691" s="38"/>
      <c r="F691" s="36"/>
      <c r="G691" s="39"/>
      <c r="H691" s="39"/>
      <c r="I691" s="36"/>
      <c r="J691" s="36"/>
      <c r="K691" s="36"/>
      <c r="L691" s="36"/>
      <c r="M691" s="40" t="str">
        <f aca="false">IF($F691="","",$F691&amp;IF($G691="",""," - RT "&amp;$G691&amp;IF($H691="","","/"&amp;$H691)))</f>
        <v/>
      </c>
      <c r="N691" s="36"/>
      <c r="O691" s="37"/>
      <c r="P691" s="39"/>
      <c r="Q691" s="41"/>
      <c r="R691" s="35" t="str">
        <f aca="true">IF(OR($B691="",$Q691=""),"",DATEDIF($Q691,TODAY(),"Y"))</f>
        <v/>
      </c>
      <c r="S691" s="40" t="str">
        <f aca="false">IF($R691="","",INDEX(usia_label,MATCH($R691,usia_min,1)))</f>
        <v/>
      </c>
      <c r="T691" s="36"/>
      <c r="U691" s="41"/>
      <c r="V691" s="36"/>
      <c r="W691" s="36"/>
      <c r="X691" s="40" t="str">
        <f aca="false">IF($M691="","",$M691&amp;"#"&amp;COUNTIF($M$4:$M691,$M691))</f>
        <v/>
      </c>
      <c r="Y691" s="40" t="str">
        <f aca="false">IF($B691="","",IF($C691="","NIK kosong",IF(LEN($C691)&lt;&gt;16,"NIK bukan 16 digit",IF(COUNTIF($C$4:$C$2003,$C691&amp;"*")&gt;1,"NIK ganda",IF(AND($D691&lt;&gt;"",LEN($D691)&lt;&gt;16),"No. KK bukan 16 digit",IF(AND($F691="",$I691=""),"Alamat kosong",IF($N691="","Jabatan kosong",IF($O691="","No. HP kosong",IF(AND($R691&lt;&gt;"",$R691&lt;17),"Usia di bawah 17","")))))))))</f>
        <v/>
      </c>
      <c r="Z691" s="40" t="str">
        <f aca="false">IF($B691="","",IF(AND(OR(CARI!$C$5="",ISNUMBER(SEARCH(CARI!$C$5,$B691&amp;" "&amp;$C691&amp;" "&amp;$D691&amp;" "&amp;$O691&amp;" "&amp;$I691&amp;" "&amp;$F691&amp;" "&amp;$J691&amp;" "&amp;$K691&amp;" "&amp;$L691&amp;" "&amp;$V691))),OR(CARI!$C$6="",$F691=CARI!$C$6),OR(CARI!$C$7="",$G691=CARI!$C$7),OR(CARI!$C$8="",$T691=CARI!$C$8)),MAX($Z$3:Z690)+1,""))</f>
        <v/>
      </c>
      <c r="AA691" s="40" t="str">
        <f aca="false">IF($Y691="","",MAX($AA$3:AA690)+1)</f>
        <v/>
      </c>
      <c r="AB691" s="40" t="str">
        <f aca="false">IF($F691="","",$F691&amp;"#"&amp;COUNTIF($F$4:$F691,$F691))</f>
        <v/>
      </c>
      <c r="AC691" s="40" t="str">
        <f aca="false">IF($B691="","",IF(AND(OR(CETAK!$J$10="",$F691=CETAK!$J$10),OR(CETAK!$J$11="",$G691=CETAK!$J$11),OR(CETAK!$J$12="",$P691=CETAK!$J$12),OR(CETAK!$J$13="",$N691=CETAK!$J$13),OR(CETAK!$J$14="",$T691=CETAK!$J$14)),MAX($AC$3:AC690)+1,""))</f>
        <v/>
      </c>
      <c r="AD691" s="40" t="str">
        <f aca="false">IF($B691="","",IF(AND(OR(ABSENSI!$H$10="",$F691=ABSENSI!$H$10),OR(ABSENSI!$H$11="",$G691=ABSENSI!$H$11),OR(ABSENSI!$H$12="",$P691=ABSENSI!$H$12)),MAX($AD$3:AD690)+1,""))</f>
        <v/>
      </c>
      <c r="AE691" s="40" t="str">
        <f aca="false">IF($B691="","",IF(AND(OR(KARTU!$K$6="",$F691=KARTU!$K$6),OR(KARTU!$K$7="",$G691=KARTU!$K$7),OR(KARTU!$K$8="",$P691=KARTU!$K$8)),MAX($AE$3:AE690)+1,""))</f>
        <v/>
      </c>
    </row>
    <row r="692" customFormat="false" ht="15" hidden="false" customHeight="false" outlineLevel="0" collapsed="false">
      <c r="A692" s="35" t="str">
        <f aca="false">IF($B692="","",COUNTA($B$4:$B692))</f>
        <v/>
      </c>
      <c r="B692" s="36"/>
      <c r="C692" s="37"/>
      <c r="D692" s="37"/>
      <c r="E692" s="38"/>
      <c r="F692" s="36"/>
      <c r="G692" s="39"/>
      <c r="H692" s="39"/>
      <c r="I692" s="36"/>
      <c r="J692" s="36"/>
      <c r="K692" s="36"/>
      <c r="L692" s="36"/>
      <c r="M692" s="40" t="str">
        <f aca="false">IF($F692="","",$F692&amp;IF($G692="",""," - RT "&amp;$G692&amp;IF($H692="","","/"&amp;$H692)))</f>
        <v/>
      </c>
      <c r="N692" s="36"/>
      <c r="O692" s="37"/>
      <c r="P692" s="39"/>
      <c r="Q692" s="41"/>
      <c r="R692" s="35" t="str">
        <f aca="true">IF(OR($B692="",$Q692=""),"",DATEDIF($Q692,TODAY(),"Y"))</f>
        <v/>
      </c>
      <c r="S692" s="40" t="str">
        <f aca="false">IF($R692="","",INDEX(usia_label,MATCH($R692,usia_min,1)))</f>
        <v/>
      </c>
      <c r="T692" s="36"/>
      <c r="U692" s="41"/>
      <c r="V692" s="36"/>
      <c r="W692" s="36"/>
      <c r="X692" s="40" t="str">
        <f aca="false">IF($M692="","",$M692&amp;"#"&amp;COUNTIF($M$4:$M692,$M692))</f>
        <v/>
      </c>
      <c r="Y692" s="40" t="str">
        <f aca="false">IF($B692="","",IF($C692="","NIK kosong",IF(LEN($C692)&lt;&gt;16,"NIK bukan 16 digit",IF(COUNTIF($C$4:$C$2003,$C692&amp;"*")&gt;1,"NIK ganda",IF(AND($D692&lt;&gt;"",LEN($D692)&lt;&gt;16),"No. KK bukan 16 digit",IF(AND($F692="",$I692=""),"Alamat kosong",IF($N692="","Jabatan kosong",IF($O692="","No. HP kosong",IF(AND($R692&lt;&gt;"",$R692&lt;17),"Usia di bawah 17","")))))))))</f>
        <v/>
      </c>
      <c r="Z692" s="40" t="str">
        <f aca="false">IF($B692="","",IF(AND(OR(CARI!$C$5="",ISNUMBER(SEARCH(CARI!$C$5,$B692&amp;" "&amp;$C692&amp;" "&amp;$D692&amp;" "&amp;$O692&amp;" "&amp;$I692&amp;" "&amp;$F692&amp;" "&amp;$J692&amp;" "&amp;$K692&amp;" "&amp;$L692&amp;" "&amp;$V692))),OR(CARI!$C$6="",$F692=CARI!$C$6),OR(CARI!$C$7="",$G692=CARI!$C$7),OR(CARI!$C$8="",$T692=CARI!$C$8)),MAX($Z$3:Z691)+1,""))</f>
        <v/>
      </c>
      <c r="AA692" s="40" t="str">
        <f aca="false">IF($Y692="","",MAX($AA$3:AA691)+1)</f>
        <v/>
      </c>
      <c r="AB692" s="40" t="str">
        <f aca="false">IF($F692="","",$F692&amp;"#"&amp;COUNTIF($F$4:$F692,$F692))</f>
        <v/>
      </c>
      <c r="AC692" s="40" t="str">
        <f aca="false">IF($B692="","",IF(AND(OR(CETAK!$J$10="",$F692=CETAK!$J$10),OR(CETAK!$J$11="",$G692=CETAK!$J$11),OR(CETAK!$J$12="",$P692=CETAK!$J$12),OR(CETAK!$J$13="",$N692=CETAK!$J$13),OR(CETAK!$J$14="",$T692=CETAK!$J$14)),MAX($AC$3:AC691)+1,""))</f>
        <v/>
      </c>
      <c r="AD692" s="40" t="str">
        <f aca="false">IF($B692="","",IF(AND(OR(ABSENSI!$H$10="",$F692=ABSENSI!$H$10),OR(ABSENSI!$H$11="",$G692=ABSENSI!$H$11),OR(ABSENSI!$H$12="",$P692=ABSENSI!$H$12)),MAX($AD$3:AD691)+1,""))</f>
        <v/>
      </c>
      <c r="AE692" s="40" t="str">
        <f aca="false">IF($B692="","",IF(AND(OR(KARTU!$K$6="",$F692=KARTU!$K$6),OR(KARTU!$K$7="",$G692=KARTU!$K$7),OR(KARTU!$K$8="",$P692=KARTU!$K$8)),MAX($AE$3:AE691)+1,""))</f>
        <v/>
      </c>
    </row>
    <row r="693" customFormat="false" ht="15" hidden="false" customHeight="false" outlineLevel="0" collapsed="false">
      <c r="A693" s="35" t="str">
        <f aca="false">IF($B693="","",COUNTA($B$4:$B693))</f>
        <v/>
      </c>
      <c r="B693" s="36"/>
      <c r="C693" s="37"/>
      <c r="D693" s="37"/>
      <c r="E693" s="38"/>
      <c r="F693" s="36"/>
      <c r="G693" s="39"/>
      <c r="H693" s="39"/>
      <c r="I693" s="36"/>
      <c r="J693" s="36"/>
      <c r="K693" s="36"/>
      <c r="L693" s="36"/>
      <c r="M693" s="40" t="str">
        <f aca="false">IF($F693="","",$F693&amp;IF($G693="",""," - RT "&amp;$G693&amp;IF($H693="","","/"&amp;$H693)))</f>
        <v/>
      </c>
      <c r="N693" s="36"/>
      <c r="O693" s="37"/>
      <c r="P693" s="39"/>
      <c r="Q693" s="41"/>
      <c r="R693" s="35" t="str">
        <f aca="true">IF(OR($B693="",$Q693=""),"",DATEDIF($Q693,TODAY(),"Y"))</f>
        <v/>
      </c>
      <c r="S693" s="40" t="str">
        <f aca="false">IF($R693="","",INDEX(usia_label,MATCH($R693,usia_min,1)))</f>
        <v/>
      </c>
      <c r="T693" s="36"/>
      <c r="U693" s="41"/>
      <c r="V693" s="36"/>
      <c r="W693" s="36"/>
      <c r="X693" s="40" t="str">
        <f aca="false">IF($M693="","",$M693&amp;"#"&amp;COUNTIF($M$4:$M693,$M693))</f>
        <v/>
      </c>
      <c r="Y693" s="40" t="str">
        <f aca="false">IF($B693="","",IF($C693="","NIK kosong",IF(LEN($C693)&lt;&gt;16,"NIK bukan 16 digit",IF(COUNTIF($C$4:$C$2003,$C693&amp;"*")&gt;1,"NIK ganda",IF(AND($D693&lt;&gt;"",LEN($D693)&lt;&gt;16),"No. KK bukan 16 digit",IF(AND($F693="",$I693=""),"Alamat kosong",IF($N693="","Jabatan kosong",IF($O693="","No. HP kosong",IF(AND($R693&lt;&gt;"",$R693&lt;17),"Usia di bawah 17","")))))))))</f>
        <v/>
      </c>
      <c r="Z693" s="40" t="str">
        <f aca="false">IF($B693="","",IF(AND(OR(CARI!$C$5="",ISNUMBER(SEARCH(CARI!$C$5,$B693&amp;" "&amp;$C693&amp;" "&amp;$D693&amp;" "&amp;$O693&amp;" "&amp;$I693&amp;" "&amp;$F693&amp;" "&amp;$J693&amp;" "&amp;$K693&amp;" "&amp;$L693&amp;" "&amp;$V693))),OR(CARI!$C$6="",$F693=CARI!$C$6),OR(CARI!$C$7="",$G693=CARI!$C$7),OR(CARI!$C$8="",$T693=CARI!$C$8)),MAX($Z$3:Z692)+1,""))</f>
        <v/>
      </c>
      <c r="AA693" s="40" t="str">
        <f aca="false">IF($Y693="","",MAX($AA$3:AA692)+1)</f>
        <v/>
      </c>
      <c r="AB693" s="40" t="str">
        <f aca="false">IF($F693="","",$F693&amp;"#"&amp;COUNTIF($F$4:$F693,$F693))</f>
        <v/>
      </c>
      <c r="AC693" s="40" t="str">
        <f aca="false">IF($B693="","",IF(AND(OR(CETAK!$J$10="",$F693=CETAK!$J$10),OR(CETAK!$J$11="",$G693=CETAK!$J$11),OR(CETAK!$J$12="",$P693=CETAK!$J$12),OR(CETAK!$J$13="",$N693=CETAK!$J$13),OR(CETAK!$J$14="",$T693=CETAK!$J$14)),MAX($AC$3:AC692)+1,""))</f>
        <v/>
      </c>
      <c r="AD693" s="40" t="str">
        <f aca="false">IF($B693="","",IF(AND(OR(ABSENSI!$H$10="",$F693=ABSENSI!$H$10),OR(ABSENSI!$H$11="",$G693=ABSENSI!$H$11),OR(ABSENSI!$H$12="",$P693=ABSENSI!$H$12)),MAX($AD$3:AD692)+1,""))</f>
        <v/>
      </c>
      <c r="AE693" s="40" t="str">
        <f aca="false">IF($B693="","",IF(AND(OR(KARTU!$K$6="",$F693=KARTU!$K$6),OR(KARTU!$K$7="",$G693=KARTU!$K$7),OR(KARTU!$K$8="",$P693=KARTU!$K$8)),MAX($AE$3:AE692)+1,""))</f>
        <v/>
      </c>
    </row>
    <row r="694" customFormat="false" ht="15" hidden="false" customHeight="false" outlineLevel="0" collapsed="false">
      <c r="A694" s="35" t="str">
        <f aca="false">IF($B694="","",COUNTA($B$4:$B694))</f>
        <v/>
      </c>
      <c r="B694" s="36"/>
      <c r="C694" s="37"/>
      <c r="D694" s="37"/>
      <c r="E694" s="38"/>
      <c r="F694" s="36"/>
      <c r="G694" s="39"/>
      <c r="H694" s="39"/>
      <c r="I694" s="36"/>
      <c r="J694" s="36"/>
      <c r="K694" s="36"/>
      <c r="L694" s="36"/>
      <c r="M694" s="40" t="str">
        <f aca="false">IF($F694="","",$F694&amp;IF($G694="",""," - RT "&amp;$G694&amp;IF($H694="","","/"&amp;$H694)))</f>
        <v/>
      </c>
      <c r="N694" s="36"/>
      <c r="O694" s="37"/>
      <c r="P694" s="39"/>
      <c r="Q694" s="41"/>
      <c r="R694" s="35" t="str">
        <f aca="true">IF(OR($B694="",$Q694=""),"",DATEDIF($Q694,TODAY(),"Y"))</f>
        <v/>
      </c>
      <c r="S694" s="40" t="str">
        <f aca="false">IF($R694="","",INDEX(usia_label,MATCH($R694,usia_min,1)))</f>
        <v/>
      </c>
      <c r="T694" s="36"/>
      <c r="U694" s="41"/>
      <c r="V694" s="36"/>
      <c r="W694" s="36"/>
      <c r="X694" s="40" t="str">
        <f aca="false">IF($M694="","",$M694&amp;"#"&amp;COUNTIF($M$4:$M694,$M694))</f>
        <v/>
      </c>
      <c r="Y694" s="40" t="str">
        <f aca="false">IF($B694="","",IF($C694="","NIK kosong",IF(LEN($C694)&lt;&gt;16,"NIK bukan 16 digit",IF(COUNTIF($C$4:$C$2003,$C694&amp;"*")&gt;1,"NIK ganda",IF(AND($D694&lt;&gt;"",LEN($D694)&lt;&gt;16),"No. KK bukan 16 digit",IF(AND($F694="",$I694=""),"Alamat kosong",IF($N694="","Jabatan kosong",IF($O694="","No. HP kosong",IF(AND($R694&lt;&gt;"",$R694&lt;17),"Usia di bawah 17","")))))))))</f>
        <v/>
      </c>
      <c r="Z694" s="40" t="str">
        <f aca="false">IF($B694="","",IF(AND(OR(CARI!$C$5="",ISNUMBER(SEARCH(CARI!$C$5,$B694&amp;" "&amp;$C694&amp;" "&amp;$D694&amp;" "&amp;$O694&amp;" "&amp;$I694&amp;" "&amp;$F694&amp;" "&amp;$J694&amp;" "&amp;$K694&amp;" "&amp;$L694&amp;" "&amp;$V694))),OR(CARI!$C$6="",$F694=CARI!$C$6),OR(CARI!$C$7="",$G694=CARI!$C$7),OR(CARI!$C$8="",$T694=CARI!$C$8)),MAX($Z$3:Z693)+1,""))</f>
        <v/>
      </c>
      <c r="AA694" s="40" t="str">
        <f aca="false">IF($Y694="","",MAX($AA$3:AA693)+1)</f>
        <v/>
      </c>
      <c r="AB694" s="40" t="str">
        <f aca="false">IF($F694="","",$F694&amp;"#"&amp;COUNTIF($F$4:$F694,$F694))</f>
        <v/>
      </c>
      <c r="AC694" s="40" t="str">
        <f aca="false">IF($B694="","",IF(AND(OR(CETAK!$J$10="",$F694=CETAK!$J$10),OR(CETAK!$J$11="",$G694=CETAK!$J$11),OR(CETAK!$J$12="",$P694=CETAK!$J$12),OR(CETAK!$J$13="",$N694=CETAK!$J$13),OR(CETAK!$J$14="",$T694=CETAK!$J$14)),MAX($AC$3:AC693)+1,""))</f>
        <v/>
      </c>
      <c r="AD694" s="40" t="str">
        <f aca="false">IF($B694="","",IF(AND(OR(ABSENSI!$H$10="",$F694=ABSENSI!$H$10),OR(ABSENSI!$H$11="",$G694=ABSENSI!$H$11),OR(ABSENSI!$H$12="",$P694=ABSENSI!$H$12)),MAX($AD$3:AD693)+1,""))</f>
        <v/>
      </c>
      <c r="AE694" s="40" t="str">
        <f aca="false">IF($B694="","",IF(AND(OR(KARTU!$K$6="",$F694=KARTU!$K$6),OR(KARTU!$K$7="",$G694=KARTU!$K$7),OR(KARTU!$K$8="",$P694=KARTU!$K$8)),MAX($AE$3:AE693)+1,""))</f>
        <v/>
      </c>
    </row>
    <row r="695" customFormat="false" ht="15" hidden="false" customHeight="false" outlineLevel="0" collapsed="false">
      <c r="A695" s="35" t="str">
        <f aca="false">IF($B695="","",COUNTA($B$4:$B695))</f>
        <v/>
      </c>
      <c r="B695" s="36"/>
      <c r="C695" s="37"/>
      <c r="D695" s="37"/>
      <c r="E695" s="38"/>
      <c r="F695" s="36"/>
      <c r="G695" s="39"/>
      <c r="H695" s="39"/>
      <c r="I695" s="36"/>
      <c r="J695" s="36"/>
      <c r="K695" s="36"/>
      <c r="L695" s="36"/>
      <c r="M695" s="40" t="str">
        <f aca="false">IF($F695="","",$F695&amp;IF($G695="",""," - RT "&amp;$G695&amp;IF($H695="","","/"&amp;$H695)))</f>
        <v/>
      </c>
      <c r="N695" s="36"/>
      <c r="O695" s="37"/>
      <c r="P695" s="39"/>
      <c r="Q695" s="41"/>
      <c r="R695" s="35" t="str">
        <f aca="true">IF(OR($B695="",$Q695=""),"",DATEDIF($Q695,TODAY(),"Y"))</f>
        <v/>
      </c>
      <c r="S695" s="40" t="str">
        <f aca="false">IF($R695="","",INDEX(usia_label,MATCH($R695,usia_min,1)))</f>
        <v/>
      </c>
      <c r="T695" s="36"/>
      <c r="U695" s="41"/>
      <c r="V695" s="36"/>
      <c r="W695" s="36"/>
      <c r="X695" s="40" t="str">
        <f aca="false">IF($M695="","",$M695&amp;"#"&amp;COUNTIF($M$4:$M695,$M695))</f>
        <v/>
      </c>
      <c r="Y695" s="40" t="str">
        <f aca="false">IF($B695="","",IF($C695="","NIK kosong",IF(LEN($C695)&lt;&gt;16,"NIK bukan 16 digit",IF(COUNTIF($C$4:$C$2003,$C695&amp;"*")&gt;1,"NIK ganda",IF(AND($D695&lt;&gt;"",LEN($D695)&lt;&gt;16),"No. KK bukan 16 digit",IF(AND($F695="",$I695=""),"Alamat kosong",IF($N695="","Jabatan kosong",IF($O695="","No. HP kosong",IF(AND($R695&lt;&gt;"",$R695&lt;17),"Usia di bawah 17","")))))))))</f>
        <v/>
      </c>
      <c r="Z695" s="40" t="str">
        <f aca="false">IF($B695="","",IF(AND(OR(CARI!$C$5="",ISNUMBER(SEARCH(CARI!$C$5,$B695&amp;" "&amp;$C695&amp;" "&amp;$D695&amp;" "&amp;$O695&amp;" "&amp;$I695&amp;" "&amp;$F695&amp;" "&amp;$J695&amp;" "&amp;$K695&amp;" "&amp;$L695&amp;" "&amp;$V695))),OR(CARI!$C$6="",$F695=CARI!$C$6),OR(CARI!$C$7="",$G695=CARI!$C$7),OR(CARI!$C$8="",$T695=CARI!$C$8)),MAX($Z$3:Z694)+1,""))</f>
        <v/>
      </c>
      <c r="AA695" s="40" t="str">
        <f aca="false">IF($Y695="","",MAX($AA$3:AA694)+1)</f>
        <v/>
      </c>
      <c r="AB695" s="40" t="str">
        <f aca="false">IF($F695="","",$F695&amp;"#"&amp;COUNTIF($F$4:$F695,$F695))</f>
        <v/>
      </c>
      <c r="AC695" s="40" t="str">
        <f aca="false">IF($B695="","",IF(AND(OR(CETAK!$J$10="",$F695=CETAK!$J$10),OR(CETAK!$J$11="",$G695=CETAK!$J$11),OR(CETAK!$J$12="",$P695=CETAK!$J$12),OR(CETAK!$J$13="",$N695=CETAK!$J$13),OR(CETAK!$J$14="",$T695=CETAK!$J$14)),MAX($AC$3:AC694)+1,""))</f>
        <v/>
      </c>
      <c r="AD695" s="40" t="str">
        <f aca="false">IF($B695="","",IF(AND(OR(ABSENSI!$H$10="",$F695=ABSENSI!$H$10),OR(ABSENSI!$H$11="",$G695=ABSENSI!$H$11),OR(ABSENSI!$H$12="",$P695=ABSENSI!$H$12)),MAX($AD$3:AD694)+1,""))</f>
        <v/>
      </c>
      <c r="AE695" s="40" t="str">
        <f aca="false">IF($B695="","",IF(AND(OR(KARTU!$K$6="",$F695=KARTU!$K$6),OR(KARTU!$K$7="",$G695=KARTU!$K$7),OR(KARTU!$K$8="",$P695=KARTU!$K$8)),MAX($AE$3:AE694)+1,""))</f>
        <v/>
      </c>
    </row>
    <row r="696" customFormat="false" ht="15" hidden="false" customHeight="false" outlineLevel="0" collapsed="false">
      <c r="A696" s="35" t="str">
        <f aca="false">IF($B696="","",COUNTA($B$4:$B696))</f>
        <v/>
      </c>
      <c r="B696" s="36"/>
      <c r="C696" s="37"/>
      <c r="D696" s="37"/>
      <c r="E696" s="38"/>
      <c r="F696" s="36"/>
      <c r="G696" s="39"/>
      <c r="H696" s="39"/>
      <c r="I696" s="36"/>
      <c r="J696" s="36"/>
      <c r="K696" s="36"/>
      <c r="L696" s="36"/>
      <c r="M696" s="40" t="str">
        <f aca="false">IF($F696="","",$F696&amp;IF($G696="",""," - RT "&amp;$G696&amp;IF($H696="","","/"&amp;$H696)))</f>
        <v/>
      </c>
      <c r="N696" s="36"/>
      <c r="O696" s="37"/>
      <c r="P696" s="39"/>
      <c r="Q696" s="41"/>
      <c r="R696" s="35" t="str">
        <f aca="true">IF(OR($B696="",$Q696=""),"",DATEDIF($Q696,TODAY(),"Y"))</f>
        <v/>
      </c>
      <c r="S696" s="40" t="str">
        <f aca="false">IF($R696="","",INDEX(usia_label,MATCH($R696,usia_min,1)))</f>
        <v/>
      </c>
      <c r="T696" s="36"/>
      <c r="U696" s="41"/>
      <c r="V696" s="36"/>
      <c r="W696" s="36"/>
      <c r="X696" s="40" t="str">
        <f aca="false">IF($M696="","",$M696&amp;"#"&amp;COUNTIF($M$4:$M696,$M696))</f>
        <v/>
      </c>
      <c r="Y696" s="40" t="str">
        <f aca="false">IF($B696="","",IF($C696="","NIK kosong",IF(LEN($C696)&lt;&gt;16,"NIK bukan 16 digit",IF(COUNTIF($C$4:$C$2003,$C696&amp;"*")&gt;1,"NIK ganda",IF(AND($D696&lt;&gt;"",LEN($D696)&lt;&gt;16),"No. KK bukan 16 digit",IF(AND($F696="",$I696=""),"Alamat kosong",IF($N696="","Jabatan kosong",IF($O696="","No. HP kosong",IF(AND($R696&lt;&gt;"",$R696&lt;17),"Usia di bawah 17","")))))))))</f>
        <v/>
      </c>
      <c r="Z696" s="40" t="str">
        <f aca="false">IF($B696="","",IF(AND(OR(CARI!$C$5="",ISNUMBER(SEARCH(CARI!$C$5,$B696&amp;" "&amp;$C696&amp;" "&amp;$D696&amp;" "&amp;$O696&amp;" "&amp;$I696&amp;" "&amp;$F696&amp;" "&amp;$J696&amp;" "&amp;$K696&amp;" "&amp;$L696&amp;" "&amp;$V696))),OR(CARI!$C$6="",$F696=CARI!$C$6),OR(CARI!$C$7="",$G696=CARI!$C$7),OR(CARI!$C$8="",$T696=CARI!$C$8)),MAX($Z$3:Z695)+1,""))</f>
        <v/>
      </c>
      <c r="AA696" s="40" t="str">
        <f aca="false">IF($Y696="","",MAX($AA$3:AA695)+1)</f>
        <v/>
      </c>
      <c r="AB696" s="40" t="str">
        <f aca="false">IF($F696="","",$F696&amp;"#"&amp;COUNTIF($F$4:$F696,$F696))</f>
        <v/>
      </c>
      <c r="AC696" s="40" t="str">
        <f aca="false">IF($B696="","",IF(AND(OR(CETAK!$J$10="",$F696=CETAK!$J$10),OR(CETAK!$J$11="",$G696=CETAK!$J$11),OR(CETAK!$J$12="",$P696=CETAK!$J$12),OR(CETAK!$J$13="",$N696=CETAK!$J$13),OR(CETAK!$J$14="",$T696=CETAK!$J$14)),MAX($AC$3:AC695)+1,""))</f>
        <v/>
      </c>
      <c r="AD696" s="40" t="str">
        <f aca="false">IF($B696="","",IF(AND(OR(ABSENSI!$H$10="",$F696=ABSENSI!$H$10),OR(ABSENSI!$H$11="",$G696=ABSENSI!$H$11),OR(ABSENSI!$H$12="",$P696=ABSENSI!$H$12)),MAX($AD$3:AD695)+1,""))</f>
        <v/>
      </c>
      <c r="AE696" s="40" t="str">
        <f aca="false">IF($B696="","",IF(AND(OR(KARTU!$K$6="",$F696=KARTU!$K$6),OR(KARTU!$K$7="",$G696=KARTU!$K$7),OR(KARTU!$K$8="",$P696=KARTU!$K$8)),MAX($AE$3:AE695)+1,""))</f>
        <v/>
      </c>
    </row>
    <row r="697" customFormat="false" ht="15" hidden="false" customHeight="false" outlineLevel="0" collapsed="false">
      <c r="A697" s="35" t="str">
        <f aca="false">IF($B697="","",COUNTA($B$4:$B697))</f>
        <v/>
      </c>
      <c r="B697" s="36"/>
      <c r="C697" s="37"/>
      <c r="D697" s="37"/>
      <c r="E697" s="38"/>
      <c r="F697" s="36"/>
      <c r="G697" s="39"/>
      <c r="H697" s="39"/>
      <c r="I697" s="36"/>
      <c r="J697" s="36"/>
      <c r="K697" s="36"/>
      <c r="L697" s="36"/>
      <c r="M697" s="40" t="str">
        <f aca="false">IF($F697="","",$F697&amp;IF($G697="",""," - RT "&amp;$G697&amp;IF($H697="","","/"&amp;$H697)))</f>
        <v/>
      </c>
      <c r="N697" s="36"/>
      <c r="O697" s="37"/>
      <c r="P697" s="39"/>
      <c r="Q697" s="41"/>
      <c r="R697" s="35" t="str">
        <f aca="true">IF(OR($B697="",$Q697=""),"",DATEDIF($Q697,TODAY(),"Y"))</f>
        <v/>
      </c>
      <c r="S697" s="40" t="str">
        <f aca="false">IF($R697="","",INDEX(usia_label,MATCH($R697,usia_min,1)))</f>
        <v/>
      </c>
      <c r="T697" s="36"/>
      <c r="U697" s="41"/>
      <c r="V697" s="36"/>
      <c r="W697" s="36"/>
      <c r="X697" s="40" t="str">
        <f aca="false">IF($M697="","",$M697&amp;"#"&amp;COUNTIF($M$4:$M697,$M697))</f>
        <v/>
      </c>
      <c r="Y697" s="40" t="str">
        <f aca="false">IF($B697="","",IF($C697="","NIK kosong",IF(LEN($C697)&lt;&gt;16,"NIK bukan 16 digit",IF(COUNTIF($C$4:$C$2003,$C697&amp;"*")&gt;1,"NIK ganda",IF(AND($D697&lt;&gt;"",LEN($D697)&lt;&gt;16),"No. KK bukan 16 digit",IF(AND($F697="",$I697=""),"Alamat kosong",IF($N697="","Jabatan kosong",IF($O697="","No. HP kosong",IF(AND($R697&lt;&gt;"",$R697&lt;17),"Usia di bawah 17","")))))))))</f>
        <v/>
      </c>
      <c r="Z697" s="40" t="str">
        <f aca="false">IF($B697="","",IF(AND(OR(CARI!$C$5="",ISNUMBER(SEARCH(CARI!$C$5,$B697&amp;" "&amp;$C697&amp;" "&amp;$D697&amp;" "&amp;$O697&amp;" "&amp;$I697&amp;" "&amp;$F697&amp;" "&amp;$J697&amp;" "&amp;$K697&amp;" "&amp;$L697&amp;" "&amp;$V697))),OR(CARI!$C$6="",$F697=CARI!$C$6),OR(CARI!$C$7="",$G697=CARI!$C$7),OR(CARI!$C$8="",$T697=CARI!$C$8)),MAX($Z$3:Z696)+1,""))</f>
        <v/>
      </c>
      <c r="AA697" s="40" t="str">
        <f aca="false">IF($Y697="","",MAX($AA$3:AA696)+1)</f>
        <v/>
      </c>
      <c r="AB697" s="40" t="str">
        <f aca="false">IF($F697="","",$F697&amp;"#"&amp;COUNTIF($F$4:$F697,$F697))</f>
        <v/>
      </c>
      <c r="AC697" s="40" t="str">
        <f aca="false">IF($B697="","",IF(AND(OR(CETAK!$J$10="",$F697=CETAK!$J$10),OR(CETAK!$J$11="",$G697=CETAK!$J$11),OR(CETAK!$J$12="",$P697=CETAK!$J$12),OR(CETAK!$J$13="",$N697=CETAK!$J$13),OR(CETAK!$J$14="",$T697=CETAK!$J$14)),MAX($AC$3:AC696)+1,""))</f>
        <v/>
      </c>
      <c r="AD697" s="40" t="str">
        <f aca="false">IF($B697="","",IF(AND(OR(ABSENSI!$H$10="",$F697=ABSENSI!$H$10),OR(ABSENSI!$H$11="",$G697=ABSENSI!$H$11),OR(ABSENSI!$H$12="",$P697=ABSENSI!$H$12)),MAX($AD$3:AD696)+1,""))</f>
        <v/>
      </c>
      <c r="AE697" s="40" t="str">
        <f aca="false">IF($B697="","",IF(AND(OR(KARTU!$K$6="",$F697=KARTU!$K$6),OR(KARTU!$K$7="",$G697=KARTU!$K$7),OR(KARTU!$K$8="",$P697=KARTU!$K$8)),MAX($AE$3:AE696)+1,""))</f>
        <v/>
      </c>
    </row>
    <row r="698" customFormat="false" ht="15" hidden="false" customHeight="false" outlineLevel="0" collapsed="false">
      <c r="A698" s="35" t="str">
        <f aca="false">IF($B698="","",COUNTA($B$4:$B698))</f>
        <v/>
      </c>
      <c r="B698" s="36"/>
      <c r="C698" s="37"/>
      <c r="D698" s="37"/>
      <c r="E698" s="38"/>
      <c r="F698" s="36"/>
      <c r="G698" s="39"/>
      <c r="H698" s="39"/>
      <c r="I698" s="36"/>
      <c r="J698" s="36"/>
      <c r="K698" s="36"/>
      <c r="L698" s="36"/>
      <c r="M698" s="40" t="str">
        <f aca="false">IF($F698="","",$F698&amp;IF($G698="",""," - RT "&amp;$G698&amp;IF($H698="","","/"&amp;$H698)))</f>
        <v/>
      </c>
      <c r="N698" s="36"/>
      <c r="O698" s="37"/>
      <c r="P698" s="39"/>
      <c r="Q698" s="41"/>
      <c r="R698" s="35" t="str">
        <f aca="true">IF(OR($B698="",$Q698=""),"",DATEDIF($Q698,TODAY(),"Y"))</f>
        <v/>
      </c>
      <c r="S698" s="40" t="str">
        <f aca="false">IF($R698="","",INDEX(usia_label,MATCH($R698,usia_min,1)))</f>
        <v/>
      </c>
      <c r="T698" s="36"/>
      <c r="U698" s="41"/>
      <c r="V698" s="36"/>
      <c r="W698" s="36"/>
      <c r="X698" s="40" t="str">
        <f aca="false">IF($M698="","",$M698&amp;"#"&amp;COUNTIF($M$4:$M698,$M698))</f>
        <v/>
      </c>
      <c r="Y698" s="40" t="str">
        <f aca="false">IF($B698="","",IF($C698="","NIK kosong",IF(LEN($C698)&lt;&gt;16,"NIK bukan 16 digit",IF(COUNTIF($C$4:$C$2003,$C698&amp;"*")&gt;1,"NIK ganda",IF(AND($D698&lt;&gt;"",LEN($D698)&lt;&gt;16),"No. KK bukan 16 digit",IF(AND($F698="",$I698=""),"Alamat kosong",IF($N698="","Jabatan kosong",IF($O698="","No. HP kosong",IF(AND($R698&lt;&gt;"",$R698&lt;17),"Usia di bawah 17","")))))))))</f>
        <v/>
      </c>
      <c r="Z698" s="40" t="str">
        <f aca="false">IF($B698="","",IF(AND(OR(CARI!$C$5="",ISNUMBER(SEARCH(CARI!$C$5,$B698&amp;" "&amp;$C698&amp;" "&amp;$D698&amp;" "&amp;$O698&amp;" "&amp;$I698&amp;" "&amp;$F698&amp;" "&amp;$J698&amp;" "&amp;$K698&amp;" "&amp;$L698&amp;" "&amp;$V698))),OR(CARI!$C$6="",$F698=CARI!$C$6),OR(CARI!$C$7="",$G698=CARI!$C$7),OR(CARI!$C$8="",$T698=CARI!$C$8)),MAX($Z$3:Z697)+1,""))</f>
        <v/>
      </c>
      <c r="AA698" s="40" t="str">
        <f aca="false">IF($Y698="","",MAX($AA$3:AA697)+1)</f>
        <v/>
      </c>
      <c r="AB698" s="40" t="str">
        <f aca="false">IF($F698="","",$F698&amp;"#"&amp;COUNTIF($F$4:$F698,$F698))</f>
        <v/>
      </c>
      <c r="AC698" s="40" t="str">
        <f aca="false">IF($B698="","",IF(AND(OR(CETAK!$J$10="",$F698=CETAK!$J$10),OR(CETAK!$J$11="",$G698=CETAK!$J$11),OR(CETAK!$J$12="",$P698=CETAK!$J$12),OR(CETAK!$J$13="",$N698=CETAK!$J$13),OR(CETAK!$J$14="",$T698=CETAK!$J$14)),MAX($AC$3:AC697)+1,""))</f>
        <v/>
      </c>
      <c r="AD698" s="40" t="str">
        <f aca="false">IF($B698="","",IF(AND(OR(ABSENSI!$H$10="",$F698=ABSENSI!$H$10),OR(ABSENSI!$H$11="",$G698=ABSENSI!$H$11),OR(ABSENSI!$H$12="",$P698=ABSENSI!$H$12)),MAX($AD$3:AD697)+1,""))</f>
        <v/>
      </c>
      <c r="AE698" s="40" t="str">
        <f aca="false">IF($B698="","",IF(AND(OR(KARTU!$K$6="",$F698=KARTU!$K$6),OR(KARTU!$K$7="",$G698=KARTU!$K$7),OR(KARTU!$K$8="",$P698=KARTU!$K$8)),MAX($AE$3:AE697)+1,""))</f>
        <v/>
      </c>
    </row>
    <row r="699" customFormat="false" ht="15" hidden="false" customHeight="false" outlineLevel="0" collapsed="false">
      <c r="A699" s="35" t="str">
        <f aca="false">IF($B699="","",COUNTA($B$4:$B699))</f>
        <v/>
      </c>
      <c r="B699" s="36"/>
      <c r="C699" s="37"/>
      <c r="D699" s="37"/>
      <c r="E699" s="38"/>
      <c r="F699" s="36"/>
      <c r="G699" s="39"/>
      <c r="H699" s="39"/>
      <c r="I699" s="36"/>
      <c r="J699" s="36"/>
      <c r="K699" s="36"/>
      <c r="L699" s="36"/>
      <c r="M699" s="40" t="str">
        <f aca="false">IF($F699="","",$F699&amp;IF($G699="",""," - RT "&amp;$G699&amp;IF($H699="","","/"&amp;$H699)))</f>
        <v/>
      </c>
      <c r="N699" s="36"/>
      <c r="O699" s="37"/>
      <c r="P699" s="39"/>
      <c r="Q699" s="41"/>
      <c r="R699" s="35" t="str">
        <f aca="true">IF(OR($B699="",$Q699=""),"",DATEDIF($Q699,TODAY(),"Y"))</f>
        <v/>
      </c>
      <c r="S699" s="40" t="str">
        <f aca="false">IF($R699="","",INDEX(usia_label,MATCH($R699,usia_min,1)))</f>
        <v/>
      </c>
      <c r="T699" s="36"/>
      <c r="U699" s="41"/>
      <c r="V699" s="36"/>
      <c r="W699" s="36"/>
      <c r="X699" s="40" t="str">
        <f aca="false">IF($M699="","",$M699&amp;"#"&amp;COUNTIF($M$4:$M699,$M699))</f>
        <v/>
      </c>
      <c r="Y699" s="40" t="str">
        <f aca="false">IF($B699="","",IF($C699="","NIK kosong",IF(LEN($C699)&lt;&gt;16,"NIK bukan 16 digit",IF(COUNTIF($C$4:$C$2003,$C699&amp;"*")&gt;1,"NIK ganda",IF(AND($D699&lt;&gt;"",LEN($D699)&lt;&gt;16),"No. KK bukan 16 digit",IF(AND($F699="",$I699=""),"Alamat kosong",IF($N699="","Jabatan kosong",IF($O699="","No. HP kosong",IF(AND($R699&lt;&gt;"",$R699&lt;17),"Usia di bawah 17","")))))))))</f>
        <v/>
      </c>
      <c r="Z699" s="40" t="str">
        <f aca="false">IF($B699="","",IF(AND(OR(CARI!$C$5="",ISNUMBER(SEARCH(CARI!$C$5,$B699&amp;" "&amp;$C699&amp;" "&amp;$D699&amp;" "&amp;$O699&amp;" "&amp;$I699&amp;" "&amp;$F699&amp;" "&amp;$J699&amp;" "&amp;$K699&amp;" "&amp;$L699&amp;" "&amp;$V699))),OR(CARI!$C$6="",$F699=CARI!$C$6),OR(CARI!$C$7="",$G699=CARI!$C$7),OR(CARI!$C$8="",$T699=CARI!$C$8)),MAX($Z$3:Z698)+1,""))</f>
        <v/>
      </c>
      <c r="AA699" s="40" t="str">
        <f aca="false">IF($Y699="","",MAX($AA$3:AA698)+1)</f>
        <v/>
      </c>
      <c r="AB699" s="40" t="str">
        <f aca="false">IF($F699="","",$F699&amp;"#"&amp;COUNTIF($F$4:$F699,$F699))</f>
        <v/>
      </c>
      <c r="AC699" s="40" t="str">
        <f aca="false">IF($B699="","",IF(AND(OR(CETAK!$J$10="",$F699=CETAK!$J$10),OR(CETAK!$J$11="",$G699=CETAK!$J$11),OR(CETAK!$J$12="",$P699=CETAK!$J$12),OR(CETAK!$J$13="",$N699=CETAK!$J$13),OR(CETAK!$J$14="",$T699=CETAK!$J$14)),MAX($AC$3:AC698)+1,""))</f>
        <v/>
      </c>
      <c r="AD699" s="40" t="str">
        <f aca="false">IF($B699="","",IF(AND(OR(ABSENSI!$H$10="",$F699=ABSENSI!$H$10),OR(ABSENSI!$H$11="",$G699=ABSENSI!$H$11),OR(ABSENSI!$H$12="",$P699=ABSENSI!$H$12)),MAX($AD$3:AD698)+1,""))</f>
        <v/>
      </c>
      <c r="AE699" s="40" t="str">
        <f aca="false">IF($B699="","",IF(AND(OR(KARTU!$K$6="",$F699=KARTU!$K$6),OR(KARTU!$K$7="",$G699=KARTU!$K$7),OR(KARTU!$K$8="",$P699=KARTU!$K$8)),MAX($AE$3:AE698)+1,""))</f>
        <v/>
      </c>
    </row>
    <row r="700" customFormat="false" ht="15" hidden="false" customHeight="false" outlineLevel="0" collapsed="false">
      <c r="A700" s="35" t="str">
        <f aca="false">IF($B700="","",COUNTA($B$4:$B700))</f>
        <v/>
      </c>
      <c r="B700" s="36"/>
      <c r="C700" s="37"/>
      <c r="D700" s="37"/>
      <c r="E700" s="38"/>
      <c r="F700" s="36"/>
      <c r="G700" s="39"/>
      <c r="H700" s="39"/>
      <c r="I700" s="36"/>
      <c r="J700" s="36"/>
      <c r="K700" s="36"/>
      <c r="L700" s="36"/>
      <c r="M700" s="40" t="str">
        <f aca="false">IF($F700="","",$F700&amp;IF($G700="",""," - RT "&amp;$G700&amp;IF($H700="","","/"&amp;$H700)))</f>
        <v/>
      </c>
      <c r="N700" s="36"/>
      <c r="O700" s="37"/>
      <c r="P700" s="39"/>
      <c r="Q700" s="41"/>
      <c r="R700" s="35" t="str">
        <f aca="true">IF(OR($B700="",$Q700=""),"",DATEDIF($Q700,TODAY(),"Y"))</f>
        <v/>
      </c>
      <c r="S700" s="40" t="str">
        <f aca="false">IF($R700="","",INDEX(usia_label,MATCH($R700,usia_min,1)))</f>
        <v/>
      </c>
      <c r="T700" s="36"/>
      <c r="U700" s="41"/>
      <c r="V700" s="36"/>
      <c r="W700" s="36"/>
      <c r="X700" s="40" t="str">
        <f aca="false">IF($M700="","",$M700&amp;"#"&amp;COUNTIF($M$4:$M700,$M700))</f>
        <v/>
      </c>
      <c r="Y700" s="40" t="str">
        <f aca="false">IF($B700="","",IF($C700="","NIK kosong",IF(LEN($C700)&lt;&gt;16,"NIK bukan 16 digit",IF(COUNTIF($C$4:$C$2003,$C700&amp;"*")&gt;1,"NIK ganda",IF(AND($D700&lt;&gt;"",LEN($D700)&lt;&gt;16),"No. KK bukan 16 digit",IF(AND($F700="",$I700=""),"Alamat kosong",IF($N700="","Jabatan kosong",IF($O700="","No. HP kosong",IF(AND($R700&lt;&gt;"",$R700&lt;17),"Usia di bawah 17","")))))))))</f>
        <v/>
      </c>
      <c r="Z700" s="40" t="str">
        <f aca="false">IF($B700="","",IF(AND(OR(CARI!$C$5="",ISNUMBER(SEARCH(CARI!$C$5,$B700&amp;" "&amp;$C700&amp;" "&amp;$D700&amp;" "&amp;$O700&amp;" "&amp;$I700&amp;" "&amp;$F700&amp;" "&amp;$J700&amp;" "&amp;$K700&amp;" "&amp;$L700&amp;" "&amp;$V700))),OR(CARI!$C$6="",$F700=CARI!$C$6),OR(CARI!$C$7="",$G700=CARI!$C$7),OR(CARI!$C$8="",$T700=CARI!$C$8)),MAX($Z$3:Z699)+1,""))</f>
        <v/>
      </c>
      <c r="AA700" s="40" t="str">
        <f aca="false">IF($Y700="","",MAX($AA$3:AA699)+1)</f>
        <v/>
      </c>
      <c r="AB700" s="40" t="str">
        <f aca="false">IF($F700="","",$F700&amp;"#"&amp;COUNTIF($F$4:$F700,$F700))</f>
        <v/>
      </c>
      <c r="AC700" s="40" t="str">
        <f aca="false">IF($B700="","",IF(AND(OR(CETAK!$J$10="",$F700=CETAK!$J$10),OR(CETAK!$J$11="",$G700=CETAK!$J$11),OR(CETAK!$J$12="",$P700=CETAK!$J$12),OR(CETAK!$J$13="",$N700=CETAK!$J$13),OR(CETAK!$J$14="",$T700=CETAK!$J$14)),MAX($AC$3:AC699)+1,""))</f>
        <v/>
      </c>
      <c r="AD700" s="40" t="str">
        <f aca="false">IF($B700="","",IF(AND(OR(ABSENSI!$H$10="",$F700=ABSENSI!$H$10),OR(ABSENSI!$H$11="",$G700=ABSENSI!$H$11),OR(ABSENSI!$H$12="",$P700=ABSENSI!$H$12)),MAX($AD$3:AD699)+1,""))</f>
        <v/>
      </c>
      <c r="AE700" s="40" t="str">
        <f aca="false">IF($B700="","",IF(AND(OR(KARTU!$K$6="",$F700=KARTU!$K$6),OR(KARTU!$K$7="",$G700=KARTU!$K$7),OR(KARTU!$K$8="",$P700=KARTU!$K$8)),MAX($AE$3:AE699)+1,""))</f>
        <v/>
      </c>
    </row>
    <row r="701" customFormat="false" ht="15" hidden="false" customHeight="false" outlineLevel="0" collapsed="false">
      <c r="A701" s="35" t="str">
        <f aca="false">IF($B701="","",COUNTA($B$4:$B701))</f>
        <v/>
      </c>
      <c r="B701" s="36"/>
      <c r="C701" s="37"/>
      <c r="D701" s="37"/>
      <c r="E701" s="38"/>
      <c r="F701" s="36"/>
      <c r="G701" s="39"/>
      <c r="H701" s="39"/>
      <c r="I701" s="36"/>
      <c r="J701" s="36"/>
      <c r="K701" s="36"/>
      <c r="L701" s="36"/>
      <c r="M701" s="40" t="str">
        <f aca="false">IF($F701="","",$F701&amp;IF($G701="",""," - RT "&amp;$G701&amp;IF($H701="","","/"&amp;$H701)))</f>
        <v/>
      </c>
      <c r="N701" s="36"/>
      <c r="O701" s="37"/>
      <c r="P701" s="39"/>
      <c r="Q701" s="41"/>
      <c r="R701" s="35" t="str">
        <f aca="true">IF(OR($B701="",$Q701=""),"",DATEDIF($Q701,TODAY(),"Y"))</f>
        <v/>
      </c>
      <c r="S701" s="40" t="str">
        <f aca="false">IF($R701="","",INDEX(usia_label,MATCH($R701,usia_min,1)))</f>
        <v/>
      </c>
      <c r="T701" s="36"/>
      <c r="U701" s="41"/>
      <c r="V701" s="36"/>
      <c r="W701" s="36"/>
      <c r="X701" s="40" t="str">
        <f aca="false">IF($M701="","",$M701&amp;"#"&amp;COUNTIF($M$4:$M701,$M701))</f>
        <v/>
      </c>
      <c r="Y701" s="40" t="str">
        <f aca="false">IF($B701="","",IF($C701="","NIK kosong",IF(LEN($C701)&lt;&gt;16,"NIK bukan 16 digit",IF(COUNTIF($C$4:$C$2003,$C701&amp;"*")&gt;1,"NIK ganda",IF(AND($D701&lt;&gt;"",LEN($D701)&lt;&gt;16),"No. KK bukan 16 digit",IF(AND($F701="",$I701=""),"Alamat kosong",IF($N701="","Jabatan kosong",IF($O701="","No. HP kosong",IF(AND($R701&lt;&gt;"",$R701&lt;17),"Usia di bawah 17","")))))))))</f>
        <v/>
      </c>
      <c r="Z701" s="40" t="str">
        <f aca="false">IF($B701="","",IF(AND(OR(CARI!$C$5="",ISNUMBER(SEARCH(CARI!$C$5,$B701&amp;" "&amp;$C701&amp;" "&amp;$D701&amp;" "&amp;$O701&amp;" "&amp;$I701&amp;" "&amp;$F701&amp;" "&amp;$J701&amp;" "&amp;$K701&amp;" "&amp;$L701&amp;" "&amp;$V701))),OR(CARI!$C$6="",$F701=CARI!$C$6),OR(CARI!$C$7="",$G701=CARI!$C$7),OR(CARI!$C$8="",$T701=CARI!$C$8)),MAX($Z$3:Z700)+1,""))</f>
        <v/>
      </c>
      <c r="AA701" s="40" t="str">
        <f aca="false">IF($Y701="","",MAX($AA$3:AA700)+1)</f>
        <v/>
      </c>
      <c r="AB701" s="40" t="str">
        <f aca="false">IF($F701="","",$F701&amp;"#"&amp;COUNTIF($F$4:$F701,$F701))</f>
        <v/>
      </c>
      <c r="AC701" s="40" t="str">
        <f aca="false">IF($B701="","",IF(AND(OR(CETAK!$J$10="",$F701=CETAK!$J$10),OR(CETAK!$J$11="",$G701=CETAK!$J$11),OR(CETAK!$J$12="",$P701=CETAK!$J$12),OR(CETAK!$J$13="",$N701=CETAK!$J$13),OR(CETAK!$J$14="",$T701=CETAK!$J$14)),MAX($AC$3:AC700)+1,""))</f>
        <v/>
      </c>
      <c r="AD701" s="40" t="str">
        <f aca="false">IF($B701="","",IF(AND(OR(ABSENSI!$H$10="",$F701=ABSENSI!$H$10),OR(ABSENSI!$H$11="",$G701=ABSENSI!$H$11),OR(ABSENSI!$H$12="",$P701=ABSENSI!$H$12)),MAX($AD$3:AD700)+1,""))</f>
        <v/>
      </c>
      <c r="AE701" s="40" t="str">
        <f aca="false">IF($B701="","",IF(AND(OR(KARTU!$K$6="",$F701=KARTU!$K$6),OR(KARTU!$K$7="",$G701=KARTU!$K$7),OR(KARTU!$K$8="",$P701=KARTU!$K$8)),MAX($AE$3:AE700)+1,""))</f>
        <v/>
      </c>
    </row>
    <row r="702" customFormat="false" ht="15" hidden="false" customHeight="false" outlineLevel="0" collapsed="false">
      <c r="A702" s="35" t="str">
        <f aca="false">IF($B702="","",COUNTA($B$4:$B702))</f>
        <v/>
      </c>
      <c r="B702" s="36"/>
      <c r="C702" s="37"/>
      <c r="D702" s="37"/>
      <c r="E702" s="38"/>
      <c r="F702" s="36"/>
      <c r="G702" s="39"/>
      <c r="H702" s="39"/>
      <c r="I702" s="36"/>
      <c r="J702" s="36"/>
      <c r="K702" s="36"/>
      <c r="L702" s="36"/>
      <c r="M702" s="40" t="str">
        <f aca="false">IF($F702="","",$F702&amp;IF($G702="",""," - RT "&amp;$G702&amp;IF($H702="","","/"&amp;$H702)))</f>
        <v/>
      </c>
      <c r="N702" s="36"/>
      <c r="O702" s="37"/>
      <c r="P702" s="39"/>
      <c r="Q702" s="41"/>
      <c r="R702" s="35" t="str">
        <f aca="true">IF(OR($B702="",$Q702=""),"",DATEDIF($Q702,TODAY(),"Y"))</f>
        <v/>
      </c>
      <c r="S702" s="40" t="str">
        <f aca="false">IF($R702="","",INDEX(usia_label,MATCH($R702,usia_min,1)))</f>
        <v/>
      </c>
      <c r="T702" s="36"/>
      <c r="U702" s="41"/>
      <c r="V702" s="36"/>
      <c r="W702" s="36"/>
      <c r="X702" s="40" t="str">
        <f aca="false">IF($M702="","",$M702&amp;"#"&amp;COUNTIF($M$4:$M702,$M702))</f>
        <v/>
      </c>
      <c r="Y702" s="40" t="str">
        <f aca="false">IF($B702="","",IF($C702="","NIK kosong",IF(LEN($C702)&lt;&gt;16,"NIK bukan 16 digit",IF(COUNTIF($C$4:$C$2003,$C702&amp;"*")&gt;1,"NIK ganda",IF(AND($D702&lt;&gt;"",LEN($D702)&lt;&gt;16),"No. KK bukan 16 digit",IF(AND($F702="",$I702=""),"Alamat kosong",IF($N702="","Jabatan kosong",IF($O702="","No. HP kosong",IF(AND($R702&lt;&gt;"",$R702&lt;17),"Usia di bawah 17","")))))))))</f>
        <v/>
      </c>
      <c r="Z702" s="40" t="str">
        <f aca="false">IF($B702="","",IF(AND(OR(CARI!$C$5="",ISNUMBER(SEARCH(CARI!$C$5,$B702&amp;" "&amp;$C702&amp;" "&amp;$D702&amp;" "&amp;$O702&amp;" "&amp;$I702&amp;" "&amp;$F702&amp;" "&amp;$J702&amp;" "&amp;$K702&amp;" "&amp;$L702&amp;" "&amp;$V702))),OR(CARI!$C$6="",$F702=CARI!$C$6),OR(CARI!$C$7="",$G702=CARI!$C$7),OR(CARI!$C$8="",$T702=CARI!$C$8)),MAX($Z$3:Z701)+1,""))</f>
        <v/>
      </c>
      <c r="AA702" s="40" t="str">
        <f aca="false">IF($Y702="","",MAX($AA$3:AA701)+1)</f>
        <v/>
      </c>
      <c r="AB702" s="40" t="str">
        <f aca="false">IF($F702="","",$F702&amp;"#"&amp;COUNTIF($F$4:$F702,$F702))</f>
        <v/>
      </c>
      <c r="AC702" s="40" t="str">
        <f aca="false">IF($B702="","",IF(AND(OR(CETAK!$J$10="",$F702=CETAK!$J$10),OR(CETAK!$J$11="",$G702=CETAK!$J$11),OR(CETAK!$J$12="",$P702=CETAK!$J$12),OR(CETAK!$J$13="",$N702=CETAK!$J$13),OR(CETAK!$J$14="",$T702=CETAK!$J$14)),MAX($AC$3:AC701)+1,""))</f>
        <v/>
      </c>
      <c r="AD702" s="40" t="str">
        <f aca="false">IF($B702="","",IF(AND(OR(ABSENSI!$H$10="",$F702=ABSENSI!$H$10),OR(ABSENSI!$H$11="",$G702=ABSENSI!$H$11),OR(ABSENSI!$H$12="",$P702=ABSENSI!$H$12)),MAX($AD$3:AD701)+1,""))</f>
        <v/>
      </c>
      <c r="AE702" s="40" t="str">
        <f aca="false">IF($B702="","",IF(AND(OR(KARTU!$K$6="",$F702=KARTU!$K$6),OR(KARTU!$K$7="",$G702=KARTU!$K$7),OR(KARTU!$K$8="",$P702=KARTU!$K$8)),MAX($AE$3:AE701)+1,""))</f>
        <v/>
      </c>
    </row>
    <row r="703" customFormat="false" ht="15" hidden="false" customHeight="false" outlineLevel="0" collapsed="false">
      <c r="A703" s="35" t="str">
        <f aca="false">IF($B703="","",COUNTA($B$4:$B703))</f>
        <v/>
      </c>
      <c r="B703" s="36"/>
      <c r="C703" s="37"/>
      <c r="D703" s="37"/>
      <c r="E703" s="38"/>
      <c r="F703" s="36"/>
      <c r="G703" s="39"/>
      <c r="H703" s="39"/>
      <c r="I703" s="36"/>
      <c r="J703" s="36"/>
      <c r="K703" s="36"/>
      <c r="L703" s="36"/>
      <c r="M703" s="40" t="str">
        <f aca="false">IF($F703="","",$F703&amp;IF($G703="",""," - RT "&amp;$G703&amp;IF($H703="","","/"&amp;$H703)))</f>
        <v/>
      </c>
      <c r="N703" s="36"/>
      <c r="O703" s="37"/>
      <c r="P703" s="39"/>
      <c r="Q703" s="41"/>
      <c r="R703" s="35" t="str">
        <f aca="true">IF(OR($B703="",$Q703=""),"",DATEDIF($Q703,TODAY(),"Y"))</f>
        <v/>
      </c>
      <c r="S703" s="40" t="str">
        <f aca="false">IF($R703="","",INDEX(usia_label,MATCH($R703,usia_min,1)))</f>
        <v/>
      </c>
      <c r="T703" s="36"/>
      <c r="U703" s="41"/>
      <c r="V703" s="36"/>
      <c r="W703" s="36"/>
      <c r="X703" s="40" t="str">
        <f aca="false">IF($M703="","",$M703&amp;"#"&amp;COUNTIF($M$4:$M703,$M703))</f>
        <v/>
      </c>
      <c r="Y703" s="40" t="str">
        <f aca="false">IF($B703="","",IF($C703="","NIK kosong",IF(LEN($C703)&lt;&gt;16,"NIK bukan 16 digit",IF(COUNTIF($C$4:$C$2003,$C703&amp;"*")&gt;1,"NIK ganda",IF(AND($D703&lt;&gt;"",LEN($D703)&lt;&gt;16),"No. KK bukan 16 digit",IF(AND($F703="",$I703=""),"Alamat kosong",IF($N703="","Jabatan kosong",IF($O703="","No. HP kosong",IF(AND($R703&lt;&gt;"",$R703&lt;17),"Usia di bawah 17","")))))))))</f>
        <v/>
      </c>
      <c r="Z703" s="40" t="str">
        <f aca="false">IF($B703="","",IF(AND(OR(CARI!$C$5="",ISNUMBER(SEARCH(CARI!$C$5,$B703&amp;" "&amp;$C703&amp;" "&amp;$D703&amp;" "&amp;$O703&amp;" "&amp;$I703&amp;" "&amp;$F703&amp;" "&amp;$J703&amp;" "&amp;$K703&amp;" "&amp;$L703&amp;" "&amp;$V703))),OR(CARI!$C$6="",$F703=CARI!$C$6),OR(CARI!$C$7="",$G703=CARI!$C$7),OR(CARI!$C$8="",$T703=CARI!$C$8)),MAX($Z$3:Z702)+1,""))</f>
        <v/>
      </c>
      <c r="AA703" s="40" t="str">
        <f aca="false">IF($Y703="","",MAX($AA$3:AA702)+1)</f>
        <v/>
      </c>
      <c r="AB703" s="40" t="str">
        <f aca="false">IF($F703="","",$F703&amp;"#"&amp;COUNTIF($F$4:$F703,$F703))</f>
        <v/>
      </c>
      <c r="AC703" s="40" t="str">
        <f aca="false">IF($B703="","",IF(AND(OR(CETAK!$J$10="",$F703=CETAK!$J$10),OR(CETAK!$J$11="",$G703=CETAK!$J$11),OR(CETAK!$J$12="",$P703=CETAK!$J$12),OR(CETAK!$J$13="",$N703=CETAK!$J$13),OR(CETAK!$J$14="",$T703=CETAK!$J$14)),MAX($AC$3:AC702)+1,""))</f>
        <v/>
      </c>
      <c r="AD703" s="40" t="str">
        <f aca="false">IF($B703="","",IF(AND(OR(ABSENSI!$H$10="",$F703=ABSENSI!$H$10),OR(ABSENSI!$H$11="",$G703=ABSENSI!$H$11),OR(ABSENSI!$H$12="",$P703=ABSENSI!$H$12)),MAX($AD$3:AD702)+1,""))</f>
        <v/>
      </c>
      <c r="AE703" s="40" t="str">
        <f aca="false">IF($B703="","",IF(AND(OR(KARTU!$K$6="",$F703=KARTU!$K$6),OR(KARTU!$K$7="",$G703=KARTU!$K$7),OR(KARTU!$K$8="",$P703=KARTU!$K$8)),MAX($AE$3:AE702)+1,""))</f>
        <v/>
      </c>
    </row>
    <row r="704" customFormat="false" ht="15" hidden="false" customHeight="false" outlineLevel="0" collapsed="false">
      <c r="A704" s="35" t="str">
        <f aca="false">IF($B704="","",COUNTA($B$4:$B704))</f>
        <v/>
      </c>
      <c r="B704" s="36"/>
      <c r="C704" s="37"/>
      <c r="D704" s="37"/>
      <c r="E704" s="38"/>
      <c r="F704" s="36"/>
      <c r="G704" s="39"/>
      <c r="H704" s="39"/>
      <c r="I704" s="36"/>
      <c r="J704" s="36"/>
      <c r="K704" s="36"/>
      <c r="L704" s="36"/>
      <c r="M704" s="40" t="str">
        <f aca="false">IF($F704="","",$F704&amp;IF($G704="",""," - RT "&amp;$G704&amp;IF($H704="","","/"&amp;$H704)))</f>
        <v/>
      </c>
      <c r="N704" s="36"/>
      <c r="O704" s="37"/>
      <c r="P704" s="39"/>
      <c r="Q704" s="41"/>
      <c r="R704" s="35" t="str">
        <f aca="true">IF(OR($B704="",$Q704=""),"",DATEDIF($Q704,TODAY(),"Y"))</f>
        <v/>
      </c>
      <c r="S704" s="40" t="str">
        <f aca="false">IF($R704="","",INDEX(usia_label,MATCH($R704,usia_min,1)))</f>
        <v/>
      </c>
      <c r="T704" s="36"/>
      <c r="U704" s="41"/>
      <c r="V704" s="36"/>
      <c r="W704" s="36"/>
      <c r="X704" s="40" t="str">
        <f aca="false">IF($M704="","",$M704&amp;"#"&amp;COUNTIF($M$4:$M704,$M704))</f>
        <v/>
      </c>
      <c r="Y704" s="40" t="str">
        <f aca="false">IF($B704="","",IF($C704="","NIK kosong",IF(LEN($C704)&lt;&gt;16,"NIK bukan 16 digit",IF(COUNTIF($C$4:$C$2003,$C704&amp;"*")&gt;1,"NIK ganda",IF(AND($D704&lt;&gt;"",LEN($D704)&lt;&gt;16),"No. KK bukan 16 digit",IF(AND($F704="",$I704=""),"Alamat kosong",IF($N704="","Jabatan kosong",IF($O704="","No. HP kosong",IF(AND($R704&lt;&gt;"",$R704&lt;17),"Usia di bawah 17","")))))))))</f>
        <v/>
      </c>
      <c r="Z704" s="40" t="str">
        <f aca="false">IF($B704="","",IF(AND(OR(CARI!$C$5="",ISNUMBER(SEARCH(CARI!$C$5,$B704&amp;" "&amp;$C704&amp;" "&amp;$D704&amp;" "&amp;$O704&amp;" "&amp;$I704&amp;" "&amp;$F704&amp;" "&amp;$J704&amp;" "&amp;$K704&amp;" "&amp;$L704&amp;" "&amp;$V704))),OR(CARI!$C$6="",$F704=CARI!$C$6),OR(CARI!$C$7="",$G704=CARI!$C$7),OR(CARI!$C$8="",$T704=CARI!$C$8)),MAX($Z$3:Z703)+1,""))</f>
        <v/>
      </c>
      <c r="AA704" s="40" t="str">
        <f aca="false">IF($Y704="","",MAX($AA$3:AA703)+1)</f>
        <v/>
      </c>
      <c r="AB704" s="40" t="str">
        <f aca="false">IF($F704="","",$F704&amp;"#"&amp;COUNTIF($F$4:$F704,$F704))</f>
        <v/>
      </c>
      <c r="AC704" s="40" t="str">
        <f aca="false">IF($B704="","",IF(AND(OR(CETAK!$J$10="",$F704=CETAK!$J$10),OR(CETAK!$J$11="",$G704=CETAK!$J$11),OR(CETAK!$J$12="",$P704=CETAK!$J$12),OR(CETAK!$J$13="",$N704=CETAK!$J$13),OR(CETAK!$J$14="",$T704=CETAK!$J$14)),MAX($AC$3:AC703)+1,""))</f>
        <v/>
      </c>
      <c r="AD704" s="40" t="str">
        <f aca="false">IF($B704="","",IF(AND(OR(ABSENSI!$H$10="",$F704=ABSENSI!$H$10),OR(ABSENSI!$H$11="",$G704=ABSENSI!$H$11),OR(ABSENSI!$H$12="",$P704=ABSENSI!$H$12)),MAX($AD$3:AD703)+1,""))</f>
        <v/>
      </c>
      <c r="AE704" s="40" t="str">
        <f aca="false">IF($B704="","",IF(AND(OR(KARTU!$K$6="",$F704=KARTU!$K$6),OR(KARTU!$K$7="",$G704=KARTU!$K$7),OR(KARTU!$K$8="",$P704=KARTU!$K$8)),MAX($AE$3:AE703)+1,""))</f>
        <v/>
      </c>
    </row>
    <row r="705" customFormat="false" ht="15" hidden="false" customHeight="false" outlineLevel="0" collapsed="false">
      <c r="A705" s="35" t="str">
        <f aca="false">IF($B705="","",COUNTA($B$4:$B705))</f>
        <v/>
      </c>
      <c r="B705" s="36"/>
      <c r="C705" s="37"/>
      <c r="D705" s="37"/>
      <c r="E705" s="38"/>
      <c r="F705" s="36"/>
      <c r="G705" s="39"/>
      <c r="H705" s="39"/>
      <c r="I705" s="36"/>
      <c r="J705" s="36"/>
      <c r="K705" s="36"/>
      <c r="L705" s="36"/>
      <c r="M705" s="40" t="str">
        <f aca="false">IF($F705="","",$F705&amp;IF($G705="",""," - RT "&amp;$G705&amp;IF($H705="","","/"&amp;$H705)))</f>
        <v/>
      </c>
      <c r="N705" s="36"/>
      <c r="O705" s="37"/>
      <c r="P705" s="39"/>
      <c r="Q705" s="41"/>
      <c r="R705" s="35" t="str">
        <f aca="true">IF(OR($B705="",$Q705=""),"",DATEDIF($Q705,TODAY(),"Y"))</f>
        <v/>
      </c>
      <c r="S705" s="40" t="str">
        <f aca="false">IF($R705="","",INDEX(usia_label,MATCH($R705,usia_min,1)))</f>
        <v/>
      </c>
      <c r="T705" s="36"/>
      <c r="U705" s="41"/>
      <c r="V705" s="36"/>
      <c r="W705" s="36"/>
      <c r="X705" s="40" t="str">
        <f aca="false">IF($M705="","",$M705&amp;"#"&amp;COUNTIF($M$4:$M705,$M705))</f>
        <v/>
      </c>
      <c r="Y705" s="40" t="str">
        <f aca="false">IF($B705="","",IF($C705="","NIK kosong",IF(LEN($C705)&lt;&gt;16,"NIK bukan 16 digit",IF(COUNTIF($C$4:$C$2003,$C705&amp;"*")&gt;1,"NIK ganda",IF(AND($D705&lt;&gt;"",LEN($D705)&lt;&gt;16),"No. KK bukan 16 digit",IF(AND($F705="",$I705=""),"Alamat kosong",IF($N705="","Jabatan kosong",IF($O705="","No. HP kosong",IF(AND($R705&lt;&gt;"",$R705&lt;17),"Usia di bawah 17","")))))))))</f>
        <v/>
      </c>
      <c r="Z705" s="40" t="str">
        <f aca="false">IF($B705="","",IF(AND(OR(CARI!$C$5="",ISNUMBER(SEARCH(CARI!$C$5,$B705&amp;" "&amp;$C705&amp;" "&amp;$D705&amp;" "&amp;$O705&amp;" "&amp;$I705&amp;" "&amp;$F705&amp;" "&amp;$J705&amp;" "&amp;$K705&amp;" "&amp;$L705&amp;" "&amp;$V705))),OR(CARI!$C$6="",$F705=CARI!$C$6),OR(CARI!$C$7="",$G705=CARI!$C$7),OR(CARI!$C$8="",$T705=CARI!$C$8)),MAX($Z$3:Z704)+1,""))</f>
        <v/>
      </c>
      <c r="AA705" s="40" t="str">
        <f aca="false">IF($Y705="","",MAX($AA$3:AA704)+1)</f>
        <v/>
      </c>
      <c r="AB705" s="40" t="str">
        <f aca="false">IF($F705="","",$F705&amp;"#"&amp;COUNTIF($F$4:$F705,$F705))</f>
        <v/>
      </c>
      <c r="AC705" s="40" t="str">
        <f aca="false">IF($B705="","",IF(AND(OR(CETAK!$J$10="",$F705=CETAK!$J$10),OR(CETAK!$J$11="",$G705=CETAK!$J$11),OR(CETAK!$J$12="",$P705=CETAK!$J$12),OR(CETAK!$J$13="",$N705=CETAK!$J$13),OR(CETAK!$J$14="",$T705=CETAK!$J$14)),MAX($AC$3:AC704)+1,""))</f>
        <v/>
      </c>
      <c r="AD705" s="40" t="str">
        <f aca="false">IF($B705="","",IF(AND(OR(ABSENSI!$H$10="",$F705=ABSENSI!$H$10),OR(ABSENSI!$H$11="",$G705=ABSENSI!$H$11),OR(ABSENSI!$H$12="",$P705=ABSENSI!$H$12)),MAX($AD$3:AD704)+1,""))</f>
        <v/>
      </c>
      <c r="AE705" s="40" t="str">
        <f aca="false">IF($B705="","",IF(AND(OR(KARTU!$K$6="",$F705=KARTU!$K$6),OR(KARTU!$K$7="",$G705=KARTU!$K$7),OR(KARTU!$K$8="",$P705=KARTU!$K$8)),MAX($AE$3:AE704)+1,""))</f>
        <v/>
      </c>
    </row>
    <row r="706" customFormat="false" ht="15" hidden="false" customHeight="false" outlineLevel="0" collapsed="false">
      <c r="A706" s="35" t="str">
        <f aca="false">IF($B706="","",COUNTA($B$4:$B706))</f>
        <v/>
      </c>
      <c r="B706" s="36"/>
      <c r="C706" s="37"/>
      <c r="D706" s="37"/>
      <c r="E706" s="38"/>
      <c r="F706" s="36"/>
      <c r="G706" s="39"/>
      <c r="H706" s="39"/>
      <c r="I706" s="36"/>
      <c r="J706" s="36"/>
      <c r="K706" s="36"/>
      <c r="L706" s="36"/>
      <c r="M706" s="40" t="str">
        <f aca="false">IF($F706="","",$F706&amp;IF($G706="",""," - RT "&amp;$G706&amp;IF($H706="","","/"&amp;$H706)))</f>
        <v/>
      </c>
      <c r="N706" s="36"/>
      <c r="O706" s="37"/>
      <c r="P706" s="39"/>
      <c r="Q706" s="41"/>
      <c r="R706" s="35" t="str">
        <f aca="true">IF(OR($B706="",$Q706=""),"",DATEDIF($Q706,TODAY(),"Y"))</f>
        <v/>
      </c>
      <c r="S706" s="40" t="str">
        <f aca="false">IF($R706="","",INDEX(usia_label,MATCH($R706,usia_min,1)))</f>
        <v/>
      </c>
      <c r="T706" s="36"/>
      <c r="U706" s="41"/>
      <c r="V706" s="36"/>
      <c r="W706" s="36"/>
      <c r="X706" s="40" t="str">
        <f aca="false">IF($M706="","",$M706&amp;"#"&amp;COUNTIF($M$4:$M706,$M706))</f>
        <v/>
      </c>
      <c r="Y706" s="40" t="str">
        <f aca="false">IF($B706="","",IF($C706="","NIK kosong",IF(LEN($C706)&lt;&gt;16,"NIK bukan 16 digit",IF(COUNTIF($C$4:$C$2003,$C706&amp;"*")&gt;1,"NIK ganda",IF(AND($D706&lt;&gt;"",LEN($D706)&lt;&gt;16),"No. KK bukan 16 digit",IF(AND($F706="",$I706=""),"Alamat kosong",IF($N706="","Jabatan kosong",IF($O706="","No. HP kosong",IF(AND($R706&lt;&gt;"",$R706&lt;17),"Usia di bawah 17","")))))))))</f>
        <v/>
      </c>
      <c r="Z706" s="40" t="str">
        <f aca="false">IF($B706="","",IF(AND(OR(CARI!$C$5="",ISNUMBER(SEARCH(CARI!$C$5,$B706&amp;" "&amp;$C706&amp;" "&amp;$D706&amp;" "&amp;$O706&amp;" "&amp;$I706&amp;" "&amp;$F706&amp;" "&amp;$J706&amp;" "&amp;$K706&amp;" "&amp;$L706&amp;" "&amp;$V706))),OR(CARI!$C$6="",$F706=CARI!$C$6),OR(CARI!$C$7="",$G706=CARI!$C$7),OR(CARI!$C$8="",$T706=CARI!$C$8)),MAX($Z$3:Z705)+1,""))</f>
        <v/>
      </c>
      <c r="AA706" s="40" t="str">
        <f aca="false">IF($Y706="","",MAX($AA$3:AA705)+1)</f>
        <v/>
      </c>
      <c r="AB706" s="40" t="str">
        <f aca="false">IF($F706="","",$F706&amp;"#"&amp;COUNTIF($F$4:$F706,$F706))</f>
        <v/>
      </c>
      <c r="AC706" s="40" t="str">
        <f aca="false">IF($B706="","",IF(AND(OR(CETAK!$J$10="",$F706=CETAK!$J$10),OR(CETAK!$J$11="",$G706=CETAK!$J$11),OR(CETAK!$J$12="",$P706=CETAK!$J$12),OR(CETAK!$J$13="",$N706=CETAK!$J$13),OR(CETAK!$J$14="",$T706=CETAK!$J$14)),MAX($AC$3:AC705)+1,""))</f>
        <v/>
      </c>
      <c r="AD706" s="40" t="str">
        <f aca="false">IF($B706="","",IF(AND(OR(ABSENSI!$H$10="",$F706=ABSENSI!$H$10),OR(ABSENSI!$H$11="",$G706=ABSENSI!$H$11),OR(ABSENSI!$H$12="",$P706=ABSENSI!$H$12)),MAX($AD$3:AD705)+1,""))</f>
        <v/>
      </c>
      <c r="AE706" s="40" t="str">
        <f aca="false">IF($B706="","",IF(AND(OR(KARTU!$K$6="",$F706=KARTU!$K$6),OR(KARTU!$K$7="",$G706=KARTU!$K$7),OR(KARTU!$K$8="",$P706=KARTU!$K$8)),MAX($AE$3:AE705)+1,""))</f>
        <v/>
      </c>
    </row>
    <row r="707" customFormat="false" ht="15" hidden="false" customHeight="false" outlineLevel="0" collapsed="false">
      <c r="A707" s="35" t="str">
        <f aca="false">IF($B707="","",COUNTA($B$4:$B707))</f>
        <v/>
      </c>
      <c r="B707" s="36"/>
      <c r="C707" s="37"/>
      <c r="D707" s="37"/>
      <c r="E707" s="38"/>
      <c r="F707" s="36"/>
      <c r="G707" s="39"/>
      <c r="H707" s="39"/>
      <c r="I707" s="36"/>
      <c r="J707" s="36"/>
      <c r="K707" s="36"/>
      <c r="L707" s="36"/>
      <c r="M707" s="40" t="str">
        <f aca="false">IF($F707="","",$F707&amp;IF($G707="",""," - RT "&amp;$G707&amp;IF($H707="","","/"&amp;$H707)))</f>
        <v/>
      </c>
      <c r="N707" s="36"/>
      <c r="O707" s="37"/>
      <c r="P707" s="39"/>
      <c r="Q707" s="41"/>
      <c r="R707" s="35" t="str">
        <f aca="true">IF(OR($B707="",$Q707=""),"",DATEDIF($Q707,TODAY(),"Y"))</f>
        <v/>
      </c>
      <c r="S707" s="40" t="str">
        <f aca="false">IF($R707="","",INDEX(usia_label,MATCH($R707,usia_min,1)))</f>
        <v/>
      </c>
      <c r="T707" s="36"/>
      <c r="U707" s="41"/>
      <c r="V707" s="36"/>
      <c r="W707" s="36"/>
      <c r="X707" s="40" t="str">
        <f aca="false">IF($M707="","",$M707&amp;"#"&amp;COUNTIF($M$4:$M707,$M707))</f>
        <v/>
      </c>
      <c r="Y707" s="40" t="str">
        <f aca="false">IF($B707="","",IF($C707="","NIK kosong",IF(LEN($C707)&lt;&gt;16,"NIK bukan 16 digit",IF(COUNTIF($C$4:$C$2003,$C707&amp;"*")&gt;1,"NIK ganda",IF(AND($D707&lt;&gt;"",LEN($D707)&lt;&gt;16),"No. KK bukan 16 digit",IF(AND($F707="",$I707=""),"Alamat kosong",IF($N707="","Jabatan kosong",IF($O707="","No. HP kosong",IF(AND($R707&lt;&gt;"",$R707&lt;17),"Usia di bawah 17","")))))))))</f>
        <v/>
      </c>
      <c r="Z707" s="40" t="str">
        <f aca="false">IF($B707="","",IF(AND(OR(CARI!$C$5="",ISNUMBER(SEARCH(CARI!$C$5,$B707&amp;" "&amp;$C707&amp;" "&amp;$D707&amp;" "&amp;$O707&amp;" "&amp;$I707&amp;" "&amp;$F707&amp;" "&amp;$J707&amp;" "&amp;$K707&amp;" "&amp;$L707&amp;" "&amp;$V707))),OR(CARI!$C$6="",$F707=CARI!$C$6),OR(CARI!$C$7="",$G707=CARI!$C$7),OR(CARI!$C$8="",$T707=CARI!$C$8)),MAX($Z$3:Z706)+1,""))</f>
        <v/>
      </c>
      <c r="AA707" s="40" t="str">
        <f aca="false">IF($Y707="","",MAX($AA$3:AA706)+1)</f>
        <v/>
      </c>
      <c r="AB707" s="40" t="str">
        <f aca="false">IF($F707="","",$F707&amp;"#"&amp;COUNTIF($F$4:$F707,$F707))</f>
        <v/>
      </c>
      <c r="AC707" s="40" t="str">
        <f aca="false">IF($B707="","",IF(AND(OR(CETAK!$J$10="",$F707=CETAK!$J$10),OR(CETAK!$J$11="",$G707=CETAK!$J$11),OR(CETAK!$J$12="",$P707=CETAK!$J$12),OR(CETAK!$J$13="",$N707=CETAK!$J$13),OR(CETAK!$J$14="",$T707=CETAK!$J$14)),MAX($AC$3:AC706)+1,""))</f>
        <v/>
      </c>
      <c r="AD707" s="40" t="str">
        <f aca="false">IF($B707="","",IF(AND(OR(ABSENSI!$H$10="",$F707=ABSENSI!$H$10),OR(ABSENSI!$H$11="",$G707=ABSENSI!$H$11),OR(ABSENSI!$H$12="",$P707=ABSENSI!$H$12)),MAX($AD$3:AD706)+1,""))</f>
        <v/>
      </c>
      <c r="AE707" s="40" t="str">
        <f aca="false">IF($B707="","",IF(AND(OR(KARTU!$K$6="",$F707=KARTU!$K$6),OR(KARTU!$K$7="",$G707=KARTU!$K$7),OR(KARTU!$K$8="",$P707=KARTU!$K$8)),MAX($AE$3:AE706)+1,""))</f>
        <v/>
      </c>
    </row>
    <row r="708" customFormat="false" ht="15" hidden="false" customHeight="false" outlineLevel="0" collapsed="false">
      <c r="A708" s="35" t="str">
        <f aca="false">IF($B708="","",COUNTA($B$4:$B708))</f>
        <v/>
      </c>
      <c r="B708" s="36"/>
      <c r="C708" s="37"/>
      <c r="D708" s="37"/>
      <c r="E708" s="38"/>
      <c r="F708" s="36"/>
      <c r="G708" s="39"/>
      <c r="H708" s="39"/>
      <c r="I708" s="36"/>
      <c r="J708" s="36"/>
      <c r="K708" s="36"/>
      <c r="L708" s="36"/>
      <c r="M708" s="40" t="str">
        <f aca="false">IF($F708="","",$F708&amp;IF($G708="",""," - RT "&amp;$G708&amp;IF($H708="","","/"&amp;$H708)))</f>
        <v/>
      </c>
      <c r="N708" s="36"/>
      <c r="O708" s="37"/>
      <c r="P708" s="39"/>
      <c r="Q708" s="41"/>
      <c r="R708" s="35" t="str">
        <f aca="true">IF(OR($B708="",$Q708=""),"",DATEDIF($Q708,TODAY(),"Y"))</f>
        <v/>
      </c>
      <c r="S708" s="40" t="str">
        <f aca="false">IF($R708="","",INDEX(usia_label,MATCH($R708,usia_min,1)))</f>
        <v/>
      </c>
      <c r="T708" s="36"/>
      <c r="U708" s="41"/>
      <c r="V708" s="36"/>
      <c r="W708" s="36"/>
      <c r="X708" s="40" t="str">
        <f aca="false">IF($M708="","",$M708&amp;"#"&amp;COUNTIF($M$4:$M708,$M708))</f>
        <v/>
      </c>
      <c r="Y708" s="40" t="str">
        <f aca="false">IF($B708="","",IF($C708="","NIK kosong",IF(LEN($C708)&lt;&gt;16,"NIK bukan 16 digit",IF(COUNTIF($C$4:$C$2003,$C708&amp;"*")&gt;1,"NIK ganda",IF(AND($D708&lt;&gt;"",LEN($D708)&lt;&gt;16),"No. KK bukan 16 digit",IF(AND($F708="",$I708=""),"Alamat kosong",IF($N708="","Jabatan kosong",IF($O708="","No. HP kosong",IF(AND($R708&lt;&gt;"",$R708&lt;17),"Usia di bawah 17","")))))))))</f>
        <v/>
      </c>
      <c r="Z708" s="40" t="str">
        <f aca="false">IF($B708="","",IF(AND(OR(CARI!$C$5="",ISNUMBER(SEARCH(CARI!$C$5,$B708&amp;" "&amp;$C708&amp;" "&amp;$D708&amp;" "&amp;$O708&amp;" "&amp;$I708&amp;" "&amp;$F708&amp;" "&amp;$J708&amp;" "&amp;$K708&amp;" "&amp;$L708&amp;" "&amp;$V708))),OR(CARI!$C$6="",$F708=CARI!$C$6),OR(CARI!$C$7="",$G708=CARI!$C$7),OR(CARI!$C$8="",$T708=CARI!$C$8)),MAX($Z$3:Z707)+1,""))</f>
        <v/>
      </c>
      <c r="AA708" s="40" t="str">
        <f aca="false">IF($Y708="","",MAX($AA$3:AA707)+1)</f>
        <v/>
      </c>
      <c r="AB708" s="40" t="str">
        <f aca="false">IF($F708="","",$F708&amp;"#"&amp;COUNTIF($F$4:$F708,$F708))</f>
        <v/>
      </c>
      <c r="AC708" s="40" t="str">
        <f aca="false">IF($B708="","",IF(AND(OR(CETAK!$J$10="",$F708=CETAK!$J$10),OR(CETAK!$J$11="",$G708=CETAK!$J$11),OR(CETAK!$J$12="",$P708=CETAK!$J$12),OR(CETAK!$J$13="",$N708=CETAK!$J$13),OR(CETAK!$J$14="",$T708=CETAK!$J$14)),MAX($AC$3:AC707)+1,""))</f>
        <v/>
      </c>
      <c r="AD708" s="40" t="str">
        <f aca="false">IF($B708="","",IF(AND(OR(ABSENSI!$H$10="",$F708=ABSENSI!$H$10),OR(ABSENSI!$H$11="",$G708=ABSENSI!$H$11),OR(ABSENSI!$H$12="",$P708=ABSENSI!$H$12)),MAX($AD$3:AD707)+1,""))</f>
        <v/>
      </c>
      <c r="AE708" s="40" t="str">
        <f aca="false">IF($B708="","",IF(AND(OR(KARTU!$K$6="",$F708=KARTU!$K$6),OR(KARTU!$K$7="",$G708=KARTU!$K$7),OR(KARTU!$K$8="",$P708=KARTU!$K$8)),MAX($AE$3:AE707)+1,""))</f>
        <v/>
      </c>
    </row>
    <row r="709" customFormat="false" ht="15" hidden="false" customHeight="false" outlineLevel="0" collapsed="false">
      <c r="A709" s="35" t="str">
        <f aca="false">IF($B709="","",COUNTA($B$4:$B709))</f>
        <v/>
      </c>
      <c r="B709" s="36"/>
      <c r="C709" s="37"/>
      <c r="D709" s="37"/>
      <c r="E709" s="38"/>
      <c r="F709" s="36"/>
      <c r="G709" s="39"/>
      <c r="H709" s="39"/>
      <c r="I709" s="36"/>
      <c r="J709" s="36"/>
      <c r="K709" s="36"/>
      <c r="L709" s="36"/>
      <c r="M709" s="40" t="str">
        <f aca="false">IF($F709="","",$F709&amp;IF($G709="",""," - RT "&amp;$G709&amp;IF($H709="","","/"&amp;$H709)))</f>
        <v/>
      </c>
      <c r="N709" s="36"/>
      <c r="O709" s="37"/>
      <c r="P709" s="39"/>
      <c r="Q709" s="41"/>
      <c r="R709" s="35" t="str">
        <f aca="true">IF(OR($B709="",$Q709=""),"",DATEDIF($Q709,TODAY(),"Y"))</f>
        <v/>
      </c>
      <c r="S709" s="40" t="str">
        <f aca="false">IF($R709="","",INDEX(usia_label,MATCH($R709,usia_min,1)))</f>
        <v/>
      </c>
      <c r="T709" s="36"/>
      <c r="U709" s="41"/>
      <c r="V709" s="36"/>
      <c r="W709" s="36"/>
      <c r="X709" s="40" t="str">
        <f aca="false">IF($M709="","",$M709&amp;"#"&amp;COUNTIF($M$4:$M709,$M709))</f>
        <v/>
      </c>
      <c r="Y709" s="40" t="str">
        <f aca="false">IF($B709="","",IF($C709="","NIK kosong",IF(LEN($C709)&lt;&gt;16,"NIK bukan 16 digit",IF(COUNTIF($C$4:$C$2003,$C709&amp;"*")&gt;1,"NIK ganda",IF(AND($D709&lt;&gt;"",LEN($D709)&lt;&gt;16),"No. KK bukan 16 digit",IF(AND($F709="",$I709=""),"Alamat kosong",IF($N709="","Jabatan kosong",IF($O709="","No. HP kosong",IF(AND($R709&lt;&gt;"",$R709&lt;17),"Usia di bawah 17","")))))))))</f>
        <v/>
      </c>
      <c r="Z709" s="40" t="str">
        <f aca="false">IF($B709="","",IF(AND(OR(CARI!$C$5="",ISNUMBER(SEARCH(CARI!$C$5,$B709&amp;" "&amp;$C709&amp;" "&amp;$D709&amp;" "&amp;$O709&amp;" "&amp;$I709&amp;" "&amp;$F709&amp;" "&amp;$J709&amp;" "&amp;$K709&amp;" "&amp;$L709&amp;" "&amp;$V709))),OR(CARI!$C$6="",$F709=CARI!$C$6),OR(CARI!$C$7="",$G709=CARI!$C$7),OR(CARI!$C$8="",$T709=CARI!$C$8)),MAX($Z$3:Z708)+1,""))</f>
        <v/>
      </c>
      <c r="AA709" s="40" t="str">
        <f aca="false">IF($Y709="","",MAX($AA$3:AA708)+1)</f>
        <v/>
      </c>
      <c r="AB709" s="40" t="str">
        <f aca="false">IF($F709="","",$F709&amp;"#"&amp;COUNTIF($F$4:$F709,$F709))</f>
        <v/>
      </c>
      <c r="AC709" s="40" t="str">
        <f aca="false">IF($B709="","",IF(AND(OR(CETAK!$J$10="",$F709=CETAK!$J$10),OR(CETAK!$J$11="",$G709=CETAK!$J$11),OR(CETAK!$J$12="",$P709=CETAK!$J$12),OR(CETAK!$J$13="",$N709=CETAK!$J$13),OR(CETAK!$J$14="",$T709=CETAK!$J$14)),MAX($AC$3:AC708)+1,""))</f>
        <v/>
      </c>
      <c r="AD709" s="40" t="str">
        <f aca="false">IF($B709="","",IF(AND(OR(ABSENSI!$H$10="",$F709=ABSENSI!$H$10),OR(ABSENSI!$H$11="",$G709=ABSENSI!$H$11),OR(ABSENSI!$H$12="",$P709=ABSENSI!$H$12)),MAX($AD$3:AD708)+1,""))</f>
        <v/>
      </c>
      <c r="AE709" s="40" t="str">
        <f aca="false">IF($B709="","",IF(AND(OR(KARTU!$K$6="",$F709=KARTU!$K$6),OR(KARTU!$K$7="",$G709=KARTU!$K$7),OR(KARTU!$K$8="",$P709=KARTU!$K$8)),MAX($AE$3:AE708)+1,""))</f>
        <v/>
      </c>
    </row>
    <row r="710" customFormat="false" ht="15" hidden="false" customHeight="false" outlineLevel="0" collapsed="false">
      <c r="A710" s="35" t="str">
        <f aca="false">IF($B710="","",COUNTA($B$4:$B710))</f>
        <v/>
      </c>
      <c r="B710" s="36"/>
      <c r="C710" s="37"/>
      <c r="D710" s="37"/>
      <c r="E710" s="38"/>
      <c r="F710" s="36"/>
      <c r="G710" s="39"/>
      <c r="H710" s="39"/>
      <c r="I710" s="36"/>
      <c r="J710" s="36"/>
      <c r="K710" s="36"/>
      <c r="L710" s="36"/>
      <c r="M710" s="40" t="str">
        <f aca="false">IF($F710="","",$F710&amp;IF($G710="",""," - RT "&amp;$G710&amp;IF($H710="","","/"&amp;$H710)))</f>
        <v/>
      </c>
      <c r="N710" s="36"/>
      <c r="O710" s="37"/>
      <c r="P710" s="39"/>
      <c r="Q710" s="41"/>
      <c r="R710" s="35" t="str">
        <f aca="true">IF(OR($B710="",$Q710=""),"",DATEDIF($Q710,TODAY(),"Y"))</f>
        <v/>
      </c>
      <c r="S710" s="40" t="str">
        <f aca="false">IF($R710="","",INDEX(usia_label,MATCH($R710,usia_min,1)))</f>
        <v/>
      </c>
      <c r="T710" s="36"/>
      <c r="U710" s="41"/>
      <c r="V710" s="36"/>
      <c r="W710" s="36"/>
      <c r="X710" s="40" t="str">
        <f aca="false">IF($M710="","",$M710&amp;"#"&amp;COUNTIF($M$4:$M710,$M710))</f>
        <v/>
      </c>
      <c r="Y710" s="40" t="str">
        <f aca="false">IF($B710="","",IF($C710="","NIK kosong",IF(LEN($C710)&lt;&gt;16,"NIK bukan 16 digit",IF(COUNTIF($C$4:$C$2003,$C710&amp;"*")&gt;1,"NIK ganda",IF(AND($D710&lt;&gt;"",LEN($D710)&lt;&gt;16),"No. KK bukan 16 digit",IF(AND($F710="",$I710=""),"Alamat kosong",IF($N710="","Jabatan kosong",IF($O710="","No. HP kosong",IF(AND($R710&lt;&gt;"",$R710&lt;17),"Usia di bawah 17","")))))))))</f>
        <v/>
      </c>
      <c r="Z710" s="40" t="str">
        <f aca="false">IF($B710="","",IF(AND(OR(CARI!$C$5="",ISNUMBER(SEARCH(CARI!$C$5,$B710&amp;" "&amp;$C710&amp;" "&amp;$D710&amp;" "&amp;$O710&amp;" "&amp;$I710&amp;" "&amp;$F710&amp;" "&amp;$J710&amp;" "&amp;$K710&amp;" "&amp;$L710&amp;" "&amp;$V710))),OR(CARI!$C$6="",$F710=CARI!$C$6),OR(CARI!$C$7="",$G710=CARI!$C$7),OR(CARI!$C$8="",$T710=CARI!$C$8)),MAX($Z$3:Z709)+1,""))</f>
        <v/>
      </c>
      <c r="AA710" s="40" t="str">
        <f aca="false">IF($Y710="","",MAX($AA$3:AA709)+1)</f>
        <v/>
      </c>
      <c r="AB710" s="40" t="str">
        <f aca="false">IF($F710="","",$F710&amp;"#"&amp;COUNTIF($F$4:$F710,$F710))</f>
        <v/>
      </c>
      <c r="AC710" s="40" t="str">
        <f aca="false">IF($B710="","",IF(AND(OR(CETAK!$J$10="",$F710=CETAK!$J$10),OR(CETAK!$J$11="",$G710=CETAK!$J$11),OR(CETAK!$J$12="",$P710=CETAK!$J$12),OR(CETAK!$J$13="",$N710=CETAK!$J$13),OR(CETAK!$J$14="",$T710=CETAK!$J$14)),MAX($AC$3:AC709)+1,""))</f>
        <v/>
      </c>
      <c r="AD710" s="40" t="str">
        <f aca="false">IF($B710="","",IF(AND(OR(ABSENSI!$H$10="",$F710=ABSENSI!$H$10),OR(ABSENSI!$H$11="",$G710=ABSENSI!$H$11),OR(ABSENSI!$H$12="",$P710=ABSENSI!$H$12)),MAX($AD$3:AD709)+1,""))</f>
        <v/>
      </c>
      <c r="AE710" s="40" t="str">
        <f aca="false">IF($B710="","",IF(AND(OR(KARTU!$K$6="",$F710=KARTU!$K$6),OR(KARTU!$K$7="",$G710=KARTU!$K$7),OR(KARTU!$K$8="",$P710=KARTU!$K$8)),MAX($AE$3:AE709)+1,""))</f>
        <v/>
      </c>
    </row>
    <row r="711" customFormat="false" ht="15" hidden="false" customHeight="false" outlineLevel="0" collapsed="false">
      <c r="A711" s="35" t="str">
        <f aca="false">IF($B711="","",COUNTA($B$4:$B711))</f>
        <v/>
      </c>
      <c r="B711" s="36"/>
      <c r="C711" s="37"/>
      <c r="D711" s="37"/>
      <c r="E711" s="38"/>
      <c r="F711" s="36"/>
      <c r="G711" s="39"/>
      <c r="H711" s="39"/>
      <c r="I711" s="36"/>
      <c r="J711" s="36"/>
      <c r="K711" s="36"/>
      <c r="L711" s="36"/>
      <c r="M711" s="40" t="str">
        <f aca="false">IF($F711="","",$F711&amp;IF($G711="",""," - RT "&amp;$G711&amp;IF($H711="","","/"&amp;$H711)))</f>
        <v/>
      </c>
      <c r="N711" s="36"/>
      <c r="O711" s="37"/>
      <c r="P711" s="39"/>
      <c r="Q711" s="41"/>
      <c r="R711" s="35" t="str">
        <f aca="true">IF(OR($B711="",$Q711=""),"",DATEDIF($Q711,TODAY(),"Y"))</f>
        <v/>
      </c>
      <c r="S711" s="40" t="str">
        <f aca="false">IF($R711="","",INDEX(usia_label,MATCH($R711,usia_min,1)))</f>
        <v/>
      </c>
      <c r="T711" s="36"/>
      <c r="U711" s="41"/>
      <c r="V711" s="36"/>
      <c r="W711" s="36"/>
      <c r="X711" s="40" t="str">
        <f aca="false">IF($M711="","",$M711&amp;"#"&amp;COUNTIF($M$4:$M711,$M711))</f>
        <v/>
      </c>
      <c r="Y711" s="40" t="str">
        <f aca="false">IF($B711="","",IF($C711="","NIK kosong",IF(LEN($C711)&lt;&gt;16,"NIK bukan 16 digit",IF(COUNTIF($C$4:$C$2003,$C711&amp;"*")&gt;1,"NIK ganda",IF(AND($D711&lt;&gt;"",LEN($D711)&lt;&gt;16),"No. KK bukan 16 digit",IF(AND($F711="",$I711=""),"Alamat kosong",IF($N711="","Jabatan kosong",IF($O711="","No. HP kosong",IF(AND($R711&lt;&gt;"",$R711&lt;17),"Usia di bawah 17","")))))))))</f>
        <v/>
      </c>
      <c r="Z711" s="40" t="str">
        <f aca="false">IF($B711="","",IF(AND(OR(CARI!$C$5="",ISNUMBER(SEARCH(CARI!$C$5,$B711&amp;" "&amp;$C711&amp;" "&amp;$D711&amp;" "&amp;$O711&amp;" "&amp;$I711&amp;" "&amp;$F711&amp;" "&amp;$J711&amp;" "&amp;$K711&amp;" "&amp;$L711&amp;" "&amp;$V711))),OR(CARI!$C$6="",$F711=CARI!$C$6),OR(CARI!$C$7="",$G711=CARI!$C$7),OR(CARI!$C$8="",$T711=CARI!$C$8)),MAX($Z$3:Z710)+1,""))</f>
        <v/>
      </c>
      <c r="AA711" s="40" t="str">
        <f aca="false">IF($Y711="","",MAX($AA$3:AA710)+1)</f>
        <v/>
      </c>
      <c r="AB711" s="40" t="str">
        <f aca="false">IF($F711="","",$F711&amp;"#"&amp;COUNTIF($F$4:$F711,$F711))</f>
        <v/>
      </c>
      <c r="AC711" s="40" t="str">
        <f aca="false">IF($B711="","",IF(AND(OR(CETAK!$J$10="",$F711=CETAK!$J$10),OR(CETAK!$J$11="",$G711=CETAK!$J$11),OR(CETAK!$J$12="",$P711=CETAK!$J$12),OR(CETAK!$J$13="",$N711=CETAK!$J$13),OR(CETAK!$J$14="",$T711=CETAK!$J$14)),MAX($AC$3:AC710)+1,""))</f>
        <v/>
      </c>
      <c r="AD711" s="40" t="str">
        <f aca="false">IF($B711="","",IF(AND(OR(ABSENSI!$H$10="",$F711=ABSENSI!$H$10),OR(ABSENSI!$H$11="",$G711=ABSENSI!$H$11),OR(ABSENSI!$H$12="",$P711=ABSENSI!$H$12)),MAX($AD$3:AD710)+1,""))</f>
        <v/>
      </c>
      <c r="AE711" s="40" t="str">
        <f aca="false">IF($B711="","",IF(AND(OR(KARTU!$K$6="",$F711=KARTU!$K$6),OR(KARTU!$K$7="",$G711=KARTU!$K$7),OR(KARTU!$K$8="",$P711=KARTU!$K$8)),MAX($AE$3:AE710)+1,""))</f>
        <v/>
      </c>
    </row>
    <row r="712" customFormat="false" ht="15" hidden="false" customHeight="false" outlineLevel="0" collapsed="false">
      <c r="A712" s="35" t="str">
        <f aca="false">IF($B712="","",COUNTA($B$4:$B712))</f>
        <v/>
      </c>
      <c r="B712" s="36"/>
      <c r="C712" s="37"/>
      <c r="D712" s="37"/>
      <c r="E712" s="38"/>
      <c r="F712" s="36"/>
      <c r="G712" s="39"/>
      <c r="H712" s="39"/>
      <c r="I712" s="36"/>
      <c r="J712" s="36"/>
      <c r="K712" s="36"/>
      <c r="L712" s="36"/>
      <c r="M712" s="40" t="str">
        <f aca="false">IF($F712="","",$F712&amp;IF($G712="",""," - RT "&amp;$G712&amp;IF($H712="","","/"&amp;$H712)))</f>
        <v/>
      </c>
      <c r="N712" s="36"/>
      <c r="O712" s="37"/>
      <c r="P712" s="39"/>
      <c r="Q712" s="41"/>
      <c r="R712" s="35" t="str">
        <f aca="true">IF(OR($B712="",$Q712=""),"",DATEDIF($Q712,TODAY(),"Y"))</f>
        <v/>
      </c>
      <c r="S712" s="40" t="str">
        <f aca="false">IF($R712="","",INDEX(usia_label,MATCH($R712,usia_min,1)))</f>
        <v/>
      </c>
      <c r="T712" s="36"/>
      <c r="U712" s="41"/>
      <c r="V712" s="36"/>
      <c r="W712" s="36"/>
      <c r="X712" s="40" t="str">
        <f aca="false">IF($M712="","",$M712&amp;"#"&amp;COUNTIF($M$4:$M712,$M712))</f>
        <v/>
      </c>
      <c r="Y712" s="40" t="str">
        <f aca="false">IF($B712="","",IF($C712="","NIK kosong",IF(LEN($C712)&lt;&gt;16,"NIK bukan 16 digit",IF(COUNTIF($C$4:$C$2003,$C712&amp;"*")&gt;1,"NIK ganda",IF(AND($D712&lt;&gt;"",LEN($D712)&lt;&gt;16),"No. KK bukan 16 digit",IF(AND($F712="",$I712=""),"Alamat kosong",IF($N712="","Jabatan kosong",IF($O712="","No. HP kosong",IF(AND($R712&lt;&gt;"",$R712&lt;17),"Usia di bawah 17","")))))))))</f>
        <v/>
      </c>
      <c r="Z712" s="40" t="str">
        <f aca="false">IF($B712="","",IF(AND(OR(CARI!$C$5="",ISNUMBER(SEARCH(CARI!$C$5,$B712&amp;" "&amp;$C712&amp;" "&amp;$D712&amp;" "&amp;$O712&amp;" "&amp;$I712&amp;" "&amp;$F712&amp;" "&amp;$J712&amp;" "&amp;$K712&amp;" "&amp;$L712&amp;" "&amp;$V712))),OR(CARI!$C$6="",$F712=CARI!$C$6),OR(CARI!$C$7="",$G712=CARI!$C$7),OR(CARI!$C$8="",$T712=CARI!$C$8)),MAX($Z$3:Z711)+1,""))</f>
        <v/>
      </c>
      <c r="AA712" s="40" t="str">
        <f aca="false">IF($Y712="","",MAX($AA$3:AA711)+1)</f>
        <v/>
      </c>
      <c r="AB712" s="40" t="str">
        <f aca="false">IF($F712="","",$F712&amp;"#"&amp;COUNTIF($F$4:$F712,$F712))</f>
        <v/>
      </c>
      <c r="AC712" s="40" t="str">
        <f aca="false">IF($B712="","",IF(AND(OR(CETAK!$J$10="",$F712=CETAK!$J$10),OR(CETAK!$J$11="",$G712=CETAK!$J$11),OR(CETAK!$J$12="",$P712=CETAK!$J$12),OR(CETAK!$J$13="",$N712=CETAK!$J$13),OR(CETAK!$J$14="",$T712=CETAK!$J$14)),MAX($AC$3:AC711)+1,""))</f>
        <v/>
      </c>
      <c r="AD712" s="40" t="str">
        <f aca="false">IF($B712="","",IF(AND(OR(ABSENSI!$H$10="",$F712=ABSENSI!$H$10),OR(ABSENSI!$H$11="",$G712=ABSENSI!$H$11),OR(ABSENSI!$H$12="",$P712=ABSENSI!$H$12)),MAX($AD$3:AD711)+1,""))</f>
        <v/>
      </c>
      <c r="AE712" s="40" t="str">
        <f aca="false">IF($B712="","",IF(AND(OR(KARTU!$K$6="",$F712=KARTU!$K$6),OR(KARTU!$K$7="",$G712=KARTU!$K$7),OR(KARTU!$K$8="",$P712=KARTU!$K$8)),MAX($AE$3:AE711)+1,""))</f>
        <v/>
      </c>
    </row>
    <row r="713" customFormat="false" ht="15" hidden="false" customHeight="false" outlineLevel="0" collapsed="false">
      <c r="A713" s="35" t="str">
        <f aca="false">IF($B713="","",COUNTA($B$4:$B713))</f>
        <v/>
      </c>
      <c r="B713" s="36"/>
      <c r="C713" s="37"/>
      <c r="D713" s="37"/>
      <c r="E713" s="38"/>
      <c r="F713" s="36"/>
      <c r="G713" s="39"/>
      <c r="H713" s="39"/>
      <c r="I713" s="36"/>
      <c r="J713" s="36"/>
      <c r="K713" s="36"/>
      <c r="L713" s="36"/>
      <c r="M713" s="40" t="str">
        <f aca="false">IF($F713="","",$F713&amp;IF($G713="",""," - RT "&amp;$G713&amp;IF($H713="","","/"&amp;$H713)))</f>
        <v/>
      </c>
      <c r="N713" s="36"/>
      <c r="O713" s="37"/>
      <c r="P713" s="39"/>
      <c r="Q713" s="41"/>
      <c r="R713" s="35" t="str">
        <f aca="true">IF(OR($B713="",$Q713=""),"",DATEDIF($Q713,TODAY(),"Y"))</f>
        <v/>
      </c>
      <c r="S713" s="40" t="str">
        <f aca="false">IF($R713="","",INDEX(usia_label,MATCH($R713,usia_min,1)))</f>
        <v/>
      </c>
      <c r="T713" s="36"/>
      <c r="U713" s="41"/>
      <c r="V713" s="36"/>
      <c r="W713" s="36"/>
      <c r="X713" s="40" t="str">
        <f aca="false">IF($M713="","",$M713&amp;"#"&amp;COUNTIF($M$4:$M713,$M713))</f>
        <v/>
      </c>
      <c r="Y713" s="40" t="str">
        <f aca="false">IF($B713="","",IF($C713="","NIK kosong",IF(LEN($C713)&lt;&gt;16,"NIK bukan 16 digit",IF(COUNTIF($C$4:$C$2003,$C713&amp;"*")&gt;1,"NIK ganda",IF(AND($D713&lt;&gt;"",LEN($D713)&lt;&gt;16),"No. KK bukan 16 digit",IF(AND($F713="",$I713=""),"Alamat kosong",IF($N713="","Jabatan kosong",IF($O713="","No. HP kosong",IF(AND($R713&lt;&gt;"",$R713&lt;17),"Usia di bawah 17","")))))))))</f>
        <v/>
      </c>
      <c r="Z713" s="40" t="str">
        <f aca="false">IF($B713="","",IF(AND(OR(CARI!$C$5="",ISNUMBER(SEARCH(CARI!$C$5,$B713&amp;" "&amp;$C713&amp;" "&amp;$D713&amp;" "&amp;$O713&amp;" "&amp;$I713&amp;" "&amp;$F713&amp;" "&amp;$J713&amp;" "&amp;$K713&amp;" "&amp;$L713&amp;" "&amp;$V713))),OR(CARI!$C$6="",$F713=CARI!$C$6),OR(CARI!$C$7="",$G713=CARI!$C$7),OR(CARI!$C$8="",$T713=CARI!$C$8)),MAX($Z$3:Z712)+1,""))</f>
        <v/>
      </c>
      <c r="AA713" s="40" t="str">
        <f aca="false">IF($Y713="","",MAX($AA$3:AA712)+1)</f>
        <v/>
      </c>
      <c r="AB713" s="40" t="str">
        <f aca="false">IF($F713="","",$F713&amp;"#"&amp;COUNTIF($F$4:$F713,$F713))</f>
        <v/>
      </c>
      <c r="AC713" s="40" t="str">
        <f aca="false">IF($B713="","",IF(AND(OR(CETAK!$J$10="",$F713=CETAK!$J$10),OR(CETAK!$J$11="",$G713=CETAK!$J$11),OR(CETAK!$J$12="",$P713=CETAK!$J$12),OR(CETAK!$J$13="",$N713=CETAK!$J$13),OR(CETAK!$J$14="",$T713=CETAK!$J$14)),MAX($AC$3:AC712)+1,""))</f>
        <v/>
      </c>
      <c r="AD713" s="40" t="str">
        <f aca="false">IF($B713="","",IF(AND(OR(ABSENSI!$H$10="",$F713=ABSENSI!$H$10),OR(ABSENSI!$H$11="",$G713=ABSENSI!$H$11),OR(ABSENSI!$H$12="",$P713=ABSENSI!$H$12)),MAX($AD$3:AD712)+1,""))</f>
        <v/>
      </c>
      <c r="AE713" s="40" t="str">
        <f aca="false">IF($B713="","",IF(AND(OR(KARTU!$K$6="",$F713=KARTU!$K$6),OR(KARTU!$K$7="",$G713=KARTU!$K$7),OR(KARTU!$K$8="",$P713=KARTU!$K$8)),MAX($AE$3:AE712)+1,""))</f>
        <v/>
      </c>
    </row>
    <row r="714" customFormat="false" ht="15" hidden="false" customHeight="false" outlineLevel="0" collapsed="false">
      <c r="A714" s="35" t="str">
        <f aca="false">IF($B714="","",COUNTA($B$4:$B714))</f>
        <v/>
      </c>
      <c r="B714" s="36"/>
      <c r="C714" s="37"/>
      <c r="D714" s="37"/>
      <c r="E714" s="38"/>
      <c r="F714" s="36"/>
      <c r="G714" s="39"/>
      <c r="H714" s="39"/>
      <c r="I714" s="36"/>
      <c r="J714" s="36"/>
      <c r="K714" s="36"/>
      <c r="L714" s="36"/>
      <c r="M714" s="40" t="str">
        <f aca="false">IF($F714="","",$F714&amp;IF($G714="",""," - RT "&amp;$G714&amp;IF($H714="","","/"&amp;$H714)))</f>
        <v/>
      </c>
      <c r="N714" s="36"/>
      <c r="O714" s="37"/>
      <c r="P714" s="39"/>
      <c r="Q714" s="41"/>
      <c r="R714" s="35" t="str">
        <f aca="true">IF(OR($B714="",$Q714=""),"",DATEDIF($Q714,TODAY(),"Y"))</f>
        <v/>
      </c>
      <c r="S714" s="40" t="str">
        <f aca="false">IF($R714="","",INDEX(usia_label,MATCH($R714,usia_min,1)))</f>
        <v/>
      </c>
      <c r="T714" s="36"/>
      <c r="U714" s="41"/>
      <c r="V714" s="36"/>
      <c r="W714" s="36"/>
      <c r="X714" s="40" t="str">
        <f aca="false">IF($M714="","",$M714&amp;"#"&amp;COUNTIF($M$4:$M714,$M714))</f>
        <v/>
      </c>
      <c r="Y714" s="40" t="str">
        <f aca="false">IF($B714="","",IF($C714="","NIK kosong",IF(LEN($C714)&lt;&gt;16,"NIK bukan 16 digit",IF(COUNTIF($C$4:$C$2003,$C714&amp;"*")&gt;1,"NIK ganda",IF(AND($D714&lt;&gt;"",LEN($D714)&lt;&gt;16),"No. KK bukan 16 digit",IF(AND($F714="",$I714=""),"Alamat kosong",IF($N714="","Jabatan kosong",IF($O714="","No. HP kosong",IF(AND($R714&lt;&gt;"",$R714&lt;17),"Usia di bawah 17","")))))))))</f>
        <v/>
      </c>
      <c r="Z714" s="40" t="str">
        <f aca="false">IF($B714="","",IF(AND(OR(CARI!$C$5="",ISNUMBER(SEARCH(CARI!$C$5,$B714&amp;" "&amp;$C714&amp;" "&amp;$D714&amp;" "&amp;$O714&amp;" "&amp;$I714&amp;" "&amp;$F714&amp;" "&amp;$J714&amp;" "&amp;$K714&amp;" "&amp;$L714&amp;" "&amp;$V714))),OR(CARI!$C$6="",$F714=CARI!$C$6),OR(CARI!$C$7="",$G714=CARI!$C$7),OR(CARI!$C$8="",$T714=CARI!$C$8)),MAX($Z$3:Z713)+1,""))</f>
        <v/>
      </c>
      <c r="AA714" s="40" t="str">
        <f aca="false">IF($Y714="","",MAX($AA$3:AA713)+1)</f>
        <v/>
      </c>
      <c r="AB714" s="40" t="str">
        <f aca="false">IF($F714="","",$F714&amp;"#"&amp;COUNTIF($F$4:$F714,$F714))</f>
        <v/>
      </c>
      <c r="AC714" s="40" t="str">
        <f aca="false">IF($B714="","",IF(AND(OR(CETAK!$J$10="",$F714=CETAK!$J$10),OR(CETAK!$J$11="",$G714=CETAK!$J$11),OR(CETAK!$J$12="",$P714=CETAK!$J$12),OR(CETAK!$J$13="",$N714=CETAK!$J$13),OR(CETAK!$J$14="",$T714=CETAK!$J$14)),MAX($AC$3:AC713)+1,""))</f>
        <v/>
      </c>
      <c r="AD714" s="40" t="str">
        <f aca="false">IF($B714="","",IF(AND(OR(ABSENSI!$H$10="",$F714=ABSENSI!$H$10),OR(ABSENSI!$H$11="",$G714=ABSENSI!$H$11),OR(ABSENSI!$H$12="",$P714=ABSENSI!$H$12)),MAX($AD$3:AD713)+1,""))</f>
        <v/>
      </c>
      <c r="AE714" s="40" t="str">
        <f aca="false">IF($B714="","",IF(AND(OR(KARTU!$K$6="",$F714=KARTU!$K$6),OR(KARTU!$K$7="",$G714=KARTU!$K$7),OR(KARTU!$K$8="",$P714=KARTU!$K$8)),MAX($AE$3:AE713)+1,""))</f>
        <v/>
      </c>
    </row>
    <row r="715" customFormat="false" ht="15" hidden="false" customHeight="false" outlineLevel="0" collapsed="false">
      <c r="A715" s="35" t="str">
        <f aca="false">IF($B715="","",COUNTA($B$4:$B715))</f>
        <v/>
      </c>
      <c r="B715" s="36"/>
      <c r="C715" s="37"/>
      <c r="D715" s="37"/>
      <c r="E715" s="38"/>
      <c r="F715" s="36"/>
      <c r="G715" s="39"/>
      <c r="H715" s="39"/>
      <c r="I715" s="36"/>
      <c r="J715" s="36"/>
      <c r="K715" s="36"/>
      <c r="L715" s="36"/>
      <c r="M715" s="40" t="str">
        <f aca="false">IF($F715="","",$F715&amp;IF($G715="",""," - RT "&amp;$G715&amp;IF($H715="","","/"&amp;$H715)))</f>
        <v/>
      </c>
      <c r="N715" s="36"/>
      <c r="O715" s="37"/>
      <c r="P715" s="39"/>
      <c r="Q715" s="41"/>
      <c r="R715" s="35" t="str">
        <f aca="true">IF(OR($B715="",$Q715=""),"",DATEDIF($Q715,TODAY(),"Y"))</f>
        <v/>
      </c>
      <c r="S715" s="40" t="str">
        <f aca="false">IF($R715="","",INDEX(usia_label,MATCH($R715,usia_min,1)))</f>
        <v/>
      </c>
      <c r="T715" s="36"/>
      <c r="U715" s="41"/>
      <c r="V715" s="36"/>
      <c r="W715" s="36"/>
      <c r="X715" s="40" t="str">
        <f aca="false">IF($M715="","",$M715&amp;"#"&amp;COUNTIF($M$4:$M715,$M715))</f>
        <v/>
      </c>
      <c r="Y715" s="40" t="str">
        <f aca="false">IF($B715="","",IF($C715="","NIK kosong",IF(LEN($C715)&lt;&gt;16,"NIK bukan 16 digit",IF(COUNTIF($C$4:$C$2003,$C715&amp;"*")&gt;1,"NIK ganda",IF(AND($D715&lt;&gt;"",LEN($D715)&lt;&gt;16),"No. KK bukan 16 digit",IF(AND($F715="",$I715=""),"Alamat kosong",IF($N715="","Jabatan kosong",IF($O715="","No. HP kosong",IF(AND($R715&lt;&gt;"",$R715&lt;17),"Usia di bawah 17","")))))))))</f>
        <v/>
      </c>
      <c r="Z715" s="40" t="str">
        <f aca="false">IF($B715="","",IF(AND(OR(CARI!$C$5="",ISNUMBER(SEARCH(CARI!$C$5,$B715&amp;" "&amp;$C715&amp;" "&amp;$D715&amp;" "&amp;$O715&amp;" "&amp;$I715&amp;" "&amp;$F715&amp;" "&amp;$J715&amp;" "&amp;$K715&amp;" "&amp;$L715&amp;" "&amp;$V715))),OR(CARI!$C$6="",$F715=CARI!$C$6),OR(CARI!$C$7="",$G715=CARI!$C$7),OR(CARI!$C$8="",$T715=CARI!$C$8)),MAX($Z$3:Z714)+1,""))</f>
        <v/>
      </c>
      <c r="AA715" s="40" t="str">
        <f aca="false">IF($Y715="","",MAX($AA$3:AA714)+1)</f>
        <v/>
      </c>
      <c r="AB715" s="40" t="str">
        <f aca="false">IF($F715="","",$F715&amp;"#"&amp;COUNTIF($F$4:$F715,$F715))</f>
        <v/>
      </c>
      <c r="AC715" s="40" t="str">
        <f aca="false">IF($B715="","",IF(AND(OR(CETAK!$J$10="",$F715=CETAK!$J$10),OR(CETAK!$J$11="",$G715=CETAK!$J$11),OR(CETAK!$J$12="",$P715=CETAK!$J$12),OR(CETAK!$J$13="",$N715=CETAK!$J$13),OR(CETAK!$J$14="",$T715=CETAK!$J$14)),MAX($AC$3:AC714)+1,""))</f>
        <v/>
      </c>
      <c r="AD715" s="40" t="str">
        <f aca="false">IF($B715="","",IF(AND(OR(ABSENSI!$H$10="",$F715=ABSENSI!$H$10),OR(ABSENSI!$H$11="",$G715=ABSENSI!$H$11),OR(ABSENSI!$H$12="",$P715=ABSENSI!$H$12)),MAX($AD$3:AD714)+1,""))</f>
        <v/>
      </c>
      <c r="AE715" s="40" t="str">
        <f aca="false">IF($B715="","",IF(AND(OR(KARTU!$K$6="",$F715=KARTU!$K$6),OR(KARTU!$K$7="",$G715=KARTU!$K$7),OR(KARTU!$K$8="",$P715=KARTU!$K$8)),MAX($AE$3:AE714)+1,""))</f>
        <v/>
      </c>
    </row>
    <row r="716" customFormat="false" ht="15" hidden="false" customHeight="false" outlineLevel="0" collapsed="false">
      <c r="A716" s="35" t="str">
        <f aca="false">IF($B716="","",COUNTA($B$4:$B716))</f>
        <v/>
      </c>
      <c r="B716" s="36"/>
      <c r="C716" s="37"/>
      <c r="D716" s="37"/>
      <c r="E716" s="38"/>
      <c r="F716" s="36"/>
      <c r="G716" s="39"/>
      <c r="H716" s="39"/>
      <c r="I716" s="36"/>
      <c r="J716" s="36"/>
      <c r="K716" s="36"/>
      <c r="L716" s="36"/>
      <c r="M716" s="40" t="str">
        <f aca="false">IF($F716="","",$F716&amp;IF($G716="",""," - RT "&amp;$G716&amp;IF($H716="","","/"&amp;$H716)))</f>
        <v/>
      </c>
      <c r="N716" s="36"/>
      <c r="O716" s="37"/>
      <c r="P716" s="39"/>
      <c r="Q716" s="41"/>
      <c r="R716" s="35" t="str">
        <f aca="true">IF(OR($B716="",$Q716=""),"",DATEDIF($Q716,TODAY(),"Y"))</f>
        <v/>
      </c>
      <c r="S716" s="40" t="str">
        <f aca="false">IF($R716="","",INDEX(usia_label,MATCH($R716,usia_min,1)))</f>
        <v/>
      </c>
      <c r="T716" s="36"/>
      <c r="U716" s="41"/>
      <c r="V716" s="36"/>
      <c r="W716" s="36"/>
      <c r="X716" s="40" t="str">
        <f aca="false">IF($M716="","",$M716&amp;"#"&amp;COUNTIF($M$4:$M716,$M716))</f>
        <v/>
      </c>
      <c r="Y716" s="40" t="str">
        <f aca="false">IF($B716="","",IF($C716="","NIK kosong",IF(LEN($C716)&lt;&gt;16,"NIK bukan 16 digit",IF(COUNTIF($C$4:$C$2003,$C716&amp;"*")&gt;1,"NIK ganda",IF(AND($D716&lt;&gt;"",LEN($D716)&lt;&gt;16),"No. KK bukan 16 digit",IF(AND($F716="",$I716=""),"Alamat kosong",IF($N716="","Jabatan kosong",IF($O716="","No. HP kosong",IF(AND($R716&lt;&gt;"",$R716&lt;17),"Usia di bawah 17","")))))))))</f>
        <v/>
      </c>
      <c r="Z716" s="40" t="str">
        <f aca="false">IF($B716="","",IF(AND(OR(CARI!$C$5="",ISNUMBER(SEARCH(CARI!$C$5,$B716&amp;" "&amp;$C716&amp;" "&amp;$D716&amp;" "&amp;$O716&amp;" "&amp;$I716&amp;" "&amp;$F716&amp;" "&amp;$J716&amp;" "&amp;$K716&amp;" "&amp;$L716&amp;" "&amp;$V716))),OR(CARI!$C$6="",$F716=CARI!$C$6),OR(CARI!$C$7="",$G716=CARI!$C$7),OR(CARI!$C$8="",$T716=CARI!$C$8)),MAX($Z$3:Z715)+1,""))</f>
        <v/>
      </c>
      <c r="AA716" s="40" t="str">
        <f aca="false">IF($Y716="","",MAX($AA$3:AA715)+1)</f>
        <v/>
      </c>
      <c r="AB716" s="40" t="str">
        <f aca="false">IF($F716="","",$F716&amp;"#"&amp;COUNTIF($F$4:$F716,$F716))</f>
        <v/>
      </c>
      <c r="AC716" s="40" t="str">
        <f aca="false">IF($B716="","",IF(AND(OR(CETAK!$J$10="",$F716=CETAK!$J$10),OR(CETAK!$J$11="",$G716=CETAK!$J$11),OR(CETAK!$J$12="",$P716=CETAK!$J$12),OR(CETAK!$J$13="",$N716=CETAK!$J$13),OR(CETAK!$J$14="",$T716=CETAK!$J$14)),MAX($AC$3:AC715)+1,""))</f>
        <v/>
      </c>
      <c r="AD716" s="40" t="str">
        <f aca="false">IF($B716="","",IF(AND(OR(ABSENSI!$H$10="",$F716=ABSENSI!$H$10),OR(ABSENSI!$H$11="",$G716=ABSENSI!$H$11),OR(ABSENSI!$H$12="",$P716=ABSENSI!$H$12)),MAX($AD$3:AD715)+1,""))</f>
        <v/>
      </c>
      <c r="AE716" s="40" t="str">
        <f aca="false">IF($B716="","",IF(AND(OR(KARTU!$K$6="",$F716=KARTU!$K$6),OR(KARTU!$K$7="",$G716=KARTU!$K$7),OR(KARTU!$K$8="",$P716=KARTU!$K$8)),MAX($AE$3:AE715)+1,""))</f>
        <v/>
      </c>
    </row>
    <row r="717" customFormat="false" ht="15" hidden="false" customHeight="false" outlineLevel="0" collapsed="false">
      <c r="A717" s="35" t="str">
        <f aca="false">IF($B717="","",COUNTA($B$4:$B717))</f>
        <v/>
      </c>
      <c r="B717" s="36"/>
      <c r="C717" s="37"/>
      <c r="D717" s="37"/>
      <c r="E717" s="38"/>
      <c r="F717" s="36"/>
      <c r="G717" s="39"/>
      <c r="H717" s="39"/>
      <c r="I717" s="36"/>
      <c r="J717" s="36"/>
      <c r="K717" s="36"/>
      <c r="L717" s="36"/>
      <c r="M717" s="40" t="str">
        <f aca="false">IF($F717="","",$F717&amp;IF($G717="",""," - RT "&amp;$G717&amp;IF($H717="","","/"&amp;$H717)))</f>
        <v/>
      </c>
      <c r="N717" s="36"/>
      <c r="O717" s="37"/>
      <c r="P717" s="39"/>
      <c r="Q717" s="41"/>
      <c r="R717" s="35" t="str">
        <f aca="true">IF(OR($B717="",$Q717=""),"",DATEDIF($Q717,TODAY(),"Y"))</f>
        <v/>
      </c>
      <c r="S717" s="40" t="str">
        <f aca="false">IF($R717="","",INDEX(usia_label,MATCH($R717,usia_min,1)))</f>
        <v/>
      </c>
      <c r="T717" s="36"/>
      <c r="U717" s="41"/>
      <c r="V717" s="36"/>
      <c r="W717" s="36"/>
      <c r="X717" s="40" t="str">
        <f aca="false">IF($M717="","",$M717&amp;"#"&amp;COUNTIF($M$4:$M717,$M717))</f>
        <v/>
      </c>
      <c r="Y717" s="40" t="str">
        <f aca="false">IF($B717="","",IF($C717="","NIK kosong",IF(LEN($C717)&lt;&gt;16,"NIK bukan 16 digit",IF(COUNTIF($C$4:$C$2003,$C717&amp;"*")&gt;1,"NIK ganda",IF(AND($D717&lt;&gt;"",LEN($D717)&lt;&gt;16),"No. KK bukan 16 digit",IF(AND($F717="",$I717=""),"Alamat kosong",IF($N717="","Jabatan kosong",IF($O717="","No. HP kosong",IF(AND($R717&lt;&gt;"",$R717&lt;17),"Usia di bawah 17","")))))))))</f>
        <v/>
      </c>
      <c r="Z717" s="40" t="str">
        <f aca="false">IF($B717="","",IF(AND(OR(CARI!$C$5="",ISNUMBER(SEARCH(CARI!$C$5,$B717&amp;" "&amp;$C717&amp;" "&amp;$D717&amp;" "&amp;$O717&amp;" "&amp;$I717&amp;" "&amp;$F717&amp;" "&amp;$J717&amp;" "&amp;$K717&amp;" "&amp;$L717&amp;" "&amp;$V717))),OR(CARI!$C$6="",$F717=CARI!$C$6),OR(CARI!$C$7="",$G717=CARI!$C$7),OR(CARI!$C$8="",$T717=CARI!$C$8)),MAX($Z$3:Z716)+1,""))</f>
        <v/>
      </c>
      <c r="AA717" s="40" t="str">
        <f aca="false">IF($Y717="","",MAX($AA$3:AA716)+1)</f>
        <v/>
      </c>
      <c r="AB717" s="40" t="str">
        <f aca="false">IF($F717="","",$F717&amp;"#"&amp;COUNTIF($F$4:$F717,$F717))</f>
        <v/>
      </c>
      <c r="AC717" s="40" t="str">
        <f aca="false">IF($B717="","",IF(AND(OR(CETAK!$J$10="",$F717=CETAK!$J$10),OR(CETAK!$J$11="",$G717=CETAK!$J$11),OR(CETAK!$J$12="",$P717=CETAK!$J$12),OR(CETAK!$J$13="",$N717=CETAK!$J$13),OR(CETAK!$J$14="",$T717=CETAK!$J$14)),MAX($AC$3:AC716)+1,""))</f>
        <v/>
      </c>
      <c r="AD717" s="40" t="str">
        <f aca="false">IF($B717="","",IF(AND(OR(ABSENSI!$H$10="",$F717=ABSENSI!$H$10),OR(ABSENSI!$H$11="",$G717=ABSENSI!$H$11),OR(ABSENSI!$H$12="",$P717=ABSENSI!$H$12)),MAX($AD$3:AD716)+1,""))</f>
        <v/>
      </c>
      <c r="AE717" s="40" t="str">
        <f aca="false">IF($B717="","",IF(AND(OR(KARTU!$K$6="",$F717=KARTU!$K$6),OR(KARTU!$K$7="",$G717=KARTU!$K$7),OR(KARTU!$K$8="",$P717=KARTU!$K$8)),MAX($AE$3:AE716)+1,""))</f>
        <v/>
      </c>
    </row>
    <row r="718" customFormat="false" ht="15" hidden="false" customHeight="false" outlineLevel="0" collapsed="false">
      <c r="A718" s="35" t="str">
        <f aca="false">IF($B718="","",COUNTA($B$4:$B718))</f>
        <v/>
      </c>
      <c r="B718" s="36"/>
      <c r="C718" s="37"/>
      <c r="D718" s="37"/>
      <c r="E718" s="38"/>
      <c r="F718" s="36"/>
      <c r="G718" s="39"/>
      <c r="H718" s="39"/>
      <c r="I718" s="36"/>
      <c r="J718" s="36"/>
      <c r="K718" s="36"/>
      <c r="L718" s="36"/>
      <c r="M718" s="40" t="str">
        <f aca="false">IF($F718="","",$F718&amp;IF($G718="",""," - RT "&amp;$G718&amp;IF($H718="","","/"&amp;$H718)))</f>
        <v/>
      </c>
      <c r="N718" s="36"/>
      <c r="O718" s="37"/>
      <c r="P718" s="39"/>
      <c r="Q718" s="41"/>
      <c r="R718" s="35" t="str">
        <f aca="true">IF(OR($B718="",$Q718=""),"",DATEDIF($Q718,TODAY(),"Y"))</f>
        <v/>
      </c>
      <c r="S718" s="40" t="str">
        <f aca="false">IF($R718="","",INDEX(usia_label,MATCH($R718,usia_min,1)))</f>
        <v/>
      </c>
      <c r="T718" s="36"/>
      <c r="U718" s="41"/>
      <c r="V718" s="36"/>
      <c r="W718" s="36"/>
      <c r="X718" s="40" t="str">
        <f aca="false">IF($M718="","",$M718&amp;"#"&amp;COUNTIF($M$4:$M718,$M718))</f>
        <v/>
      </c>
      <c r="Y718" s="40" t="str">
        <f aca="false">IF($B718="","",IF($C718="","NIK kosong",IF(LEN($C718)&lt;&gt;16,"NIK bukan 16 digit",IF(COUNTIF($C$4:$C$2003,$C718&amp;"*")&gt;1,"NIK ganda",IF(AND($D718&lt;&gt;"",LEN($D718)&lt;&gt;16),"No. KK bukan 16 digit",IF(AND($F718="",$I718=""),"Alamat kosong",IF($N718="","Jabatan kosong",IF($O718="","No. HP kosong",IF(AND($R718&lt;&gt;"",$R718&lt;17),"Usia di bawah 17","")))))))))</f>
        <v/>
      </c>
      <c r="Z718" s="40" t="str">
        <f aca="false">IF($B718="","",IF(AND(OR(CARI!$C$5="",ISNUMBER(SEARCH(CARI!$C$5,$B718&amp;" "&amp;$C718&amp;" "&amp;$D718&amp;" "&amp;$O718&amp;" "&amp;$I718&amp;" "&amp;$F718&amp;" "&amp;$J718&amp;" "&amp;$K718&amp;" "&amp;$L718&amp;" "&amp;$V718))),OR(CARI!$C$6="",$F718=CARI!$C$6),OR(CARI!$C$7="",$G718=CARI!$C$7),OR(CARI!$C$8="",$T718=CARI!$C$8)),MAX($Z$3:Z717)+1,""))</f>
        <v/>
      </c>
      <c r="AA718" s="40" t="str">
        <f aca="false">IF($Y718="","",MAX($AA$3:AA717)+1)</f>
        <v/>
      </c>
      <c r="AB718" s="40" t="str">
        <f aca="false">IF($F718="","",$F718&amp;"#"&amp;COUNTIF($F$4:$F718,$F718))</f>
        <v/>
      </c>
      <c r="AC718" s="40" t="str">
        <f aca="false">IF($B718="","",IF(AND(OR(CETAK!$J$10="",$F718=CETAK!$J$10),OR(CETAK!$J$11="",$G718=CETAK!$J$11),OR(CETAK!$J$12="",$P718=CETAK!$J$12),OR(CETAK!$J$13="",$N718=CETAK!$J$13),OR(CETAK!$J$14="",$T718=CETAK!$J$14)),MAX($AC$3:AC717)+1,""))</f>
        <v/>
      </c>
      <c r="AD718" s="40" t="str">
        <f aca="false">IF($B718="","",IF(AND(OR(ABSENSI!$H$10="",$F718=ABSENSI!$H$10),OR(ABSENSI!$H$11="",$G718=ABSENSI!$H$11),OR(ABSENSI!$H$12="",$P718=ABSENSI!$H$12)),MAX($AD$3:AD717)+1,""))</f>
        <v/>
      </c>
      <c r="AE718" s="40" t="str">
        <f aca="false">IF($B718="","",IF(AND(OR(KARTU!$K$6="",$F718=KARTU!$K$6),OR(KARTU!$K$7="",$G718=KARTU!$K$7),OR(KARTU!$K$8="",$P718=KARTU!$K$8)),MAX($AE$3:AE717)+1,""))</f>
        <v/>
      </c>
    </row>
    <row r="719" customFormat="false" ht="15" hidden="false" customHeight="false" outlineLevel="0" collapsed="false">
      <c r="A719" s="35" t="str">
        <f aca="false">IF($B719="","",COUNTA($B$4:$B719))</f>
        <v/>
      </c>
      <c r="B719" s="36"/>
      <c r="C719" s="37"/>
      <c r="D719" s="37"/>
      <c r="E719" s="38"/>
      <c r="F719" s="36"/>
      <c r="G719" s="39"/>
      <c r="H719" s="39"/>
      <c r="I719" s="36"/>
      <c r="J719" s="36"/>
      <c r="K719" s="36"/>
      <c r="L719" s="36"/>
      <c r="M719" s="40" t="str">
        <f aca="false">IF($F719="","",$F719&amp;IF($G719="",""," - RT "&amp;$G719&amp;IF($H719="","","/"&amp;$H719)))</f>
        <v/>
      </c>
      <c r="N719" s="36"/>
      <c r="O719" s="37"/>
      <c r="P719" s="39"/>
      <c r="Q719" s="41"/>
      <c r="R719" s="35" t="str">
        <f aca="true">IF(OR($B719="",$Q719=""),"",DATEDIF($Q719,TODAY(),"Y"))</f>
        <v/>
      </c>
      <c r="S719" s="40" t="str">
        <f aca="false">IF($R719="","",INDEX(usia_label,MATCH($R719,usia_min,1)))</f>
        <v/>
      </c>
      <c r="T719" s="36"/>
      <c r="U719" s="41"/>
      <c r="V719" s="36"/>
      <c r="W719" s="36"/>
      <c r="X719" s="40" t="str">
        <f aca="false">IF($M719="","",$M719&amp;"#"&amp;COUNTIF($M$4:$M719,$M719))</f>
        <v/>
      </c>
      <c r="Y719" s="40" t="str">
        <f aca="false">IF($B719="","",IF($C719="","NIK kosong",IF(LEN($C719)&lt;&gt;16,"NIK bukan 16 digit",IF(COUNTIF($C$4:$C$2003,$C719&amp;"*")&gt;1,"NIK ganda",IF(AND($D719&lt;&gt;"",LEN($D719)&lt;&gt;16),"No. KK bukan 16 digit",IF(AND($F719="",$I719=""),"Alamat kosong",IF($N719="","Jabatan kosong",IF($O719="","No. HP kosong",IF(AND($R719&lt;&gt;"",$R719&lt;17),"Usia di bawah 17","")))))))))</f>
        <v/>
      </c>
      <c r="Z719" s="40" t="str">
        <f aca="false">IF($B719="","",IF(AND(OR(CARI!$C$5="",ISNUMBER(SEARCH(CARI!$C$5,$B719&amp;" "&amp;$C719&amp;" "&amp;$D719&amp;" "&amp;$O719&amp;" "&amp;$I719&amp;" "&amp;$F719&amp;" "&amp;$J719&amp;" "&amp;$K719&amp;" "&amp;$L719&amp;" "&amp;$V719))),OR(CARI!$C$6="",$F719=CARI!$C$6),OR(CARI!$C$7="",$G719=CARI!$C$7),OR(CARI!$C$8="",$T719=CARI!$C$8)),MAX($Z$3:Z718)+1,""))</f>
        <v/>
      </c>
      <c r="AA719" s="40" t="str">
        <f aca="false">IF($Y719="","",MAX($AA$3:AA718)+1)</f>
        <v/>
      </c>
      <c r="AB719" s="40" t="str">
        <f aca="false">IF($F719="","",$F719&amp;"#"&amp;COUNTIF($F$4:$F719,$F719))</f>
        <v/>
      </c>
      <c r="AC719" s="40" t="str">
        <f aca="false">IF($B719="","",IF(AND(OR(CETAK!$J$10="",$F719=CETAK!$J$10),OR(CETAK!$J$11="",$G719=CETAK!$J$11),OR(CETAK!$J$12="",$P719=CETAK!$J$12),OR(CETAK!$J$13="",$N719=CETAK!$J$13),OR(CETAK!$J$14="",$T719=CETAK!$J$14)),MAX($AC$3:AC718)+1,""))</f>
        <v/>
      </c>
      <c r="AD719" s="40" t="str">
        <f aca="false">IF($B719="","",IF(AND(OR(ABSENSI!$H$10="",$F719=ABSENSI!$H$10),OR(ABSENSI!$H$11="",$G719=ABSENSI!$H$11),OR(ABSENSI!$H$12="",$P719=ABSENSI!$H$12)),MAX($AD$3:AD718)+1,""))</f>
        <v/>
      </c>
      <c r="AE719" s="40" t="str">
        <f aca="false">IF($B719="","",IF(AND(OR(KARTU!$K$6="",$F719=KARTU!$K$6),OR(KARTU!$K$7="",$G719=KARTU!$K$7),OR(KARTU!$K$8="",$P719=KARTU!$K$8)),MAX($AE$3:AE718)+1,""))</f>
        <v/>
      </c>
    </row>
    <row r="720" customFormat="false" ht="15" hidden="false" customHeight="false" outlineLevel="0" collapsed="false">
      <c r="A720" s="35" t="str">
        <f aca="false">IF($B720="","",COUNTA($B$4:$B720))</f>
        <v/>
      </c>
      <c r="B720" s="36"/>
      <c r="C720" s="37"/>
      <c r="D720" s="37"/>
      <c r="E720" s="38"/>
      <c r="F720" s="36"/>
      <c r="G720" s="39"/>
      <c r="H720" s="39"/>
      <c r="I720" s="36"/>
      <c r="J720" s="36"/>
      <c r="K720" s="36"/>
      <c r="L720" s="36"/>
      <c r="M720" s="40" t="str">
        <f aca="false">IF($F720="","",$F720&amp;IF($G720="",""," - RT "&amp;$G720&amp;IF($H720="","","/"&amp;$H720)))</f>
        <v/>
      </c>
      <c r="N720" s="36"/>
      <c r="O720" s="37"/>
      <c r="P720" s="39"/>
      <c r="Q720" s="41"/>
      <c r="R720" s="35" t="str">
        <f aca="true">IF(OR($B720="",$Q720=""),"",DATEDIF($Q720,TODAY(),"Y"))</f>
        <v/>
      </c>
      <c r="S720" s="40" t="str">
        <f aca="false">IF($R720="","",INDEX(usia_label,MATCH($R720,usia_min,1)))</f>
        <v/>
      </c>
      <c r="T720" s="36"/>
      <c r="U720" s="41"/>
      <c r="V720" s="36"/>
      <c r="W720" s="36"/>
      <c r="X720" s="40" t="str">
        <f aca="false">IF($M720="","",$M720&amp;"#"&amp;COUNTIF($M$4:$M720,$M720))</f>
        <v/>
      </c>
      <c r="Y720" s="40" t="str">
        <f aca="false">IF($B720="","",IF($C720="","NIK kosong",IF(LEN($C720)&lt;&gt;16,"NIK bukan 16 digit",IF(COUNTIF($C$4:$C$2003,$C720&amp;"*")&gt;1,"NIK ganda",IF(AND($D720&lt;&gt;"",LEN($D720)&lt;&gt;16),"No. KK bukan 16 digit",IF(AND($F720="",$I720=""),"Alamat kosong",IF($N720="","Jabatan kosong",IF($O720="","No. HP kosong",IF(AND($R720&lt;&gt;"",$R720&lt;17),"Usia di bawah 17","")))))))))</f>
        <v/>
      </c>
      <c r="Z720" s="40" t="str">
        <f aca="false">IF($B720="","",IF(AND(OR(CARI!$C$5="",ISNUMBER(SEARCH(CARI!$C$5,$B720&amp;" "&amp;$C720&amp;" "&amp;$D720&amp;" "&amp;$O720&amp;" "&amp;$I720&amp;" "&amp;$F720&amp;" "&amp;$J720&amp;" "&amp;$K720&amp;" "&amp;$L720&amp;" "&amp;$V720))),OR(CARI!$C$6="",$F720=CARI!$C$6),OR(CARI!$C$7="",$G720=CARI!$C$7),OR(CARI!$C$8="",$T720=CARI!$C$8)),MAX($Z$3:Z719)+1,""))</f>
        <v/>
      </c>
      <c r="AA720" s="40" t="str">
        <f aca="false">IF($Y720="","",MAX($AA$3:AA719)+1)</f>
        <v/>
      </c>
      <c r="AB720" s="40" t="str">
        <f aca="false">IF($F720="","",$F720&amp;"#"&amp;COUNTIF($F$4:$F720,$F720))</f>
        <v/>
      </c>
      <c r="AC720" s="40" t="str">
        <f aca="false">IF($B720="","",IF(AND(OR(CETAK!$J$10="",$F720=CETAK!$J$10),OR(CETAK!$J$11="",$G720=CETAK!$J$11),OR(CETAK!$J$12="",$P720=CETAK!$J$12),OR(CETAK!$J$13="",$N720=CETAK!$J$13),OR(CETAK!$J$14="",$T720=CETAK!$J$14)),MAX($AC$3:AC719)+1,""))</f>
        <v/>
      </c>
      <c r="AD720" s="40" t="str">
        <f aca="false">IF($B720="","",IF(AND(OR(ABSENSI!$H$10="",$F720=ABSENSI!$H$10),OR(ABSENSI!$H$11="",$G720=ABSENSI!$H$11),OR(ABSENSI!$H$12="",$P720=ABSENSI!$H$12)),MAX($AD$3:AD719)+1,""))</f>
        <v/>
      </c>
      <c r="AE720" s="40" t="str">
        <f aca="false">IF($B720="","",IF(AND(OR(KARTU!$K$6="",$F720=KARTU!$K$6),OR(KARTU!$K$7="",$G720=KARTU!$K$7),OR(KARTU!$K$8="",$P720=KARTU!$K$8)),MAX($AE$3:AE719)+1,""))</f>
        <v/>
      </c>
    </row>
    <row r="721" customFormat="false" ht="15" hidden="false" customHeight="false" outlineLevel="0" collapsed="false">
      <c r="A721" s="35" t="str">
        <f aca="false">IF($B721="","",COUNTA($B$4:$B721))</f>
        <v/>
      </c>
      <c r="B721" s="36"/>
      <c r="C721" s="37"/>
      <c r="D721" s="37"/>
      <c r="E721" s="38"/>
      <c r="F721" s="36"/>
      <c r="G721" s="39"/>
      <c r="H721" s="39"/>
      <c r="I721" s="36"/>
      <c r="J721" s="36"/>
      <c r="K721" s="36"/>
      <c r="L721" s="36"/>
      <c r="M721" s="40" t="str">
        <f aca="false">IF($F721="","",$F721&amp;IF($G721="",""," - RT "&amp;$G721&amp;IF($H721="","","/"&amp;$H721)))</f>
        <v/>
      </c>
      <c r="N721" s="36"/>
      <c r="O721" s="37"/>
      <c r="P721" s="39"/>
      <c r="Q721" s="41"/>
      <c r="R721" s="35" t="str">
        <f aca="true">IF(OR($B721="",$Q721=""),"",DATEDIF($Q721,TODAY(),"Y"))</f>
        <v/>
      </c>
      <c r="S721" s="40" t="str">
        <f aca="false">IF($R721="","",INDEX(usia_label,MATCH($R721,usia_min,1)))</f>
        <v/>
      </c>
      <c r="T721" s="36"/>
      <c r="U721" s="41"/>
      <c r="V721" s="36"/>
      <c r="W721" s="36"/>
      <c r="X721" s="40" t="str">
        <f aca="false">IF($M721="","",$M721&amp;"#"&amp;COUNTIF($M$4:$M721,$M721))</f>
        <v/>
      </c>
      <c r="Y721" s="40" t="str">
        <f aca="false">IF($B721="","",IF($C721="","NIK kosong",IF(LEN($C721)&lt;&gt;16,"NIK bukan 16 digit",IF(COUNTIF($C$4:$C$2003,$C721&amp;"*")&gt;1,"NIK ganda",IF(AND($D721&lt;&gt;"",LEN($D721)&lt;&gt;16),"No. KK bukan 16 digit",IF(AND($F721="",$I721=""),"Alamat kosong",IF($N721="","Jabatan kosong",IF($O721="","No. HP kosong",IF(AND($R721&lt;&gt;"",$R721&lt;17),"Usia di bawah 17","")))))))))</f>
        <v/>
      </c>
      <c r="Z721" s="40" t="str">
        <f aca="false">IF($B721="","",IF(AND(OR(CARI!$C$5="",ISNUMBER(SEARCH(CARI!$C$5,$B721&amp;" "&amp;$C721&amp;" "&amp;$D721&amp;" "&amp;$O721&amp;" "&amp;$I721&amp;" "&amp;$F721&amp;" "&amp;$J721&amp;" "&amp;$K721&amp;" "&amp;$L721&amp;" "&amp;$V721))),OR(CARI!$C$6="",$F721=CARI!$C$6),OR(CARI!$C$7="",$G721=CARI!$C$7),OR(CARI!$C$8="",$T721=CARI!$C$8)),MAX($Z$3:Z720)+1,""))</f>
        <v/>
      </c>
      <c r="AA721" s="40" t="str">
        <f aca="false">IF($Y721="","",MAX($AA$3:AA720)+1)</f>
        <v/>
      </c>
      <c r="AB721" s="40" t="str">
        <f aca="false">IF($F721="","",$F721&amp;"#"&amp;COUNTIF($F$4:$F721,$F721))</f>
        <v/>
      </c>
      <c r="AC721" s="40" t="str">
        <f aca="false">IF($B721="","",IF(AND(OR(CETAK!$J$10="",$F721=CETAK!$J$10),OR(CETAK!$J$11="",$G721=CETAK!$J$11),OR(CETAK!$J$12="",$P721=CETAK!$J$12),OR(CETAK!$J$13="",$N721=CETAK!$J$13),OR(CETAK!$J$14="",$T721=CETAK!$J$14)),MAX($AC$3:AC720)+1,""))</f>
        <v/>
      </c>
      <c r="AD721" s="40" t="str">
        <f aca="false">IF($B721="","",IF(AND(OR(ABSENSI!$H$10="",$F721=ABSENSI!$H$10),OR(ABSENSI!$H$11="",$G721=ABSENSI!$H$11),OR(ABSENSI!$H$12="",$P721=ABSENSI!$H$12)),MAX($AD$3:AD720)+1,""))</f>
        <v/>
      </c>
      <c r="AE721" s="40" t="str">
        <f aca="false">IF($B721="","",IF(AND(OR(KARTU!$K$6="",$F721=KARTU!$K$6),OR(KARTU!$K$7="",$G721=KARTU!$K$7),OR(KARTU!$K$8="",$P721=KARTU!$K$8)),MAX($AE$3:AE720)+1,""))</f>
        <v/>
      </c>
    </row>
    <row r="722" customFormat="false" ht="15" hidden="false" customHeight="false" outlineLevel="0" collapsed="false">
      <c r="A722" s="35" t="str">
        <f aca="false">IF($B722="","",COUNTA($B$4:$B722))</f>
        <v/>
      </c>
      <c r="B722" s="36"/>
      <c r="C722" s="37"/>
      <c r="D722" s="37"/>
      <c r="E722" s="38"/>
      <c r="F722" s="36"/>
      <c r="G722" s="39"/>
      <c r="H722" s="39"/>
      <c r="I722" s="36"/>
      <c r="J722" s="36"/>
      <c r="K722" s="36"/>
      <c r="L722" s="36"/>
      <c r="M722" s="40" t="str">
        <f aca="false">IF($F722="","",$F722&amp;IF($G722="",""," - RT "&amp;$G722&amp;IF($H722="","","/"&amp;$H722)))</f>
        <v/>
      </c>
      <c r="N722" s="36"/>
      <c r="O722" s="37"/>
      <c r="P722" s="39"/>
      <c r="Q722" s="41"/>
      <c r="R722" s="35" t="str">
        <f aca="true">IF(OR($B722="",$Q722=""),"",DATEDIF($Q722,TODAY(),"Y"))</f>
        <v/>
      </c>
      <c r="S722" s="40" t="str">
        <f aca="false">IF($R722="","",INDEX(usia_label,MATCH($R722,usia_min,1)))</f>
        <v/>
      </c>
      <c r="T722" s="36"/>
      <c r="U722" s="41"/>
      <c r="V722" s="36"/>
      <c r="W722" s="36"/>
      <c r="X722" s="40" t="str">
        <f aca="false">IF($M722="","",$M722&amp;"#"&amp;COUNTIF($M$4:$M722,$M722))</f>
        <v/>
      </c>
      <c r="Y722" s="40" t="str">
        <f aca="false">IF($B722="","",IF($C722="","NIK kosong",IF(LEN($C722)&lt;&gt;16,"NIK bukan 16 digit",IF(COUNTIF($C$4:$C$2003,$C722&amp;"*")&gt;1,"NIK ganda",IF(AND($D722&lt;&gt;"",LEN($D722)&lt;&gt;16),"No. KK bukan 16 digit",IF(AND($F722="",$I722=""),"Alamat kosong",IF($N722="","Jabatan kosong",IF($O722="","No. HP kosong",IF(AND($R722&lt;&gt;"",$R722&lt;17),"Usia di bawah 17","")))))))))</f>
        <v/>
      </c>
      <c r="Z722" s="40" t="str">
        <f aca="false">IF($B722="","",IF(AND(OR(CARI!$C$5="",ISNUMBER(SEARCH(CARI!$C$5,$B722&amp;" "&amp;$C722&amp;" "&amp;$D722&amp;" "&amp;$O722&amp;" "&amp;$I722&amp;" "&amp;$F722&amp;" "&amp;$J722&amp;" "&amp;$K722&amp;" "&amp;$L722&amp;" "&amp;$V722))),OR(CARI!$C$6="",$F722=CARI!$C$6),OR(CARI!$C$7="",$G722=CARI!$C$7),OR(CARI!$C$8="",$T722=CARI!$C$8)),MAX($Z$3:Z721)+1,""))</f>
        <v/>
      </c>
      <c r="AA722" s="40" t="str">
        <f aca="false">IF($Y722="","",MAX($AA$3:AA721)+1)</f>
        <v/>
      </c>
      <c r="AB722" s="40" t="str">
        <f aca="false">IF($F722="","",$F722&amp;"#"&amp;COUNTIF($F$4:$F722,$F722))</f>
        <v/>
      </c>
      <c r="AC722" s="40" t="str">
        <f aca="false">IF($B722="","",IF(AND(OR(CETAK!$J$10="",$F722=CETAK!$J$10),OR(CETAK!$J$11="",$G722=CETAK!$J$11),OR(CETAK!$J$12="",$P722=CETAK!$J$12),OR(CETAK!$J$13="",$N722=CETAK!$J$13),OR(CETAK!$J$14="",$T722=CETAK!$J$14)),MAX($AC$3:AC721)+1,""))</f>
        <v/>
      </c>
      <c r="AD722" s="40" t="str">
        <f aca="false">IF($B722="","",IF(AND(OR(ABSENSI!$H$10="",$F722=ABSENSI!$H$10),OR(ABSENSI!$H$11="",$G722=ABSENSI!$H$11),OR(ABSENSI!$H$12="",$P722=ABSENSI!$H$12)),MAX($AD$3:AD721)+1,""))</f>
        <v/>
      </c>
      <c r="AE722" s="40" t="str">
        <f aca="false">IF($B722="","",IF(AND(OR(KARTU!$K$6="",$F722=KARTU!$K$6),OR(KARTU!$K$7="",$G722=KARTU!$K$7),OR(KARTU!$K$8="",$P722=KARTU!$K$8)),MAX($AE$3:AE721)+1,""))</f>
        <v/>
      </c>
    </row>
    <row r="723" customFormat="false" ht="15" hidden="false" customHeight="false" outlineLevel="0" collapsed="false">
      <c r="A723" s="35" t="str">
        <f aca="false">IF($B723="","",COUNTA($B$4:$B723))</f>
        <v/>
      </c>
      <c r="B723" s="36"/>
      <c r="C723" s="37"/>
      <c r="D723" s="37"/>
      <c r="E723" s="38"/>
      <c r="F723" s="36"/>
      <c r="G723" s="39"/>
      <c r="H723" s="39"/>
      <c r="I723" s="36"/>
      <c r="J723" s="36"/>
      <c r="K723" s="36"/>
      <c r="L723" s="36"/>
      <c r="M723" s="40" t="str">
        <f aca="false">IF($F723="","",$F723&amp;IF($G723="",""," - RT "&amp;$G723&amp;IF($H723="","","/"&amp;$H723)))</f>
        <v/>
      </c>
      <c r="N723" s="36"/>
      <c r="O723" s="37"/>
      <c r="P723" s="39"/>
      <c r="Q723" s="41"/>
      <c r="R723" s="35" t="str">
        <f aca="true">IF(OR($B723="",$Q723=""),"",DATEDIF($Q723,TODAY(),"Y"))</f>
        <v/>
      </c>
      <c r="S723" s="40" t="str">
        <f aca="false">IF($R723="","",INDEX(usia_label,MATCH($R723,usia_min,1)))</f>
        <v/>
      </c>
      <c r="T723" s="36"/>
      <c r="U723" s="41"/>
      <c r="V723" s="36"/>
      <c r="W723" s="36"/>
      <c r="X723" s="40" t="str">
        <f aca="false">IF($M723="","",$M723&amp;"#"&amp;COUNTIF($M$4:$M723,$M723))</f>
        <v/>
      </c>
      <c r="Y723" s="40" t="str">
        <f aca="false">IF($B723="","",IF($C723="","NIK kosong",IF(LEN($C723)&lt;&gt;16,"NIK bukan 16 digit",IF(COUNTIF($C$4:$C$2003,$C723&amp;"*")&gt;1,"NIK ganda",IF(AND($D723&lt;&gt;"",LEN($D723)&lt;&gt;16),"No. KK bukan 16 digit",IF(AND($F723="",$I723=""),"Alamat kosong",IF($N723="","Jabatan kosong",IF($O723="","No. HP kosong",IF(AND($R723&lt;&gt;"",$R723&lt;17),"Usia di bawah 17","")))))))))</f>
        <v/>
      </c>
      <c r="Z723" s="40" t="str">
        <f aca="false">IF($B723="","",IF(AND(OR(CARI!$C$5="",ISNUMBER(SEARCH(CARI!$C$5,$B723&amp;" "&amp;$C723&amp;" "&amp;$D723&amp;" "&amp;$O723&amp;" "&amp;$I723&amp;" "&amp;$F723&amp;" "&amp;$J723&amp;" "&amp;$K723&amp;" "&amp;$L723&amp;" "&amp;$V723))),OR(CARI!$C$6="",$F723=CARI!$C$6),OR(CARI!$C$7="",$G723=CARI!$C$7),OR(CARI!$C$8="",$T723=CARI!$C$8)),MAX($Z$3:Z722)+1,""))</f>
        <v/>
      </c>
      <c r="AA723" s="40" t="str">
        <f aca="false">IF($Y723="","",MAX($AA$3:AA722)+1)</f>
        <v/>
      </c>
      <c r="AB723" s="40" t="str">
        <f aca="false">IF($F723="","",$F723&amp;"#"&amp;COUNTIF($F$4:$F723,$F723))</f>
        <v/>
      </c>
      <c r="AC723" s="40" t="str">
        <f aca="false">IF($B723="","",IF(AND(OR(CETAK!$J$10="",$F723=CETAK!$J$10),OR(CETAK!$J$11="",$G723=CETAK!$J$11),OR(CETAK!$J$12="",$P723=CETAK!$J$12),OR(CETAK!$J$13="",$N723=CETAK!$J$13),OR(CETAK!$J$14="",$T723=CETAK!$J$14)),MAX($AC$3:AC722)+1,""))</f>
        <v/>
      </c>
      <c r="AD723" s="40" t="str">
        <f aca="false">IF($B723="","",IF(AND(OR(ABSENSI!$H$10="",$F723=ABSENSI!$H$10),OR(ABSENSI!$H$11="",$G723=ABSENSI!$H$11),OR(ABSENSI!$H$12="",$P723=ABSENSI!$H$12)),MAX($AD$3:AD722)+1,""))</f>
        <v/>
      </c>
      <c r="AE723" s="40" t="str">
        <f aca="false">IF($B723="","",IF(AND(OR(KARTU!$K$6="",$F723=KARTU!$K$6),OR(KARTU!$K$7="",$G723=KARTU!$K$7),OR(KARTU!$K$8="",$P723=KARTU!$K$8)),MAX($AE$3:AE722)+1,""))</f>
        <v/>
      </c>
    </row>
    <row r="724" customFormat="false" ht="15" hidden="false" customHeight="false" outlineLevel="0" collapsed="false">
      <c r="A724" s="35" t="str">
        <f aca="false">IF($B724="","",COUNTA($B$4:$B724))</f>
        <v/>
      </c>
      <c r="B724" s="36"/>
      <c r="C724" s="37"/>
      <c r="D724" s="37"/>
      <c r="E724" s="38"/>
      <c r="F724" s="36"/>
      <c r="G724" s="39"/>
      <c r="H724" s="39"/>
      <c r="I724" s="36"/>
      <c r="J724" s="36"/>
      <c r="K724" s="36"/>
      <c r="L724" s="36"/>
      <c r="M724" s="40" t="str">
        <f aca="false">IF($F724="","",$F724&amp;IF($G724="",""," - RT "&amp;$G724&amp;IF($H724="","","/"&amp;$H724)))</f>
        <v/>
      </c>
      <c r="N724" s="36"/>
      <c r="O724" s="37"/>
      <c r="P724" s="39"/>
      <c r="Q724" s="41"/>
      <c r="R724" s="35" t="str">
        <f aca="true">IF(OR($B724="",$Q724=""),"",DATEDIF($Q724,TODAY(),"Y"))</f>
        <v/>
      </c>
      <c r="S724" s="40" t="str">
        <f aca="false">IF($R724="","",INDEX(usia_label,MATCH($R724,usia_min,1)))</f>
        <v/>
      </c>
      <c r="T724" s="36"/>
      <c r="U724" s="41"/>
      <c r="V724" s="36"/>
      <c r="W724" s="36"/>
      <c r="X724" s="40" t="str">
        <f aca="false">IF($M724="","",$M724&amp;"#"&amp;COUNTIF($M$4:$M724,$M724))</f>
        <v/>
      </c>
      <c r="Y724" s="40" t="str">
        <f aca="false">IF($B724="","",IF($C724="","NIK kosong",IF(LEN($C724)&lt;&gt;16,"NIK bukan 16 digit",IF(COUNTIF($C$4:$C$2003,$C724&amp;"*")&gt;1,"NIK ganda",IF(AND($D724&lt;&gt;"",LEN($D724)&lt;&gt;16),"No. KK bukan 16 digit",IF(AND($F724="",$I724=""),"Alamat kosong",IF($N724="","Jabatan kosong",IF($O724="","No. HP kosong",IF(AND($R724&lt;&gt;"",$R724&lt;17),"Usia di bawah 17","")))))))))</f>
        <v/>
      </c>
      <c r="Z724" s="40" t="str">
        <f aca="false">IF($B724="","",IF(AND(OR(CARI!$C$5="",ISNUMBER(SEARCH(CARI!$C$5,$B724&amp;" "&amp;$C724&amp;" "&amp;$D724&amp;" "&amp;$O724&amp;" "&amp;$I724&amp;" "&amp;$F724&amp;" "&amp;$J724&amp;" "&amp;$K724&amp;" "&amp;$L724&amp;" "&amp;$V724))),OR(CARI!$C$6="",$F724=CARI!$C$6),OR(CARI!$C$7="",$G724=CARI!$C$7),OR(CARI!$C$8="",$T724=CARI!$C$8)),MAX($Z$3:Z723)+1,""))</f>
        <v/>
      </c>
      <c r="AA724" s="40" t="str">
        <f aca="false">IF($Y724="","",MAX($AA$3:AA723)+1)</f>
        <v/>
      </c>
      <c r="AB724" s="40" t="str">
        <f aca="false">IF($F724="","",$F724&amp;"#"&amp;COUNTIF($F$4:$F724,$F724))</f>
        <v/>
      </c>
      <c r="AC724" s="40" t="str">
        <f aca="false">IF($B724="","",IF(AND(OR(CETAK!$J$10="",$F724=CETAK!$J$10),OR(CETAK!$J$11="",$G724=CETAK!$J$11),OR(CETAK!$J$12="",$P724=CETAK!$J$12),OR(CETAK!$J$13="",$N724=CETAK!$J$13),OR(CETAK!$J$14="",$T724=CETAK!$J$14)),MAX($AC$3:AC723)+1,""))</f>
        <v/>
      </c>
      <c r="AD724" s="40" t="str">
        <f aca="false">IF($B724="","",IF(AND(OR(ABSENSI!$H$10="",$F724=ABSENSI!$H$10),OR(ABSENSI!$H$11="",$G724=ABSENSI!$H$11),OR(ABSENSI!$H$12="",$P724=ABSENSI!$H$12)),MAX($AD$3:AD723)+1,""))</f>
        <v/>
      </c>
      <c r="AE724" s="40" t="str">
        <f aca="false">IF($B724="","",IF(AND(OR(KARTU!$K$6="",$F724=KARTU!$K$6),OR(KARTU!$K$7="",$G724=KARTU!$K$7),OR(KARTU!$K$8="",$P724=KARTU!$K$8)),MAX($AE$3:AE723)+1,""))</f>
        <v/>
      </c>
    </row>
    <row r="725" customFormat="false" ht="15" hidden="false" customHeight="false" outlineLevel="0" collapsed="false">
      <c r="A725" s="35" t="str">
        <f aca="false">IF($B725="","",COUNTA($B$4:$B725))</f>
        <v/>
      </c>
      <c r="B725" s="36"/>
      <c r="C725" s="37"/>
      <c r="D725" s="37"/>
      <c r="E725" s="38"/>
      <c r="F725" s="36"/>
      <c r="G725" s="39"/>
      <c r="H725" s="39"/>
      <c r="I725" s="36"/>
      <c r="J725" s="36"/>
      <c r="K725" s="36"/>
      <c r="L725" s="36"/>
      <c r="M725" s="40" t="str">
        <f aca="false">IF($F725="","",$F725&amp;IF($G725="",""," - RT "&amp;$G725&amp;IF($H725="","","/"&amp;$H725)))</f>
        <v/>
      </c>
      <c r="N725" s="36"/>
      <c r="O725" s="37"/>
      <c r="P725" s="39"/>
      <c r="Q725" s="41"/>
      <c r="R725" s="35" t="str">
        <f aca="true">IF(OR($B725="",$Q725=""),"",DATEDIF($Q725,TODAY(),"Y"))</f>
        <v/>
      </c>
      <c r="S725" s="40" t="str">
        <f aca="false">IF($R725="","",INDEX(usia_label,MATCH($R725,usia_min,1)))</f>
        <v/>
      </c>
      <c r="T725" s="36"/>
      <c r="U725" s="41"/>
      <c r="V725" s="36"/>
      <c r="W725" s="36"/>
      <c r="X725" s="40" t="str">
        <f aca="false">IF($M725="","",$M725&amp;"#"&amp;COUNTIF($M$4:$M725,$M725))</f>
        <v/>
      </c>
      <c r="Y725" s="40" t="str">
        <f aca="false">IF($B725="","",IF($C725="","NIK kosong",IF(LEN($C725)&lt;&gt;16,"NIK bukan 16 digit",IF(COUNTIF($C$4:$C$2003,$C725&amp;"*")&gt;1,"NIK ganda",IF(AND($D725&lt;&gt;"",LEN($D725)&lt;&gt;16),"No. KK bukan 16 digit",IF(AND($F725="",$I725=""),"Alamat kosong",IF($N725="","Jabatan kosong",IF($O725="","No. HP kosong",IF(AND($R725&lt;&gt;"",$R725&lt;17),"Usia di bawah 17","")))))))))</f>
        <v/>
      </c>
      <c r="Z725" s="40" t="str">
        <f aca="false">IF($B725="","",IF(AND(OR(CARI!$C$5="",ISNUMBER(SEARCH(CARI!$C$5,$B725&amp;" "&amp;$C725&amp;" "&amp;$D725&amp;" "&amp;$O725&amp;" "&amp;$I725&amp;" "&amp;$F725&amp;" "&amp;$J725&amp;" "&amp;$K725&amp;" "&amp;$L725&amp;" "&amp;$V725))),OR(CARI!$C$6="",$F725=CARI!$C$6),OR(CARI!$C$7="",$G725=CARI!$C$7),OR(CARI!$C$8="",$T725=CARI!$C$8)),MAX($Z$3:Z724)+1,""))</f>
        <v/>
      </c>
      <c r="AA725" s="40" t="str">
        <f aca="false">IF($Y725="","",MAX($AA$3:AA724)+1)</f>
        <v/>
      </c>
      <c r="AB725" s="40" t="str">
        <f aca="false">IF($F725="","",$F725&amp;"#"&amp;COUNTIF($F$4:$F725,$F725))</f>
        <v/>
      </c>
      <c r="AC725" s="40" t="str">
        <f aca="false">IF($B725="","",IF(AND(OR(CETAK!$J$10="",$F725=CETAK!$J$10),OR(CETAK!$J$11="",$G725=CETAK!$J$11),OR(CETAK!$J$12="",$P725=CETAK!$J$12),OR(CETAK!$J$13="",$N725=CETAK!$J$13),OR(CETAK!$J$14="",$T725=CETAK!$J$14)),MAX($AC$3:AC724)+1,""))</f>
        <v/>
      </c>
      <c r="AD725" s="40" t="str">
        <f aca="false">IF($B725="","",IF(AND(OR(ABSENSI!$H$10="",$F725=ABSENSI!$H$10),OR(ABSENSI!$H$11="",$G725=ABSENSI!$H$11),OR(ABSENSI!$H$12="",$P725=ABSENSI!$H$12)),MAX($AD$3:AD724)+1,""))</f>
        <v/>
      </c>
      <c r="AE725" s="40" t="str">
        <f aca="false">IF($B725="","",IF(AND(OR(KARTU!$K$6="",$F725=KARTU!$K$6),OR(KARTU!$K$7="",$G725=KARTU!$K$7),OR(KARTU!$K$8="",$P725=KARTU!$K$8)),MAX($AE$3:AE724)+1,""))</f>
        <v/>
      </c>
    </row>
    <row r="726" customFormat="false" ht="15" hidden="false" customHeight="false" outlineLevel="0" collapsed="false">
      <c r="A726" s="35" t="str">
        <f aca="false">IF($B726="","",COUNTA($B$4:$B726))</f>
        <v/>
      </c>
      <c r="B726" s="36"/>
      <c r="C726" s="37"/>
      <c r="D726" s="37"/>
      <c r="E726" s="38"/>
      <c r="F726" s="36"/>
      <c r="G726" s="39"/>
      <c r="H726" s="39"/>
      <c r="I726" s="36"/>
      <c r="J726" s="36"/>
      <c r="K726" s="36"/>
      <c r="L726" s="36"/>
      <c r="M726" s="40" t="str">
        <f aca="false">IF($F726="","",$F726&amp;IF($G726="",""," - RT "&amp;$G726&amp;IF($H726="","","/"&amp;$H726)))</f>
        <v/>
      </c>
      <c r="N726" s="36"/>
      <c r="O726" s="37"/>
      <c r="P726" s="39"/>
      <c r="Q726" s="41"/>
      <c r="R726" s="35" t="str">
        <f aca="true">IF(OR($B726="",$Q726=""),"",DATEDIF($Q726,TODAY(),"Y"))</f>
        <v/>
      </c>
      <c r="S726" s="40" t="str">
        <f aca="false">IF($R726="","",INDEX(usia_label,MATCH($R726,usia_min,1)))</f>
        <v/>
      </c>
      <c r="T726" s="36"/>
      <c r="U726" s="41"/>
      <c r="V726" s="36"/>
      <c r="W726" s="36"/>
      <c r="X726" s="40" t="str">
        <f aca="false">IF($M726="","",$M726&amp;"#"&amp;COUNTIF($M$4:$M726,$M726))</f>
        <v/>
      </c>
      <c r="Y726" s="40" t="str">
        <f aca="false">IF($B726="","",IF($C726="","NIK kosong",IF(LEN($C726)&lt;&gt;16,"NIK bukan 16 digit",IF(COUNTIF($C$4:$C$2003,$C726&amp;"*")&gt;1,"NIK ganda",IF(AND($D726&lt;&gt;"",LEN($D726)&lt;&gt;16),"No. KK bukan 16 digit",IF(AND($F726="",$I726=""),"Alamat kosong",IF($N726="","Jabatan kosong",IF($O726="","No. HP kosong",IF(AND($R726&lt;&gt;"",$R726&lt;17),"Usia di bawah 17","")))))))))</f>
        <v/>
      </c>
      <c r="Z726" s="40" t="str">
        <f aca="false">IF($B726="","",IF(AND(OR(CARI!$C$5="",ISNUMBER(SEARCH(CARI!$C$5,$B726&amp;" "&amp;$C726&amp;" "&amp;$D726&amp;" "&amp;$O726&amp;" "&amp;$I726&amp;" "&amp;$F726&amp;" "&amp;$J726&amp;" "&amp;$K726&amp;" "&amp;$L726&amp;" "&amp;$V726))),OR(CARI!$C$6="",$F726=CARI!$C$6),OR(CARI!$C$7="",$G726=CARI!$C$7),OR(CARI!$C$8="",$T726=CARI!$C$8)),MAX($Z$3:Z725)+1,""))</f>
        <v/>
      </c>
      <c r="AA726" s="40" t="str">
        <f aca="false">IF($Y726="","",MAX($AA$3:AA725)+1)</f>
        <v/>
      </c>
      <c r="AB726" s="40" t="str">
        <f aca="false">IF($F726="","",$F726&amp;"#"&amp;COUNTIF($F$4:$F726,$F726))</f>
        <v/>
      </c>
      <c r="AC726" s="40" t="str">
        <f aca="false">IF($B726="","",IF(AND(OR(CETAK!$J$10="",$F726=CETAK!$J$10),OR(CETAK!$J$11="",$G726=CETAK!$J$11),OR(CETAK!$J$12="",$P726=CETAK!$J$12),OR(CETAK!$J$13="",$N726=CETAK!$J$13),OR(CETAK!$J$14="",$T726=CETAK!$J$14)),MAX($AC$3:AC725)+1,""))</f>
        <v/>
      </c>
      <c r="AD726" s="40" t="str">
        <f aca="false">IF($B726="","",IF(AND(OR(ABSENSI!$H$10="",$F726=ABSENSI!$H$10),OR(ABSENSI!$H$11="",$G726=ABSENSI!$H$11),OR(ABSENSI!$H$12="",$P726=ABSENSI!$H$12)),MAX($AD$3:AD725)+1,""))</f>
        <v/>
      </c>
      <c r="AE726" s="40" t="str">
        <f aca="false">IF($B726="","",IF(AND(OR(KARTU!$K$6="",$F726=KARTU!$K$6),OR(KARTU!$K$7="",$G726=KARTU!$K$7),OR(KARTU!$K$8="",$P726=KARTU!$K$8)),MAX($AE$3:AE725)+1,""))</f>
        <v/>
      </c>
    </row>
    <row r="727" customFormat="false" ht="15" hidden="false" customHeight="false" outlineLevel="0" collapsed="false">
      <c r="A727" s="35" t="str">
        <f aca="false">IF($B727="","",COUNTA($B$4:$B727))</f>
        <v/>
      </c>
      <c r="B727" s="36"/>
      <c r="C727" s="37"/>
      <c r="D727" s="37"/>
      <c r="E727" s="38"/>
      <c r="F727" s="36"/>
      <c r="G727" s="39"/>
      <c r="H727" s="39"/>
      <c r="I727" s="36"/>
      <c r="J727" s="36"/>
      <c r="K727" s="36"/>
      <c r="L727" s="36"/>
      <c r="M727" s="40" t="str">
        <f aca="false">IF($F727="","",$F727&amp;IF($G727="",""," - RT "&amp;$G727&amp;IF($H727="","","/"&amp;$H727)))</f>
        <v/>
      </c>
      <c r="N727" s="36"/>
      <c r="O727" s="37"/>
      <c r="P727" s="39"/>
      <c r="Q727" s="41"/>
      <c r="R727" s="35" t="str">
        <f aca="true">IF(OR($B727="",$Q727=""),"",DATEDIF($Q727,TODAY(),"Y"))</f>
        <v/>
      </c>
      <c r="S727" s="40" t="str">
        <f aca="false">IF($R727="","",INDEX(usia_label,MATCH($R727,usia_min,1)))</f>
        <v/>
      </c>
      <c r="T727" s="36"/>
      <c r="U727" s="41"/>
      <c r="V727" s="36"/>
      <c r="W727" s="36"/>
      <c r="X727" s="40" t="str">
        <f aca="false">IF($M727="","",$M727&amp;"#"&amp;COUNTIF($M$4:$M727,$M727))</f>
        <v/>
      </c>
      <c r="Y727" s="40" t="str">
        <f aca="false">IF($B727="","",IF($C727="","NIK kosong",IF(LEN($C727)&lt;&gt;16,"NIK bukan 16 digit",IF(COUNTIF($C$4:$C$2003,$C727&amp;"*")&gt;1,"NIK ganda",IF(AND($D727&lt;&gt;"",LEN($D727)&lt;&gt;16),"No. KK bukan 16 digit",IF(AND($F727="",$I727=""),"Alamat kosong",IF($N727="","Jabatan kosong",IF($O727="","No. HP kosong",IF(AND($R727&lt;&gt;"",$R727&lt;17),"Usia di bawah 17","")))))))))</f>
        <v/>
      </c>
      <c r="Z727" s="40" t="str">
        <f aca="false">IF($B727="","",IF(AND(OR(CARI!$C$5="",ISNUMBER(SEARCH(CARI!$C$5,$B727&amp;" "&amp;$C727&amp;" "&amp;$D727&amp;" "&amp;$O727&amp;" "&amp;$I727&amp;" "&amp;$F727&amp;" "&amp;$J727&amp;" "&amp;$K727&amp;" "&amp;$L727&amp;" "&amp;$V727))),OR(CARI!$C$6="",$F727=CARI!$C$6),OR(CARI!$C$7="",$G727=CARI!$C$7),OR(CARI!$C$8="",$T727=CARI!$C$8)),MAX($Z$3:Z726)+1,""))</f>
        <v/>
      </c>
      <c r="AA727" s="40" t="str">
        <f aca="false">IF($Y727="","",MAX($AA$3:AA726)+1)</f>
        <v/>
      </c>
      <c r="AB727" s="40" t="str">
        <f aca="false">IF($F727="","",$F727&amp;"#"&amp;COUNTIF($F$4:$F727,$F727))</f>
        <v/>
      </c>
      <c r="AC727" s="40" t="str">
        <f aca="false">IF($B727="","",IF(AND(OR(CETAK!$J$10="",$F727=CETAK!$J$10),OR(CETAK!$J$11="",$G727=CETAK!$J$11),OR(CETAK!$J$12="",$P727=CETAK!$J$12),OR(CETAK!$J$13="",$N727=CETAK!$J$13),OR(CETAK!$J$14="",$T727=CETAK!$J$14)),MAX($AC$3:AC726)+1,""))</f>
        <v/>
      </c>
      <c r="AD727" s="40" t="str">
        <f aca="false">IF($B727="","",IF(AND(OR(ABSENSI!$H$10="",$F727=ABSENSI!$H$10),OR(ABSENSI!$H$11="",$G727=ABSENSI!$H$11),OR(ABSENSI!$H$12="",$P727=ABSENSI!$H$12)),MAX($AD$3:AD726)+1,""))</f>
        <v/>
      </c>
      <c r="AE727" s="40" t="str">
        <f aca="false">IF($B727="","",IF(AND(OR(KARTU!$K$6="",$F727=KARTU!$K$6),OR(KARTU!$K$7="",$G727=KARTU!$K$7),OR(KARTU!$K$8="",$P727=KARTU!$K$8)),MAX($AE$3:AE726)+1,""))</f>
        <v/>
      </c>
    </row>
    <row r="728" customFormat="false" ht="15" hidden="false" customHeight="false" outlineLevel="0" collapsed="false">
      <c r="A728" s="35" t="str">
        <f aca="false">IF($B728="","",COUNTA($B$4:$B728))</f>
        <v/>
      </c>
      <c r="B728" s="36"/>
      <c r="C728" s="37"/>
      <c r="D728" s="37"/>
      <c r="E728" s="38"/>
      <c r="F728" s="36"/>
      <c r="G728" s="39"/>
      <c r="H728" s="39"/>
      <c r="I728" s="36"/>
      <c r="J728" s="36"/>
      <c r="K728" s="36"/>
      <c r="L728" s="36"/>
      <c r="M728" s="40" t="str">
        <f aca="false">IF($F728="","",$F728&amp;IF($G728="",""," - RT "&amp;$G728&amp;IF($H728="","","/"&amp;$H728)))</f>
        <v/>
      </c>
      <c r="N728" s="36"/>
      <c r="O728" s="37"/>
      <c r="P728" s="39"/>
      <c r="Q728" s="41"/>
      <c r="R728" s="35" t="str">
        <f aca="true">IF(OR($B728="",$Q728=""),"",DATEDIF($Q728,TODAY(),"Y"))</f>
        <v/>
      </c>
      <c r="S728" s="40" t="str">
        <f aca="false">IF($R728="","",INDEX(usia_label,MATCH($R728,usia_min,1)))</f>
        <v/>
      </c>
      <c r="T728" s="36"/>
      <c r="U728" s="41"/>
      <c r="V728" s="36"/>
      <c r="W728" s="36"/>
      <c r="X728" s="40" t="str">
        <f aca="false">IF($M728="","",$M728&amp;"#"&amp;COUNTIF($M$4:$M728,$M728))</f>
        <v/>
      </c>
      <c r="Y728" s="40" t="str">
        <f aca="false">IF($B728="","",IF($C728="","NIK kosong",IF(LEN($C728)&lt;&gt;16,"NIK bukan 16 digit",IF(COUNTIF($C$4:$C$2003,$C728&amp;"*")&gt;1,"NIK ganda",IF(AND($D728&lt;&gt;"",LEN($D728)&lt;&gt;16),"No. KK bukan 16 digit",IF(AND($F728="",$I728=""),"Alamat kosong",IF($N728="","Jabatan kosong",IF($O728="","No. HP kosong",IF(AND($R728&lt;&gt;"",$R728&lt;17),"Usia di bawah 17","")))))))))</f>
        <v/>
      </c>
      <c r="Z728" s="40" t="str">
        <f aca="false">IF($B728="","",IF(AND(OR(CARI!$C$5="",ISNUMBER(SEARCH(CARI!$C$5,$B728&amp;" "&amp;$C728&amp;" "&amp;$D728&amp;" "&amp;$O728&amp;" "&amp;$I728&amp;" "&amp;$F728&amp;" "&amp;$J728&amp;" "&amp;$K728&amp;" "&amp;$L728&amp;" "&amp;$V728))),OR(CARI!$C$6="",$F728=CARI!$C$6),OR(CARI!$C$7="",$G728=CARI!$C$7),OR(CARI!$C$8="",$T728=CARI!$C$8)),MAX($Z$3:Z727)+1,""))</f>
        <v/>
      </c>
      <c r="AA728" s="40" t="str">
        <f aca="false">IF($Y728="","",MAX($AA$3:AA727)+1)</f>
        <v/>
      </c>
      <c r="AB728" s="40" t="str">
        <f aca="false">IF($F728="","",$F728&amp;"#"&amp;COUNTIF($F$4:$F728,$F728))</f>
        <v/>
      </c>
      <c r="AC728" s="40" t="str">
        <f aca="false">IF($B728="","",IF(AND(OR(CETAK!$J$10="",$F728=CETAK!$J$10),OR(CETAK!$J$11="",$G728=CETAK!$J$11),OR(CETAK!$J$12="",$P728=CETAK!$J$12),OR(CETAK!$J$13="",$N728=CETAK!$J$13),OR(CETAK!$J$14="",$T728=CETAK!$J$14)),MAX($AC$3:AC727)+1,""))</f>
        <v/>
      </c>
      <c r="AD728" s="40" t="str">
        <f aca="false">IF($B728="","",IF(AND(OR(ABSENSI!$H$10="",$F728=ABSENSI!$H$10),OR(ABSENSI!$H$11="",$G728=ABSENSI!$H$11),OR(ABSENSI!$H$12="",$P728=ABSENSI!$H$12)),MAX($AD$3:AD727)+1,""))</f>
        <v/>
      </c>
      <c r="AE728" s="40" t="str">
        <f aca="false">IF($B728="","",IF(AND(OR(KARTU!$K$6="",$F728=KARTU!$K$6),OR(KARTU!$K$7="",$G728=KARTU!$K$7),OR(KARTU!$K$8="",$P728=KARTU!$K$8)),MAX($AE$3:AE727)+1,""))</f>
        <v/>
      </c>
    </row>
    <row r="729" customFormat="false" ht="15" hidden="false" customHeight="false" outlineLevel="0" collapsed="false">
      <c r="A729" s="35" t="str">
        <f aca="false">IF($B729="","",COUNTA($B$4:$B729))</f>
        <v/>
      </c>
      <c r="B729" s="36"/>
      <c r="C729" s="37"/>
      <c r="D729" s="37"/>
      <c r="E729" s="38"/>
      <c r="F729" s="36"/>
      <c r="G729" s="39"/>
      <c r="H729" s="39"/>
      <c r="I729" s="36"/>
      <c r="J729" s="36"/>
      <c r="K729" s="36"/>
      <c r="L729" s="36"/>
      <c r="M729" s="40" t="str">
        <f aca="false">IF($F729="","",$F729&amp;IF($G729="",""," - RT "&amp;$G729&amp;IF($H729="","","/"&amp;$H729)))</f>
        <v/>
      </c>
      <c r="N729" s="36"/>
      <c r="O729" s="37"/>
      <c r="P729" s="39"/>
      <c r="Q729" s="41"/>
      <c r="R729" s="35" t="str">
        <f aca="true">IF(OR($B729="",$Q729=""),"",DATEDIF($Q729,TODAY(),"Y"))</f>
        <v/>
      </c>
      <c r="S729" s="40" t="str">
        <f aca="false">IF($R729="","",INDEX(usia_label,MATCH($R729,usia_min,1)))</f>
        <v/>
      </c>
      <c r="T729" s="36"/>
      <c r="U729" s="41"/>
      <c r="V729" s="36"/>
      <c r="W729" s="36"/>
      <c r="X729" s="40" t="str">
        <f aca="false">IF($M729="","",$M729&amp;"#"&amp;COUNTIF($M$4:$M729,$M729))</f>
        <v/>
      </c>
      <c r="Y729" s="40" t="str">
        <f aca="false">IF($B729="","",IF($C729="","NIK kosong",IF(LEN($C729)&lt;&gt;16,"NIK bukan 16 digit",IF(COUNTIF($C$4:$C$2003,$C729&amp;"*")&gt;1,"NIK ganda",IF(AND($D729&lt;&gt;"",LEN($D729)&lt;&gt;16),"No. KK bukan 16 digit",IF(AND($F729="",$I729=""),"Alamat kosong",IF($N729="","Jabatan kosong",IF($O729="","No. HP kosong",IF(AND($R729&lt;&gt;"",$R729&lt;17),"Usia di bawah 17","")))))))))</f>
        <v/>
      </c>
      <c r="Z729" s="40" t="str">
        <f aca="false">IF($B729="","",IF(AND(OR(CARI!$C$5="",ISNUMBER(SEARCH(CARI!$C$5,$B729&amp;" "&amp;$C729&amp;" "&amp;$D729&amp;" "&amp;$O729&amp;" "&amp;$I729&amp;" "&amp;$F729&amp;" "&amp;$J729&amp;" "&amp;$K729&amp;" "&amp;$L729&amp;" "&amp;$V729))),OR(CARI!$C$6="",$F729=CARI!$C$6),OR(CARI!$C$7="",$G729=CARI!$C$7),OR(CARI!$C$8="",$T729=CARI!$C$8)),MAX($Z$3:Z728)+1,""))</f>
        <v/>
      </c>
      <c r="AA729" s="40" t="str">
        <f aca="false">IF($Y729="","",MAX($AA$3:AA728)+1)</f>
        <v/>
      </c>
      <c r="AB729" s="40" t="str">
        <f aca="false">IF($F729="","",$F729&amp;"#"&amp;COUNTIF($F$4:$F729,$F729))</f>
        <v/>
      </c>
      <c r="AC729" s="40" t="str">
        <f aca="false">IF($B729="","",IF(AND(OR(CETAK!$J$10="",$F729=CETAK!$J$10),OR(CETAK!$J$11="",$G729=CETAK!$J$11),OR(CETAK!$J$12="",$P729=CETAK!$J$12),OR(CETAK!$J$13="",$N729=CETAK!$J$13),OR(CETAK!$J$14="",$T729=CETAK!$J$14)),MAX($AC$3:AC728)+1,""))</f>
        <v/>
      </c>
      <c r="AD729" s="40" t="str">
        <f aca="false">IF($B729="","",IF(AND(OR(ABSENSI!$H$10="",$F729=ABSENSI!$H$10),OR(ABSENSI!$H$11="",$G729=ABSENSI!$H$11),OR(ABSENSI!$H$12="",$P729=ABSENSI!$H$12)),MAX($AD$3:AD728)+1,""))</f>
        <v/>
      </c>
      <c r="AE729" s="40" t="str">
        <f aca="false">IF($B729="","",IF(AND(OR(KARTU!$K$6="",$F729=KARTU!$K$6),OR(KARTU!$K$7="",$G729=KARTU!$K$7),OR(KARTU!$K$8="",$P729=KARTU!$K$8)),MAX($AE$3:AE728)+1,""))</f>
        <v/>
      </c>
    </row>
    <row r="730" customFormat="false" ht="15" hidden="false" customHeight="false" outlineLevel="0" collapsed="false">
      <c r="A730" s="35" t="str">
        <f aca="false">IF($B730="","",COUNTA($B$4:$B730))</f>
        <v/>
      </c>
      <c r="B730" s="36"/>
      <c r="C730" s="37"/>
      <c r="D730" s="37"/>
      <c r="E730" s="38"/>
      <c r="F730" s="36"/>
      <c r="G730" s="39"/>
      <c r="H730" s="39"/>
      <c r="I730" s="36"/>
      <c r="J730" s="36"/>
      <c r="K730" s="36"/>
      <c r="L730" s="36"/>
      <c r="M730" s="40" t="str">
        <f aca="false">IF($F730="","",$F730&amp;IF($G730="",""," - RT "&amp;$G730&amp;IF($H730="","","/"&amp;$H730)))</f>
        <v/>
      </c>
      <c r="N730" s="36"/>
      <c r="O730" s="37"/>
      <c r="P730" s="39"/>
      <c r="Q730" s="41"/>
      <c r="R730" s="35" t="str">
        <f aca="true">IF(OR($B730="",$Q730=""),"",DATEDIF($Q730,TODAY(),"Y"))</f>
        <v/>
      </c>
      <c r="S730" s="40" t="str">
        <f aca="false">IF($R730="","",INDEX(usia_label,MATCH($R730,usia_min,1)))</f>
        <v/>
      </c>
      <c r="T730" s="36"/>
      <c r="U730" s="41"/>
      <c r="V730" s="36"/>
      <c r="W730" s="36"/>
      <c r="X730" s="40" t="str">
        <f aca="false">IF($M730="","",$M730&amp;"#"&amp;COUNTIF($M$4:$M730,$M730))</f>
        <v/>
      </c>
      <c r="Y730" s="40" t="str">
        <f aca="false">IF($B730="","",IF($C730="","NIK kosong",IF(LEN($C730)&lt;&gt;16,"NIK bukan 16 digit",IF(COUNTIF($C$4:$C$2003,$C730&amp;"*")&gt;1,"NIK ganda",IF(AND($D730&lt;&gt;"",LEN($D730)&lt;&gt;16),"No. KK bukan 16 digit",IF(AND($F730="",$I730=""),"Alamat kosong",IF($N730="","Jabatan kosong",IF($O730="","No. HP kosong",IF(AND($R730&lt;&gt;"",$R730&lt;17),"Usia di bawah 17","")))))))))</f>
        <v/>
      </c>
      <c r="Z730" s="40" t="str">
        <f aca="false">IF($B730="","",IF(AND(OR(CARI!$C$5="",ISNUMBER(SEARCH(CARI!$C$5,$B730&amp;" "&amp;$C730&amp;" "&amp;$D730&amp;" "&amp;$O730&amp;" "&amp;$I730&amp;" "&amp;$F730&amp;" "&amp;$J730&amp;" "&amp;$K730&amp;" "&amp;$L730&amp;" "&amp;$V730))),OR(CARI!$C$6="",$F730=CARI!$C$6),OR(CARI!$C$7="",$G730=CARI!$C$7),OR(CARI!$C$8="",$T730=CARI!$C$8)),MAX($Z$3:Z729)+1,""))</f>
        <v/>
      </c>
      <c r="AA730" s="40" t="str">
        <f aca="false">IF($Y730="","",MAX($AA$3:AA729)+1)</f>
        <v/>
      </c>
      <c r="AB730" s="40" t="str">
        <f aca="false">IF($F730="","",$F730&amp;"#"&amp;COUNTIF($F$4:$F730,$F730))</f>
        <v/>
      </c>
      <c r="AC730" s="40" t="str">
        <f aca="false">IF($B730="","",IF(AND(OR(CETAK!$J$10="",$F730=CETAK!$J$10),OR(CETAK!$J$11="",$G730=CETAK!$J$11),OR(CETAK!$J$12="",$P730=CETAK!$J$12),OR(CETAK!$J$13="",$N730=CETAK!$J$13),OR(CETAK!$J$14="",$T730=CETAK!$J$14)),MAX($AC$3:AC729)+1,""))</f>
        <v/>
      </c>
      <c r="AD730" s="40" t="str">
        <f aca="false">IF($B730="","",IF(AND(OR(ABSENSI!$H$10="",$F730=ABSENSI!$H$10),OR(ABSENSI!$H$11="",$G730=ABSENSI!$H$11),OR(ABSENSI!$H$12="",$P730=ABSENSI!$H$12)),MAX($AD$3:AD729)+1,""))</f>
        <v/>
      </c>
      <c r="AE730" s="40" t="str">
        <f aca="false">IF($B730="","",IF(AND(OR(KARTU!$K$6="",$F730=KARTU!$K$6),OR(KARTU!$K$7="",$G730=KARTU!$K$7),OR(KARTU!$K$8="",$P730=KARTU!$K$8)),MAX($AE$3:AE729)+1,""))</f>
        <v/>
      </c>
    </row>
    <row r="731" customFormat="false" ht="15" hidden="false" customHeight="false" outlineLevel="0" collapsed="false">
      <c r="A731" s="35" t="str">
        <f aca="false">IF($B731="","",COUNTA($B$4:$B731))</f>
        <v/>
      </c>
      <c r="B731" s="36"/>
      <c r="C731" s="37"/>
      <c r="D731" s="37"/>
      <c r="E731" s="38"/>
      <c r="F731" s="36"/>
      <c r="G731" s="39"/>
      <c r="H731" s="39"/>
      <c r="I731" s="36"/>
      <c r="J731" s="36"/>
      <c r="K731" s="36"/>
      <c r="L731" s="36"/>
      <c r="M731" s="40" t="str">
        <f aca="false">IF($F731="","",$F731&amp;IF($G731="",""," - RT "&amp;$G731&amp;IF($H731="","","/"&amp;$H731)))</f>
        <v/>
      </c>
      <c r="N731" s="36"/>
      <c r="O731" s="37"/>
      <c r="P731" s="39"/>
      <c r="Q731" s="41"/>
      <c r="R731" s="35" t="str">
        <f aca="true">IF(OR($B731="",$Q731=""),"",DATEDIF($Q731,TODAY(),"Y"))</f>
        <v/>
      </c>
      <c r="S731" s="40" t="str">
        <f aca="false">IF($R731="","",INDEX(usia_label,MATCH($R731,usia_min,1)))</f>
        <v/>
      </c>
      <c r="T731" s="36"/>
      <c r="U731" s="41"/>
      <c r="V731" s="36"/>
      <c r="W731" s="36"/>
      <c r="X731" s="40" t="str">
        <f aca="false">IF($M731="","",$M731&amp;"#"&amp;COUNTIF($M$4:$M731,$M731))</f>
        <v/>
      </c>
      <c r="Y731" s="40" t="str">
        <f aca="false">IF($B731="","",IF($C731="","NIK kosong",IF(LEN($C731)&lt;&gt;16,"NIK bukan 16 digit",IF(COUNTIF($C$4:$C$2003,$C731&amp;"*")&gt;1,"NIK ganda",IF(AND($D731&lt;&gt;"",LEN($D731)&lt;&gt;16),"No. KK bukan 16 digit",IF(AND($F731="",$I731=""),"Alamat kosong",IF($N731="","Jabatan kosong",IF($O731="","No. HP kosong",IF(AND($R731&lt;&gt;"",$R731&lt;17),"Usia di bawah 17","")))))))))</f>
        <v/>
      </c>
      <c r="Z731" s="40" t="str">
        <f aca="false">IF($B731="","",IF(AND(OR(CARI!$C$5="",ISNUMBER(SEARCH(CARI!$C$5,$B731&amp;" "&amp;$C731&amp;" "&amp;$D731&amp;" "&amp;$O731&amp;" "&amp;$I731&amp;" "&amp;$F731&amp;" "&amp;$J731&amp;" "&amp;$K731&amp;" "&amp;$L731&amp;" "&amp;$V731))),OR(CARI!$C$6="",$F731=CARI!$C$6),OR(CARI!$C$7="",$G731=CARI!$C$7),OR(CARI!$C$8="",$T731=CARI!$C$8)),MAX($Z$3:Z730)+1,""))</f>
        <v/>
      </c>
      <c r="AA731" s="40" t="str">
        <f aca="false">IF($Y731="","",MAX($AA$3:AA730)+1)</f>
        <v/>
      </c>
      <c r="AB731" s="40" t="str">
        <f aca="false">IF($F731="","",$F731&amp;"#"&amp;COUNTIF($F$4:$F731,$F731))</f>
        <v/>
      </c>
      <c r="AC731" s="40" t="str">
        <f aca="false">IF($B731="","",IF(AND(OR(CETAK!$J$10="",$F731=CETAK!$J$10),OR(CETAK!$J$11="",$G731=CETAK!$J$11),OR(CETAK!$J$12="",$P731=CETAK!$J$12),OR(CETAK!$J$13="",$N731=CETAK!$J$13),OR(CETAK!$J$14="",$T731=CETAK!$J$14)),MAX($AC$3:AC730)+1,""))</f>
        <v/>
      </c>
      <c r="AD731" s="40" t="str">
        <f aca="false">IF($B731="","",IF(AND(OR(ABSENSI!$H$10="",$F731=ABSENSI!$H$10),OR(ABSENSI!$H$11="",$G731=ABSENSI!$H$11),OR(ABSENSI!$H$12="",$P731=ABSENSI!$H$12)),MAX($AD$3:AD730)+1,""))</f>
        <v/>
      </c>
      <c r="AE731" s="40" t="str">
        <f aca="false">IF($B731="","",IF(AND(OR(KARTU!$K$6="",$F731=KARTU!$K$6),OR(KARTU!$K$7="",$G731=KARTU!$K$7),OR(KARTU!$K$8="",$P731=KARTU!$K$8)),MAX($AE$3:AE730)+1,""))</f>
        <v/>
      </c>
    </row>
    <row r="732" customFormat="false" ht="15" hidden="false" customHeight="false" outlineLevel="0" collapsed="false">
      <c r="A732" s="35" t="str">
        <f aca="false">IF($B732="","",COUNTA($B$4:$B732))</f>
        <v/>
      </c>
      <c r="B732" s="36"/>
      <c r="C732" s="37"/>
      <c r="D732" s="37"/>
      <c r="E732" s="38"/>
      <c r="F732" s="36"/>
      <c r="G732" s="39"/>
      <c r="H732" s="39"/>
      <c r="I732" s="36"/>
      <c r="J732" s="36"/>
      <c r="K732" s="36"/>
      <c r="L732" s="36"/>
      <c r="M732" s="40" t="str">
        <f aca="false">IF($F732="","",$F732&amp;IF($G732="",""," - RT "&amp;$G732&amp;IF($H732="","","/"&amp;$H732)))</f>
        <v/>
      </c>
      <c r="N732" s="36"/>
      <c r="O732" s="37"/>
      <c r="P732" s="39"/>
      <c r="Q732" s="41"/>
      <c r="R732" s="35" t="str">
        <f aca="true">IF(OR($B732="",$Q732=""),"",DATEDIF($Q732,TODAY(),"Y"))</f>
        <v/>
      </c>
      <c r="S732" s="40" t="str">
        <f aca="false">IF($R732="","",INDEX(usia_label,MATCH($R732,usia_min,1)))</f>
        <v/>
      </c>
      <c r="T732" s="36"/>
      <c r="U732" s="41"/>
      <c r="V732" s="36"/>
      <c r="W732" s="36"/>
      <c r="X732" s="40" t="str">
        <f aca="false">IF($M732="","",$M732&amp;"#"&amp;COUNTIF($M$4:$M732,$M732))</f>
        <v/>
      </c>
      <c r="Y732" s="40" t="str">
        <f aca="false">IF($B732="","",IF($C732="","NIK kosong",IF(LEN($C732)&lt;&gt;16,"NIK bukan 16 digit",IF(COUNTIF($C$4:$C$2003,$C732&amp;"*")&gt;1,"NIK ganda",IF(AND($D732&lt;&gt;"",LEN($D732)&lt;&gt;16),"No. KK bukan 16 digit",IF(AND($F732="",$I732=""),"Alamat kosong",IF($N732="","Jabatan kosong",IF($O732="","No. HP kosong",IF(AND($R732&lt;&gt;"",$R732&lt;17),"Usia di bawah 17","")))))))))</f>
        <v/>
      </c>
      <c r="Z732" s="40" t="str">
        <f aca="false">IF($B732="","",IF(AND(OR(CARI!$C$5="",ISNUMBER(SEARCH(CARI!$C$5,$B732&amp;" "&amp;$C732&amp;" "&amp;$D732&amp;" "&amp;$O732&amp;" "&amp;$I732&amp;" "&amp;$F732&amp;" "&amp;$J732&amp;" "&amp;$K732&amp;" "&amp;$L732&amp;" "&amp;$V732))),OR(CARI!$C$6="",$F732=CARI!$C$6),OR(CARI!$C$7="",$G732=CARI!$C$7),OR(CARI!$C$8="",$T732=CARI!$C$8)),MAX($Z$3:Z731)+1,""))</f>
        <v/>
      </c>
      <c r="AA732" s="40" t="str">
        <f aca="false">IF($Y732="","",MAX($AA$3:AA731)+1)</f>
        <v/>
      </c>
      <c r="AB732" s="40" t="str">
        <f aca="false">IF($F732="","",$F732&amp;"#"&amp;COUNTIF($F$4:$F732,$F732))</f>
        <v/>
      </c>
      <c r="AC732" s="40" t="str">
        <f aca="false">IF($B732="","",IF(AND(OR(CETAK!$J$10="",$F732=CETAK!$J$10),OR(CETAK!$J$11="",$G732=CETAK!$J$11),OR(CETAK!$J$12="",$P732=CETAK!$J$12),OR(CETAK!$J$13="",$N732=CETAK!$J$13),OR(CETAK!$J$14="",$T732=CETAK!$J$14)),MAX($AC$3:AC731)+1,""))</f>
        <v/>
      </c>
      <c r="AD732" s="40" t="str">
        <f aca="false">IF($B732="","",IF(AND(OR(ABSENSI!$H$10="",$F732=ABSENSI!$H$10),OR(ABSENSI!$H$11="",$G732=ABSENSI!$H$11),OR(ABSENSI!$H$12="",$P732=ABSENSI!$H$12)),MAX($AD$3:AD731)+1,""))</f>
        <v/>
      </c>
      <c r="AE732" s="40" t="str">
        <f aca="false">IF($B732="","",IF(AND(OR(KARTU!$K$6="",$F732=KARTU!$K$6),OR(KARTU!$K$7="",$G732=KARTU!$K$7),OR(KARTU!$K$8="",$P732=KARTU!$K$8)),MAX($AE$3:AE731)+1,""))</f>
        <v/>
      </c>
    </row>
    <row r="733" customFormat="false" ht="15" hidden="false" customHeight="false" outlineLevel="0" collapsed="false">
      <c r="A733" s="35" t="str">
        <f aca="false">IF($B733="","",COUNTA($B$4:$B733))</f>
        <v/>
      </c>
      <c r="B733" s="36"/>
      <c r="C733" s="37"/>
      <c r="D733" s="37"/>
      <c r="E733" s="38"/>
      <c r="F733" s="36"/>
      <c r="G733" s="39"/>
      <c r="H733" s="39"/>
      <c r="I733" s="36"/>
      <c r="J733" s="36"/>
      <c r="K733" s="36"/>
      <c r="L733" s="36"/>
      <c r="M733" s="40" t="str">
        <f aca="false">IF($F733="","",$F733&amp;IF($G733="",""," - RT "&amp;$G733&amp;IF($H733="","","/"&amp;$H733)))</f>
        <v/>
      </c>
      <c r="N733" s="36"/>
      <c r="O733" s="37"/>
      <c r="P733" s="39"/>
      <c r="Q733" s="41"/>
      <c r="R733" s="35" t="str">
        <f aca="true">IF(OR($B733="",$Q733=""),"",DATEDIF($Q733,TODAY(),"Y"))</f>
        <v/>
      </c>
      <c r="S733" s="40" t="str">
        <f aca="false">IF($R733="","",INDEX(usia_label,MATCH($R733,usia_min,1)))</f>
        <v/>
      </c>
      <c r="T733" s="36"/>
      <c r="U733" s="41"/>
      <c r="V733" s="36"/>
      <c r="W733" s="36"/>
      <c r="X733" s="40" t="str">
        <f aca="false">IF($M733="","",$M733&amp;"#"&amp;COUNTIF($M$4:$M733,$M733))</f>
        <v/>
      </c>
      <c r="Y733" s="40" t="str">
        <f aca="false">IF($B733="","",IF($C733="","NIK kosong",IF(LEN($C733)&lt;&gt;16,"NIK bukan 16 digit",IF(COUNTIF($C$4:$C$2003,$C733&amp;"*")&gt;1,"NIK ganda",IF(AND($D733&lt;&gt;"",LEN($D733)&lt;&gt;16),"No. KK bukan 16 digit",IF(AND($F733="",$I733=""),"Alamat kosong",IF($N733="","Jabatan kosong",IF($O733="","No. HP kosong",IF(AND($R733&lt;&gt;"",$R733&lt;17),"Usia di bawah 17","")))))))))</f>
        <v/>
      </c>
      <c r="Z733" s="40" t="str">
        <f aca="false">IF($B733="","",IF(AND(OR(CARI!$C$5="",ISNUMBER(SEARCH(CARI!$C$5,$B733&amp;" "&amp;$C733&amp;" "&amp;$D733&amp;" "&amp;$O733&amp;" "&amp;$I733&amp;" "&amp;$F733&amp;" "&amp;$J733&amp;" "&amp;$K733&amp;" "&amp;$L733&amp;" "&amp;$V733))),OR(CARI!$C$6="",$F733=CARI!$C$6),OR(CARI!$C$7="",$G733=CARI!$C$7),OR(CARI!$C$8="",$T733=CARI!$C$8)),MAX($Z$3:Z732)+1,""))</f>
        <v/>
      </c>
      <c r="AA733" s="40" t="str">
        <f aca="false">IF($Y733="","",MAX($AA$3:AA732)+1)</f>
        <v/>
      </c>
      <c r="AB733" s="40" t="str">
        <f aca="false">IF($F733="","",$F733&amp;"#"&amp;COUNTIF($F$4:$F733,$F733))</f>
        <v/>
      </c>
      <c r="AC733" s="40" t="str">
        <f aca="false">IF($B733="","",IF(AND(OR(CETAK!$J$10="",$F733=CETAK!$J$10),OR(CETAK!$J$11="",$G733=CETAK!$J$11),OR(CETAK!$J$12="",$P733=CETAK!$J$12),OR(CETAK!$J$13="",$N733=CETAK!$J$13),OR(CETAK!$J$14="",$T733=CETAK!$J$14)),MAX($AC$3:AC732)+1,""))</f>
        <v/>
      </c>
      <c r="AD733" s="40" t="str">
        <f aca="false">IF($B733="","",IF(AND(OR(ABSENSI!$H$10="",$F733=ABSENSI!$H$10),OR(ABSENSI!$H$11="",$G733=ABSENSI!$H$11),OR(ABSENSI!$H$12="",$P733=ABSENSI!$H$12)),MAX($AD$3:AD732)+1,""))</f>
        <v/>
      </c>
      <c r="AE733" s="40" t="str">
        <f aca="false">IF($B733="","",IF(AND(OR(KARTU!$K$6="",$F733=KARTU!$K$6),OR(KARTU!$K$7="",$G733=KARTU!$K$7),OR(KARTU!$K$8="",$P733=KARTU!$K$8)),MAX($AE$3:AE732)+1,""))</f>
        <v/>
      </c>
    </row>
    <row r="734" customFormat="false" ht="15" hidden="false" customHeight="false" outlineLevel="0" collapsed="false">
      <c r="A734" s="35" t="str">
        <f aca="false">IF($B734="","",COUNTA($B$4:$B734))</f>
        <v/>
      </c>
      <c r="B734" s="36"/>
      <c r="C734" s="37"/>
      <c r="D734" s="37"/>
      <c r="E734" s="38"/>
      <c r="F734" s="36"/>
      <c r="G734" s="39"/>
      <c r="H734" s="39"/>
      <c r="I734" s="36"/>
      <c r="J734" s="36"/>
      <c r="K734" s="36"/>
      <c r="L734" s="36"/>
      <c r="M734" s="40" t="str">
        <f aca="false">IF($F734="","",$F734&amp;IF($G734="",""," - RT "&amp;$G734&amp;IF($H734="","","/"&amp;$H734)))</f>
        <v/>
      </c>
      <c r="N734" s="36"/>
      <c r="O734" s="37"/>
      <c r="P734" s="39"/>
      <c r="Q734" s="41"/>
      <c r="R734" s="35" t="str">
        <f aca="true">IF(OR($B734="",$Q734=""),"",DATEDIF($Q734,TODAY(),"Y"))</f>
        <v/>
      </c>
      <c r="S734" s="40" t="str">
        <f aca="false">IF($R734="","",INDEX(usia_label,MATCH($R734,usia_min,1)))</f>
        <v/>
      </c>
      <c r="T734" s="36"/>
      <c r="U734" s="41"/>
      <c r="V734" s="36"/>
      <c r="W734" s="36"/>
      <c r="X734" s="40" t="str">
        <f aca="false">IF($M734="","",$M734&amp;"#"&amp;COUNTIF($M$4:$M734,$M734))</f>
        <v/>
      </c>
      <c r="Y734" s="40" t="str">
        <f aca="false">IF($B734="","",IF($C734="","NIK kosong",IF(LEN($C734)&lt;&gt;16,"NIK bukan 16 digit",IF(COUNTIF($C$4:$C$2003,$C734&amp;"*")&gt;1,"NIK ganda",IF(AND($D734&lt;&gt;"",LEN($D734)&lt;&gt;16),"No. KK bukan 16 digit",IF(AND($F734="",$I734=""),"Alamat kosong",IF($N734="","Jabatan kosong",IF($O734="","No. HP kosong",IF(AND($R734&lt;&gt;"",$R734&lt;17),"Usia di bawah 17","")))))))))</f>
        <v/>
      </c>
      <c r="Z734" s="40" t="str">
        <f aca="false">IF($B734="","",IF(AND(OR(CARI!$C$5="",ISNUMBER(SEARCH(CARI!$C$5,$B734&amp;" "&amp;$C734&amp;" "&amp;$D734&amp;" "&amp;$O734&amp;" "&amp;$I734&amp;" "&amp;$F734&amp;" "&amp;$J734&amp;" "&amp;$K734&amp;" "&amp;$L734&amp;" "&amp;$V734))),OR(CARI!$C$6="",$F734=CARI!$C$6),OR(CARI!$C$7="",$G734=CARI!$C$7),OR(CARI!$C$8="",$T734=CARI!$C$8)),MAX($Z$3:Z733)+1,""))</f>
        <v/>
      </c>
      <c r="AA734" s="40" t="str">
        <f aca="false">IF($Y734="","",MAX($AA$3:AA733)+1)</f>
        <v/>
      </c>
      <c r="AB734" s="40" t="str">
        <f aca="false">IF($F734="","",$F734&amp;"#"&amp;COUNTIF($F$4:$F734,$F734))</f>
        <v/>
      </c>
      <c r="AC734" s="40" t="str">
        <f aca="false">IF($B734="","",IF(AND(OR(CETAK!$J$10="",$F734=CETAK!$J$10),OR(CETAK!$J$11="",$G734=CETAK!$J$11),OR(CETAK!$J$12="",$P734=CETAK!$J$12),OR(CETAK!$J$13="",$N734=CETAK!$J$13),OR(CETAK!$J$14="",$T734=CETAK!$J$14)),MAX($AC$3:AC733)+1,""))</f>
        <v/>
      </c>
      <c r="AD734" s="40" t="str">
        <f aca="false">IF($B734="","",IF(AND(OR(ABSENSI!$H$10="",$F734=ABSENSI!$H$10),OR(ABSENSI!$H$11="",$G734=ABSENSI!$H$11),OR(ABSENSI!$H$12="",$P734=ABSENSI!$H$12)),MAX($AD$3:AD733)+1,""))</f>
        <v/>
      </c>
      <c r="AE734" s="40" t="str">
        <f aca="false">IF($B734="","",IF(AND(OR(KARTU!$K$6="",$F734=KARTU!$K$6),OR(KARTU!$K$7="",$G734=KARTU!$K$7),OR(KARTU!$K$8="",$P734=KARTU!$K$8)),MAX($AE$3:AE733)+1,""))</f>
        <v/>
      </c>
    </row>
    <row r="735" customFormat="false" ht="15" hidden="false" customHeight="false" outlineLevel="0" collapsed="false">
      <c r="A735" s="35" t="str">
        <f aca="false">IF($B735="","",COUNTA($B$4:$B735))</f>
        <v/>
      </c>
      <c r="B735" s="36"/>
      <c r="C735" s="37"/>
      <c r="D735" s="37"/>
      <c r="E735" s="38"/>
      <c r="F735" s="36"/>
      <c r="G735" s="39"/>
      <c r="H735" s="39"/>
      <c r="I735" s="36"/>
      <c r="J735" s="36"/>
      <c r="K735" s="36"/>
      <c r="L735" s="36"/>
      <c r="M735" s="40" t="str">
        <f aca="false">IF($F735="","",$F735&amp;IF($G735="",""," - RT "&amp;$G735&amp;IF($H735="","","/"&amp;$H735)))</f>
        <v/>
      </c>
      <c r="N735" s="36"/>
      <c r="O735" s="37"/>
      <c r="P735" s="39"/>
      <c r="Q735" s="41"/>
      <c r="R735" s="35" t="str">
        <f aca="true">IF(OR($B735="",$Q735=""),"",DATEDIF($Q735,TODAY(),"Y"))</f>
        <v/>
      </c>
      <c r="S735" s="40" t="str">
        <f aca="false">IF($R735="","",INDEX(usia_label,MATCH($R735,usia_min,1)))</f>
        <v/>
      </c>
      <c r="T735" s="36"/>
      <c r="U735" s="41"/>
      <c r="V735" s="36"/>
      <c r="W735" s="36"/>
      <c r="X735" s="40" t="str">
        <f aca="false">IF($M735="","",$M735&amp;"#"&amp;COUNTIF($M$4:$M735,$M735))</f>
        <v/>
      </c>
      <c r="Y735" s="40" t="str">
        <f aca="false">IF($B735="","",IF($C735="","NIK kosong",IF(LEN($C735)&lt;&gt;16,"NIK bukan 16 digit",IF(COUNTIF($C$4:$C$2003,$C735&amp;"*")&gt;1,"NIK ganda",IF(AND($D735&lt;&gt;"",LEN($D735)&lt;&gt;16),"No. KK bukan 16 digit",IF(AND($F735="",$I735=""),"Alamat kosong",IF($N735="","Jabatan kosong",IF($O735="","No. HP kosong",IF(AND($R735&lt;&gt;"",$R735&lt;17),"Usia di bawah 17","")))))))))</f>
        <v/>
      </c>
      <c r="Z735" s="40" t="str">
        <f aca="false">IF($B735="","",IF(AND(OR(CARI!$C$5="",ISNUMBER(SEARCH(CARI!$C$5,$B735&amp;" "&amp;$C735&amp;" "&amp;$D735&amp;" "&amp;$O735&amp;" "&amp;$I735&amp;" "&amp;$F735&amp;" "&amp;$J735&amp;" "&amp;$K735&amp;" "&amp;$L735&amp;" "&amp;$V735))),OR(CARI!$C$6="",$F735=CARI!$C$6),OR(CARI!$C$7="",$G735=CARI!$C$7),OR(CARI!$C$8="",$T735=CARI!$C$8)),MAX($Z$3:Z734)+1,""))</f>
        <v/>
      </c>
      <c r="AA735" s="40" t="str">
        <f aca="false">IF($Y735="","",MAX($AA$3:AA734)+1)</f>
        <v/>
      </c>
      <c r="AB735" s="40" t="str">
        <f aca="false">IF($F735="","",$F735&amp;"#"&amp;COUNTIF($F$4:$F735,$F735))</f>
        <v/>
      </c>
      <c r="AC735" s="40" t="str">
        <f aca="false">IF($B735="","",IF(AND(OR(CETAK!$J$10="",$F735=CETAK!$J$10),OR(CETAK!$J$11="",$G735=CETAK!$J$11),OR(CETAK!$J$12="",$P735=CETAK!$J$12),OR(CETAK!$J$13="",$N735=CETAK!$J$13),OR(CETAK!$J$14="",$T735=CETAK!$J$14)),MAX($AC$3:AC734)+1,""))</f>
        <v/>
      </c>
      <c r="AD735" s="40" t="str">
        <f aca="false">IF($B735="","",IF(AND(OR(ABSENSI!$H$10="",$F735=ABSENSI!$H$10),OR(ABSENSI!$H$11="",$G735=ABSENSI!$H$11),OR(ABSENSI!$H$12="",$P735=ABSENSI!$H$12)),MAX($AD$3:AD734)+1,""))</f>
        <v/>
      </c>
      <c r="AE735" s="40" t="str">
        <f aca="false">IF($B735="","",IF(AND(OR(KARTU!$K$6="",$F735=KARTU!$K$6),OR(KARTU!$K$7="",$G735=KARTU!$K$7),OR(KARTU!$K$8="",$P735=KARTU!$K$8)),MAX($AE$3:AE734)+1,""))</f>
        <v/>
      </c>
    </row>
    <row r="736" customFormat="false" ht="15" hidden="false" customHeight="false" outlineLevel="0" collapsed="false">
      <c r="A736" s="35" t="str">
        <f aca="false">IF($B736="","",COUNTA($B$4:$B736))</f>
        <v/>
      </c>
      <c r="B736" s="36"/>
      <c r="C736" s="37"/>
      <c r="D736" s="37"/>
      <c r="E736" s="38"/>
      <c r="F736" s="36"/>
      <c r="G736" s="39"/>
      <c r="H736" s="39"/>
      <c r="I736" s="36"/>
      <c r="J736" s="36"/>
      <c r="K736" s="36"/>
      <c r="L736" s="36"/>
      <c r="M736" s="40" t="str">
        <f aca="false">IF($F736="","",$F736&amp;IF($G736="",""," - RT "&amp;$G736&amp;IF($H736="","","/"&amp;$H736)))</f>
        <v/>
      </c>
      <c r="N736" s="36"/>
      <c r="O736" s="37"/>
      <c r="P736" s="39"/>
      <c r="Q736" s="41"/>
      <c r="R736" s="35" t="str">
        <f aca="true">IF(OR($B736="",$Q736=""),"",DATEDIF($Q736,TODAY(),"Y"))</f>
        <v/>
      </c>
      <c r="S736" s="40" t="str">
        <f aca="false">IF($R736="","",INDEX(usia_label,MATCH($R736,usia_min,1)))</f>
        <v/>
      </c>
      <c r="T736" s="36"/>
      <c r="U736" s="41"/>
      <c r="V736" s="36"/>
      <c r="W736" s="36"/>
      <c r="X736" s="40" t="str">
        <f aca="false">IF($M736="","",$M736&amp;"#"&amp;COUNTIF($M$4:$M736,$M736))</f>
        <v/>
      </c>
      <c r="Y736" s="40" t="str">
        <f aca="false">IF($B736="","",IF($C736="","NIK kosong",IF(LEN($C736)&lt;&gt;16,"NIK bukan 16 digit",IF(COUNTIF($C$4:$C$2003,$C736&amp;"*")&gt;1,"NIK ganda",IF(AND($D736&lt;&gt;"",LEN($D736)&lt;&gt;16),"No. KK bukan 16 digit",IF(AND($F736="",$I736=""),"Alamat kosong",IF($N736="","Jabatan kosong",IF($O736="","No. HP kosong",IF(AND($R736&lt;&gt;"",$R736&lt;17),"Usia di bawah 17","")))))))))</f>
        <v/>
      </c>
      <c r="Z736" s="40" t="str">
        <f aca="false">IF($B736="","",IF(AND(OR(CARI!$C$5="",ISNUMBER(SEARCH(CARI!$C$5,$B736&amp;" "&amp;$C736&amp;" "&amp;$D736&amp;" "&amp;$O736&amp;" "&amp;$I736&amp;" "&amp;$F736&amp;" "&amp;$J736&amp;" "&amp;$K736&amp;" "&amp;$L736&amp;" "&amp;$V736))),OR(CARI!$C$6="",$F736=CARI!$C$6),OR(CARI!$C$7="",$G736=CARI!$C$7),OR(CARI!$C$8="",$T736=CARI!$C$8)),MAX($Z$3:Z735)+1,""))</f>
        <v/>
      </c>
      <c r="AA736" s="40" t="str">
        <f aca="false">IF($Y736="","",MAX($AA$3:AA735)+1)</f>
        <v/>
      </c>
      <c r="AB736" s="40" t="str">
        <f aca="false">IF($F736="","",$F736&amp;"#"&amp;COUNTIF($F$4:$F736,$F736))</f>
        <v/>
      </c>
      <c r="AC736" s="40" t="str">
        <f aca="false">IF($B736="","",IF(AND(OR(CETAK!$J$10="",$F736=CETAK!$J$10),OR(CETAK!$J$11="",$G736=CETAK!$J$11),OR(CETAK!$J$12="",$P736=CETAK!$J$12),OR(CETAK!$J$13="",$N736=CETAK!$J$13),OR(CETAK!$J$14="",$T736=CETAK!$J$14)),MAX($AC$3:AC735)+1,""))</f>
        <v/>
      </c>
      <c r="AD736" s="40" t="str">
        <f aca="false">IF($B736="","",IF(AND(OR(ABSENSI!$H$10="",$F736=ABSENSI!$H$10),OR(ABSENSI!$H$11="",$G736=ABSENSI!$H$11),OR(ABSENSI!$H$12="",$P736=ABSENSI!$H$12)),MAX($AD$3:AD735)+1,""))</f>
        <v/>
      </c>
      <c r="AE736" s="40" t="str">
        <f aca="false">IF($B736="","",IF(AND(OR(KARTU!$K$6="",$F736=KARTU!$K$6),OR(KARTU!$K$7="",$G736=KARTU!$K$7),OR(KARTU!$K$8="",$P736=KARTU!$K$8)),MAX($AE$3:AE735)+1,""))</f>
        <v/>
      </c>
    </row>
    <row r="737" customFormat="false" ht="15" hidden="false" customHeight="false" outlineLevel="0" collapsed="false">
      <c r="A737" s="35" t="str">
        <f aca="false">IF($B737="","",COUNTA($B$4:$B737))</f>
        <v/>
      </c>
      <c r="B737" s="36"/>
      <c r="C737" s="37"/>
      <c r="D737" s="37"/>
      <c r="E737" s="38"/>
      <c r="F737" s="36"/>
      <c r="G737" s="39"/>
      <c r="H737" s="39"/>
      <c r="I737" s="36"/>
      <c r="J737" s="36"/>
      <c r="K737" s="36"/>
      <c r="L737" s="36"/>
      <c r="M737" s="40" t="str">
        <f aca="false">IF($F737="","",$F737&amp;IF($G737="",""," - RT "&amp;$G737&amp;IF($H737="","","/"&amp;$H737)))</f>
        <v/>
      </c>
      <c r="N737" s="36"/>
      <c r="O737" s="37"/>
      <c r="P737" s="39"/>
      <c r="Q737" s="41"/>
      <c r="R737" s="35" t="str">
        <f aca="true">IF(OR($B737="",$Q737=""),"",DATEDIF($Q737,TODAY(),"Y"))</f>
        <v/>
      </c>
      <c r="S737" s="40" t="str">
        <f aca="false">IF($R737="","",INDEX(usia_label,MATCH($R737,usia_min,1)))</f>
        <v/>
      </c>
      <c r="T737" s="36"/>
      <c r="U737" s="41"/>
      <c r="V737" s="36"/>
      <c r="W737" s="36"/>
      <c r="X737" s="40" t="str">
        <f aca="false">IF($M737="","",$M737&amp;"#"&amp;COUNTIF($M$4:$M737,$M737))</f>
        <v/>
      </c>
      <c r="Y737" s="40" t="str">
        <f aca="false">IF($B737="","",IF($C737="","NIK kosong",IF(LEN($C737)&lt;&gt;16,"NIK bukan 16 digit",IF(COUNTIF($C$4:$C$2003,$C737&amp;"*")&gt;1,"NIK ganda",IF(AND($D737&lt;&gt;"",LEN($D737)&lt;&gt;16),"No. KK bukan 16 digit",IF(AND($F737="",$I737=""),"Alamat kosong",IF($N737="","Jabatan kosong",IF($O737="","No. HP kosong",IF(AND($R737&lt;&gt;"",$R737&lt;17),"Usia di bawah 17","")))))))))</f>
        <v/>
      </c>
      <c r="Z737" s="40" t="str">
        <f aca="false">IF($B737="","",IF(AND(OR(CARI!$C$5="",ISNUMBER(SEARCH(CARI!$C$5,$B737&amp;" "&amp;$C737&amp;" "&amp;$D737&amp;" "&amp;$O737&amp;" "&amp;$I737&amp;" "&amp;$F737&amp;" "&amp;$J737&amp;" "&amp;$K737&amp;" "&amp;$L737&amp;" "&amp;$V737))),OR(CARI!$C$6="",$F737=CARI!$C$6),OR(CARI!$C$7="",$G737=CARI!$C$7),OR(CARI!$C$8="",$T737=CARI!$C$8)),MAX($Z$3:Z736)+1,""))</f>
        <v/>
      </c>
      <c r="AA737" s="40" t="str">
        <f aca="false">IF($Y737="","",MAX($AA$3:AA736)+1)</f>
        <v/>
      </c>
      <c r="AB737" s="40" t="str">
        <f aca="false">IF($F737="","",$F737&amp;"#"&amp;COUNTIF($F$4:$F737,$F737))</f>
        <v/>
      </c>
      <c r="AC737" s="40" t="str">
        <f aca="false">IF($B737="","",IF(AND(OR(CETAK!$J$10="",$F737=CETAK!$J$10),OR(CETAK!$J$11="",$G737=CETAK!$J$11),OR(CETAK!$J$12="",$P737=CETAK!$J$12),OR(CETAK!$J$13="",$N737=CETAK!$J$13),OR(CETAK!$J$14="",$T737=CETAK!$J$14)),MAX($AC$3:AC736)+1,""))</f>
        <v/>
      </c>
      <c r="AD737" s="40" t="str">
        <f aca="false">IF($B737="","",IF(AND(OR(ABSENSI!$H$10="",$F737=ABSENSI!$H$10),OR(ABSENSI!$H$11="",$G737=ABSENSI!$H$11),OR(ABSENSI!$H$12="",$P737=ABSENSI!$H$12)),MAX($AD$3:AD736)+1,""))</f>
        <v/>
      </c>
      <c r="AE737" s="40" t="str">
        <f aca="false">IF($B737="","",IF(AND(OR(KARTU!$K$6="",$F737=KARTU!$K$6),OR(KARTU!$K$7="",$G737=KARTU!$K$7),OR(KARTU!$K$8="",$P737=KARTU!$K$8)),MAX($AE$3:AE736)+1,""))</f>
        <v/>
      </c>
    </row>
    <row r="738" customFormat="false" ht="15" hidden="false" customHeight="false" outlineLevel="0" collapsed="false">
      <c r="A738" s="35" t="str">
        <f aca="false">IF($B738="","",COUNTA($B$4:$B738))</f>
        <v/>
      </c>
      <c r="B738" s="36"/>
      <c r="C738" s="37"/>
      <c r="D738" s="37"/>
      <c r="E738" s="38"/>
      <c r="F738" s="36"/>
      <c r="G738" s="39"/>
      <c r="H738" s="39"/>
      <c r="I738" s="36"/>
      <c r="J738" s="36"/>
      <c r="K738" s="36"/>
      <c r="L738" s="36"/>
      <c r="M738" s="40" t="str">
        <f aca="false">IF($F738="","",$F738&amp;IF($G738="",""," - RT "&amp;$G738&amp;IF($H738="","","/"&amp;$H738)))</f>
        <v/>
      </c>
      <c r="N738" s="36"/>
      <c r="O738" s="37"/>
      <c r="P738" s="39"/>
      <c r="Q738" s="41"/>
      <c r="R738" s="35" t="str">
        <f aca="true">IF(OR($B738="",$Q738=""),"",DATEDIF($Q738,TODAY(),"Y"))</f>
        <v/>
      </c>
      <c r="S738" s="40" t="str">
        <f aca="false">IF($R738="","",INDEX(usia_label,MATCH($R738,usia_min,1)))</f>
        <v/>
      </c>
      <c r="T738" s="36"/>
      <c r="U738" s="41"/>
      <c r="V738" s="36"/>
      <c r="W738" s="36"/>
      <c r="X738" s="40" t="str">
        <f aca="false">IF($M738="","",$M738&amp;"#"&amp;COUNTIF($M$4:$M738,$M738))</f>
        <v/>
      </c>
      <c r="Y738" s="40" t="str">
        <f aca="false">IF($B738="","",IF($C738="","NIK kosong",IF(LEN($C738)&lt;&gt;16,"NIK bukan 16 digit",IF(COUNTIF($C$4:$C$2003,$C738&amp;"*")&gt;1,"NIK ganda",IF(AND($D738&lt;&gt;"",LEN($D738)&lt;&gt;16),"No. KK bukan 16 digit",IF(AND($F738="",$I738=""),"Alamat kosong",IF($N738="","Jabatan kosong",IF($O738="","No. HP kosong",IF(AND($R738&lt;&gt;"",$R738&lt;17),"Usia di bawah 17","")))))))))</f>
        <v/>
      </c>
      <c r="Z738" s="40" t="str">
        <f aca="false">IF($B738="","",IF(AND(OR(CARI!$C$5="",ISNUMBER(SEARCH(CARI!$C$5,$B738&amp;" "&amp;$C738&amp;" "&amp;$D738&amp;" "&amp;$O738&amp;" "&amp;$I738&amp;" "&amp;$F738&amp;" "&amp;$J738&amp;" "&amp;$K738&amp;" "&amp;$L738&amp;" "&amp;$V738))),OR(CARI!$C$6="",$F738=CARI!$C$6),OR(CARI!$C$7="",$G738=CARI!$C$7),OR(CARI!$C$8="",$T738=CARI!$C$8)),MAX($Z$3:Z737)+1,""))</f>
        <v/>
      </c>
      <c r="AA738" s="40" t="str">
        <f aca="false">IF($Y738="","",MAX($AA$3:AA737)+1)</f>
        <v/>
      </c>
      <c r="AB738" s="40" t="str">
        <f aca="false">IF($F738="","",$F738&amp;"#"&amp;COUNTIF($F$4:$F738,$F738))</f>
        <v/>
      </c>
      <c r="AC738" s="40" t="str">
        <f aca="false">IF($B738="","",IF(AND(OR(CETAK!$J$10="",$F738=CETAK!$J$10),OR(CETAK!$J$11="",$G738=CETAK!$J$11),OR(CETAK!$J$12="",$P738=CETAK!$J$12),OR(CETAK!$J$13="",$N738=CETAK!$J$13),OR(CETAK!$J$14="",$T738=CETAK!$J$14)),MAX($AC$3:AC737)+1,""))</f>
        <v/>
      </c>
      <c r="AD738" s="40" t="str">
        <f aca="false">IF($B738="","",IF(AND(OR(ABSENSI!$H$10="",$F738=ABSENSI!$H$10),OR(ABSENSI!$H$11="",$G738=ABSENSI!$H$11),OR(ABSENSI!$H$12="",$P738=ABSENSI!$H$12)),MAX($AD$3:AD737)+1,""))</f>
        <v/>
      </c>
      <c r="AE738" s="40" t="str">
        <f aca="false">IF($B738="","",IF(AND(OR(KARTU!$K$6="",$F738=KARTU!$K$6),OR(KARTU!$K$7="",$G738=KARTU!$K$7),OR(KARTU!$K$8="",$P738=KARTU!$K$8)),MAX($AE$3:AE737)+1,""))</f>
        <v/>
      </c>
    </row>
    <row r="739" customFormat="false" ht="15" hidden="false" customHeight="false" outlineLevel="0" collapsed="false">
      <c r="A739" s="35" t="str">
        <f aca="false">IF($B739="","",COUNTA($B$4:$B739))</f>
        <v/>
      </c>
      <c r="B739" s="36"/>
      <c r="C739" s="37"/>
      <c r="D739" s="37"/>
      <c r="E739" s="38"/>
      <c r="F739" s="36"/>
      <c r="G739" s="39"/>
      <c r="H739" s="39"/>
      <c r="I739" s="36"/>
      <c r="J739" s="36"/>
      <c r="K739" s="36"/>
      <c r="L739" s="36"/>
      <c r="M739" s="40" t="str">
        <f aca="false">IF($F739="","",$F739&amp;IF($G739="",""," - RT "&amp;$G739&amp;IF($H739="","","/"&amp;$H739)))</f>
        <v/>
      </c>
      <c r="N739" s="36"/>
      <c r="O739" s="37"/>
      <c r="P739" s="39"/>
      <c r="Q739" s="41"/>
      <c r="R739" s="35" t="str">
        <f aca="true">IF(OR($B739="",$Q739=""),"",DATEDIF($Q739,TODAY(),"Y"))</f>
        <v/>
      </c>
      <c r="S739" s="40" t="str">
        <f aca="false">IF($R739="","",INDEX(usia_label,MATCH($R739,usia_min,1)))</f>
        <v/>
      </c>
      <c r="T739" s="36"/>
      <c r="U739" s="41"/>
      <c r="V739" s="36"/>
      <c r="W739" s="36"/>
      <c r="X739" s="40" t="str">
        <f aca="false">IF($M739="","",$M739&amp;"#"&amp;COUNTIF($M$4:$M739,$M739))</f>
        <v/>
      </c>
      <c r="Y739" s="40" t="str">
        <f aca="false">IF($B739="","",IF($C739="","NIK kosong",IF(LEN($C739)&lt;&gt;16,"NIK bukan 16 digit",IF(COUNTIF($C$4:$C$2003,$C739&amp;"*")&gt;1,"NIK ganda",IF(AND($D739&lt;&gt;"",LEN($D739)&lt;&gt;16),"No. KK bukan 16 digit",IF(AND($F739="",$I739=""),"Alamat kosong",IF($N739="","Jabatan kosong",IF($O739="","No. HP kosong",IF(AND($R739&lt;&gt;"",$R739&lt;17),"Usia di bawah 17","")))))))))</f>
        <v/>
      </c>
      <c r="Z739" s="40" t="str">
        <f aca="false">IF($B739="","",IF(AND(OR(CARI!$C$5="",ISNUMBER(SEARCH(CARI!$C$5,$B739&amp;" "&amp;$C739&amp;" "&amp;$D739&amp;" "&amp;$O739&amp;" "&amp;$I739&amp;" "&amp;$F739&amp;" "&amp;$J739&amp;" "&amp;$K739&amp;" "&amp;$L739&amp;" "&amp;$V739))),OR(CARI!$C$6="",$F739=CARI!$C$6),OR(CARI!$C$7="",$G739=CARI!$C$7),OR(CARI!$C$8="",$T739=CARI!$C$8)),MAX($Z$3:Z738)+1,""))</f>
        <v/>
      </c>
      <c r="AA739" s="40" t="str">
        <f aca="false">IF($Y739="","",MAX($AA$3:AA738)+1)</f>
        <v/>
      </c>
      <c r="AB739" s="40" t="str">
        <f aca="false">IF($F739="","",$F739&amp;"#"&amp;COUNTIF($F$4:$F739,$F739))</f>
        <v/>
      </c>
      <c r="AC739" s="40" t="str">
        <f aca="false">IF($B739="","",IF(AND(OR(CETAK!$J$10="",$F739=CETAK!$J$10),OR(CETAK!$J$11="",$G739=CETAK!$J$11),OR(CETAK!$J$12="",$P739=CETAK!$J$12),OR(CETAK!$J$13="",$N739=CETAK!$J$13),OR(CETAK!$J$14="",$T739=CETAK!$J$14)),MAX($AC$3:AC738)+1,""))</f>
        <v/>
      </c>
      <c r="AD739" s="40" t="str">
        <f aca="false">IF($B739="","",IF(AND(OR(ABSENSI!$H$10="",$F739=ABSENSI!$H$10),OR(ABSENSI!$H$11="",$G739=ABSENSI!$H$11),OR(ABSENSI!$H$12="",$P739=ABSENSI!$H$12)),MAX($AD$3:AD738)+1,""))</f>
        <v/>
      </c>
      <c r="AE739" s="40" t="str">
        <f aca="false">IF($B739="","",IF(AND(OR(KARTU!$K$6="",$F739=KARTU!$K$6),OR(KARTU!$K$7="",$G739=KARTU!$K$7),OR(KARTU!$K$8="",$P739=KARTU!$K$8)),MAX($AE$3:AE738)+1,""))</f>
        <v/>
      </c>
    </row>
    <row r="740" customFormat="false" ht="15" hidden="false" customHeight="false" outlineLevel="0" collapsed="false">
      <c r="A740" s="35" t="str">
        <f aca="false">IF($B740="","",COUNTA($B$4:$B740))</f>
        <v/>
      </c>
      <c r="B740" s="36"/>
      <c r="C740" s="37"/>
      <c r="D740" s="37"/>
      <c r="E740" s="38"/>
      <c r="F740" s="36"/>
      <c r="G740" s="39"/>
      <c r="H740" s="39"/>
      <c r="I740" s="36"/>
      <c r="J740" s="36"/>
      <c r="K740" s="36"/>
      <c r="L740" s="36"/>
      <c r="M740" s="40" t="str">
        <f aca="false">IF($F740="","",$F740&amp;IF($G740="",""," - RT "&amp;$G740&amp;IF($H740="","","/"&amp;$H740)))</f>
        <v/>
      </c>
      <c r="N740" s="36"/>
      <c r="O740" s="37"/>
      <c r="P740" s="39"/>
      <c r="Q740" s="41"/>
      <c r="R740" s="35" t="str">
        <f aca="true">IF(OR($B740="",$Q740=""),"",DATEDIF($Q740,TODAY(),"Y"))</f>
        <v/>
      </c>
      <c r="S740" s="40" t="str">
        <f aca="false">IF($R740="","",INDEX(usia_label,MATCH($R740,usia_min,1)))</f>
        <v/>
      </c>
      <c r="T740" s="36"/>
      <c r="U740" s="41"/>
      <c r="V740" s="36"/>
      <c r="W740" s="36"/>
      <c r="X740" s="40" t="str">
        <f aca="false">IF($M740="","",$M740&amp;"#"&amp;COUNTIF($M$4:$M740,$M740))</f>
        <v/>
      </c>
      <c r="Y740" s="40" t="str">
        <f aca="false">IF($B740="","",IF($C740="","NIK kosong",IF(LEN($C740)&lt;&gt;16,"NIK bukan 16 digit",IF(COUNTIF($C$4:$C$2003,$C740&amp;"*")&gt;1,"NIK ganda",IF(AND($D740&lt;&gt;"",LEN($D740)&lt;&gt;16),"No. KK bukan 16 digit",IF(AND($F740="",$I740=""),"Alamat kosong",IF($N740="","Jabatan kosong",IF($O740="","No. HP kosong",IF(AND($R740&lt;&gt;"",$R740&lt;17),"Usia di bawah 17","")))))))))</f>
        <v/>
      </c>
      <c r="Z740" s="40" t="str">
        <f aca="false">IF($B740="","",IF(AND(OR(CARI!$C$5="",ISNUMBER(SEARCH(CARI!$C$5,$B740&amp;" "&amp;$C740&amp;" "&amp;$D740&amp;" "&amp;$O740&amp;" "&amp;$I740&amp;" "&amp;$F740&amp;" "&amp;$J740&amp;" "&amp;$K740&amp;" "&amp;$L740&amp;" "&amp;$V740))),OR(CARI!$C$6="",$F740=CARI!$C$6),OR(CARI!$C$7="",$G740=CARI!$C$7),OR(CARI!$C$8="",$T740=CARI!$C$8)),MAX($Z$3:Z739)+1,""))</f>
        <v/>
      </c>
      <c r="AA740" s="40" t="str">
        <f aca="false">IF($Y740="","",MAX($AA$3:AA739)+1)</f>
        <v/>
      </c>
      <c r="AB740" s="40" t="str">
        <f aca="false">IF($F740="","",$F740&amp;"#"&amp;COUNTIF($F$4:$F740,$F740))</f>
        <v/>
      </c>
      <c r="AC740" s="40" t="str">
        <f aca="false">IF($B740="","",IF(AND(OR(CETAK!$J$10="",$F740=CETAK!$J$10),OR(CETAK!$J$11="",$G740=CETAK!$J$11),OR(CETAK!$J$12="",$P740=CETAK!$J$12),OR(CETAK!$J$13="",$N740=CETAK!$J$13),OR(CETAK!$J$14="",$T740=CETAK!$J$14)),MAX($AC$3:AC739)+1,""))</f>
        <v/>
      </c>
      <c r="AD740" s="40" t="str">
        <f aca="false">IF($B740="","",IF(AND(OR(ABSENSI!$H$10="",$F740=ABSENSI!$H$10),OR(ABSENSI!$H$11="",$G740=ABSENSI!$H$11),OR(ABSENSI!$H$12="",$P740=ABSENSI!$H$12)),MAX($AD$3:AD739)+1,""))</f>
        <v/>
      </c>
      <c r="AE740" s="40" t="str">
        <f aca="false">IF($B740="","",IF(AND(OR(KARTU!$K$6="",$F740=KARTU!$K$6),OR(KARTU!$K$7="",$G740=KARTU!$K$7),OR(KARTU!$K$8="",$P740=KARTU!$K$8)),MAX($AE$3:AE739)+1,""))</f>
        <v/>
      </c>
    </row>
    <row r="741" customFormat="false" ht="15" hidden="false" customHeight="false" outlineLevel="0" collapsed="false">
      <c r="A741" s="35" t="str">
        <f aca="false">IF($B741="","",COUNTA($B$4:$B741))</f>
        <v/>
      </c>
      <c r="B741" s="36"/>
      <c r="C741" s="37"/>
      <c r="D741" s="37"/>
      <c r="E741" s="38"/>
      <c r="F741" s="36"/>
      <c r="G741" s="39"/>
      <c r="H741" s="39"/>
      <c r="I741" s="36"/>
      <c r="J741" s="36"/>
      <c r="K741" s="36"/>
      <c r="L741" s="36"/>
      <c r="M741" s="40" t="str">
        <f aca="false">IF($F741="","",$F741&amp;IF($G741="",""," - RT "&amp;$G741&amp;IF($H741="","","/"&amp;$H741)))</f>
        <v/>
      </c>
      <c r="N741" s="36"/>
      <c r="O741" s="37"/>
      <c r="P741" s="39"/>
      <c r="Q741" s="41"/>
      <c r="R741" s="35" t="str">
        <f aca="true">IF(OR($B741="",$Q741=""),"",DATEDIF($Q741,TODAY(),"Y"))</f>
        <v/>
      </c>
      <c r="S741" s="40" t="str">
        <f aca="false">IF($R741="","",INDEX(usia_label,MATCH($R741,usia_min,1)))</f>
        <v/>
      </c>
      <c r="T741" s="36"/>
      <c r="U741" s="41"/>
      <c r="V741" s="36"/>
      <c r="W741" s="36"/>
      <c r="X741" s="40" t="str">
        <f aca="false">IF($M741="","",$M741&amp;"#"&amp;COUNTIF($M$4:$M741,$M741))</f>
        <v/>
      </c>
      <c r="Y741" s="40" t="str">
        <f aca="false">IF($B741="","",IF($C741="","NIK kosong",IF(LEN($C741)&lt;&gt;16,"NIK bukan 16 digit",IF(COUNTIF($C$4:$C$2003,$C741&amp;"*")&gt;1,"NIK ganda",IF(AND($D741&lt;&gt;"",LEN($D741)&lt;&gt;16),"No. KK bukan 16 digit",IF(AND($F741="",$I741=""),"Alamat kosong",IF($N741="","Jabatan kosong",IF($O741="","No. HP kosong",IF(AND($R741&lt;&gt;"",$R741&lt;17),"Usia di bawah 17","")))))))))</f>
        <v/>
      </c>
      <c r="Z741" s="40" t="str">
        <f aca="false">IF($B741="","",IF(AND(OR(CARI!$C$5="",ISNUMBER(SEARCH(CARI!$C$5,$B741&amp;" "&amp;$C741&amp;" "&amp;$D741&amp;" "&amp;$O741&amp;" "&amp;$I741&amp;" "&amp;$F741&amp;" "&amp;$J741&amp;" "&amp;$K741&amp;" "&amp;$L741&amp;" "&amp;$V741))),OR(CARI!$C$6="",$F741=CARI!$C$6),OR(CARI!$C$7="",$G741=CARI!$C$7),OR(CARI!$C$8="",$T741=CARI!$C$8)),MAX($Z$3:Z740)+1,""))</f>
        <v/>
      </c>
      <c r="AA741" s="40" t="str">
        <f aca="false">IF($Y741="","",MAX($AA$3:AA740)+1)</f>
        <v/>
      </c>
      <c r="AB741" s="40" t="str">
        <f aca="false">IF($F741="","",$F741&amp;"#"&amp;COUNTIF($F$4:$F741,$F741))</f>
        <v/>
      </c>
      <c r="AC741" s="40" t="str">
        <f aca="false">IF($B741="","",IF(AND(OR(CETAK!$J$10="",$F741=CETAK!$J$10),OR(CETAK!$J$11="",$G741=CETAK!$J$11),OR(CETAK!$J$12="",$P741=CETAK!$J$12),OR(CETAK!$J$13="",$N741=CETAK!$J$13),OR(CETAK!$J$14="",$T741=CETAK!$J$14)),MAX($AC$3:AC740)+1,""))</f>
        <v/>
      </c>
      <c r="AD741" s="40" t="str">
        <f aca="false">IF($B741="","",IF(AND(OR(ABSENSI!$H$10="",$F741=ABSENSI!$H$10),OR(ABSENSI!$H$11="",$G741=ABSENSI!$H$11),OR(ABSENSI!$H$12="",$P741=ABSENSI!$H$12)),MAX($AD$3:AD740)+1,""))</f>
        <v/>
      </c>
      <c r="AE741" s="40" t="str">
        <f aca="false">IF($B741="","",IF(AND(OR(KARTU!$K$6="",$F741=KARTU!$K$6),OR(KARTU!$K$7="",$G741=KARTU!$K$7),OR(KARTU!$K$8="",$P741=KARTU!$K$8)),MAX($AE$3:AE740)+1,""))</f>
        <v/>
      </c>
    </row>
    <row r="742" customFormat="false" ht="15" hidden="false" customHeight="false" outlineLevel="0" collapsed="false">
      <c r="A742" s="35" t="str">
        <f aca="false">IF($B742="","",COUNTA($B$4:$B742))</f>
        <v/>
      </c>
      <c r="B742" s="36"/>
      <c r="C742" s="37"/>
      <c r="D742" s="37"/>
      <c r="E742" s="38"/>
      <c r="F742" s="36"/>
      <c r="G742" s="39"/>
      <c r="H742" s="39"/>
      <c r="I742" s="36"/>
      <c r="J742" s="36"/>
      <c r="K742" s="36"/>
      <c r="L742" s="36"/>
      <c r="M742" s="40" t="str">
        <f aca="false">IF($F742="","",$F742&amp;IF($G742="",""," - RT "&amp;$G742&amp;IF($H742="","","/"&amp;$H742)))</f>
        <v/>
      </c>
      <c r="N742" s="36"/>
      <c r="O742" s="37"/>
      <c r="P742" s="39"/>
      <c r="Q742" s="41"/>
      <c r="R742" s="35" t="str">
        <f aca="true">IF(OR($B742="",$Q742=""),"",DATEDIF($Q742,TODAY(),"Y"))</f>
        <v/>
      </c>
      <c r="S742" s="40" t="str">
        <f aca="false">IF($R742="","",INDEX(usia_label,MATCH($R742,usia_min,1)))</f>
        <v/>
      </c>
      <c r="T742" s="36"/>
      <c r="U742" s="41"/>
      <c r="V742" s="36"/>
      <c r="W742" s="36"/>
      <c r="X742" s="40" t="str">
        <f aca="false">IF($M742="","",$M742&amp;"#"&amp;COUNTIF($M$4:$M742,$M742))</f>
        <v/>
      </c>
      <c r="Y742" s="40" t="str">
        <f aca="false">IF($B742="","",IF($C742="","NIK kosong",IF(LEN($C742)&lt;&gt;16,"NIK bukan 16 digit",IF(COUNTIF($C$4:$C$2003,$C742&amp;"*")&gt;1,"NIK ganda",IF(AND($D742&lt;&gt;"",LEN($D742)&lt;&gt;16),"No. KK bukan 16 digit",IF(AND($F742="",$I742=""),"Alamat kosong",IF($N742="","Jabatan kosong",IF($O742="","No. HP kosong",IF(AND($R742&lt;&gt;"",$R742&lt;17),"Usia di bawah 17","")))))))))</f>
        <v/>
      </c>
      <c r="Z742" s="40" t="str">
        <f aca="false">IF($B742="","",IF(AND(OR(CARI!$C$5="",ISNUMBER(SEARCH(CARI!$C$5,$B742&amp;" "&amp;$C742&amp;" "&amp;$D742&amp;" "&amp;$O742&amp;" "&amp;$I742&amp;" "&amp;$F742&amp;" "&amp;$J742&amp;" "&amp;$K742&amp;" "&amp;$L742&amp;" "&amp;$V742))),OR(CARI!$C$6="",$F742=CARI!$C$6),OR(CARI!$C$7="",$G742=CARI!$C$7),OR(CARI!$C$8="",$T742=CARI!$C$8)),MAX($Z$3:Z741)+1,""))</f>
        <v/>
      </c>
      <c r="AA742" s="40" t="str">
        <f aca="false">IF($Y742="","",MAX($AA$3:AA741)+1)</f>
        <v/>
      </c>
      <c r="AB742" s="40" t="str">
        <f aca="false">IF($F742="","",$F742&amp;"#"&amp;COUNTIF($F$4:$F742,$F742))</f>
        <v/>
      </c>
      <c r="AC742" s="40" t="str">
        <f aca="false">IF($B742="","",IF(AND(OR(CETAK!$J$10="",$F742=CETAK!$J$10),OR(CETAK!$J$11="",$G742=CETAK!$J$11),OR(CETAK!$J$12="",$P742=CETAK!$J$12),OR(CETAK!$J$13="",$N742=CETAK!$J$13),OR(CETAK!$J$14="",$T742=CETAK!$J$14)),MAX($AC$3:AC741)+1,""))</f>
        <v/>
      </c>
      <c r="AD742" s="40" t="str">
        <f aca="false">IF($B742="","",IF(AND(OR(ABSENSI!$H$10="",$F742=ABSENSI!$H$10),OR(ABSENSI!$H$11="",$G742=ABSENSI!$H$11),OR(ABSENSI!$H$12="",$P742=ABSENSI!$H$12)),MAX($AD$3:AD741)+1,""))</f>
        <v/>
      </c>
      <c r="AE742" s="40" t="str">
        <f aca="false">IF($B742="","",IF(AND(OR(KARTU!$K$6="",$F742=KARTU!$K$6),OR(KARTU!$K$7="",$G742=KARTU!$K$7),OR(KARTU!$K$8="",$P742=KARTU!$K$8)),MAX($AE$3:AE741)+1,""))</f>
        <v/>
      </c>
    </row>
    <row r="743" customFormat="false" ht="15" hidden="false" customHeight="false" outlineLevel="0" collapsed="false">
      <c r="A743" s="35" t="str">
        <f aca="false">IF($B743="","",COUNTA($B$4:$B743))</f>
        <v/>
      </c>
      <c r="B743" s="36"/>
      <c r="C743" s="37"/>
      <c r="D743" s="37"/>
      <c r="E743" s="38"/>
      <c r="F743" s="36"/>
      <c r="G743" s="39"/>
      <c r="H743" s="39"/>
      <c r="I743" s="36"/>
      <c r="J743" s="36"/>
      <c r="K743" s="36"/>
      <c r="L743" s="36"/>
      <c r="M743" s="40" t="str">
        <f aca="false">IF($F743="","",$F743&amp;IF($G743="",""," - RT "&amp;$G743&amp;IF($H743="","","/"&amp;$H743)))</f>
        <v/>
      </c>
      <c r="N743" s="36"/>
      <c r="O743" s="37"/>
      <c r="P743" s="39"/>
      <c r="Q743" s="41"/>
      <c r="R743" s="35" t="str">
        <f aca="true">IF(OR($B743="",$Q743=""),"",DATEDIF($Q743,TODAY(),"Y"))</f>
        <v/>
      </c>
      <c r="S743" s="40" t="str">
        <f aca="false">IF($R743="","",INDEX(usia_label,MATCH($R743,usia_min,1)))</f>
        <v/>
      </c>
      <c r="T743" s="36"/>
      <c r="U743" s="41"/>
      <c r="V743" s="36"/>
      <c r="W743" s="36"/>
      <c r="X743" s="40" t="str">
        <f aca="false">IF($M743="","",$M743&amp;"#"&amp;COUNTIF($M$4:$M743,$M743))</f>
        <v/>
      </c>
      <c r="Y743" s="40" t="str">
        <f aca="false">IF($B743="","",IF($C743="","NIK kosong",IF(LEN($C743)&lt;&gt;16,"NIK bukan 16 digit",IF(COUNTIF($C$4:$C$2003,$C743&amp;"*")&gt;1,"NIK ganda",IF(AND($D743&lt;&gt;"",LEN($D743)&lt;&gt;16),"No. KK bukan 16 digit",IF(AND($F743="",$I743=""),"Alamat kosong",IF($N743="","Jabatan kosong",IF($O743="","No. HP kosong",IF(AND($R743&lt;&gt;"",$R743&lt;17),"Usia di bawah 17","")))))))))</f>
        <v/>
      </c>
      <c r="Z743" s="40" t="str">
        <f aca="false">IF($B743="","",IF(AND(OR(CARI!$C$5="",ISNUMBER(SEARCH(CARI!$C$5,$B743&amp;" "&amp;$C743&amp;" "&amp;$D743&amp;" "&amp;$O743&amp;" "&amp;$I743&amp;" "&amp;$F743&amp;" "&amp;$J743&amp;" "&amp;$K743&amp;" "&amp;$L743&amp;" "&amp;$V743))),OR(CARI!$C$6="",$F743=CARI!$C$6),OR(CARI!$C$7="",$G743=CARI!$C$7),OR(CARI!$C$8="",$T743=CARI!$C$8)),MAX($Z$3:Z742)+1,""))</f>
        <v/>
      </c>
      <c r="AA743" s="40" t="str">
        <f aca="false">IF($Y743="","",MAX($AA$3:AA742)+1)</f>
        <v/>
      </c>
      <c r="AB743" s="40" t="str">
        <f aca="false">IF($F743="","",$F743&amp;"#"&amp;COUNTIF($F$4:$F743,$F743))</f>
        <v/>
      </c>
      <c r="AC743" s="40" t="str">
        <f aca="false">IF($B743="","",IF(AND(OR(CETAK!$J$10="",$F743=CETAK!$J$10),OR(CETAK!$J$11="",$G743=CETAK!$J$11),OR(CETAK!$J$12="",$P743=CETAK!$J$12),OR(CETAK!$J$13="",$N743=CETAK!$J$13),OR(CETAK!$J$14="",$T743=CETAK!$J$14)),MAX($AC$3:AC742)+1,""))</f>
        <v/>
      </c>
      <c r="AD743" s="40" t="str">
        <f aca="false">IF($B743="","",IF(AND(OR(ABSENSI!$H$10="",$F743=ABSENSI!$H$10),OR(ABSENSI!$H$11="",$G743=ABSENSI!$H$11),OR(ABSENSI!$H$12="",$P743=ABSENSI!$H$12)),MAX($AD$3:AD742)+1,""))</f>
        <v/>
      </c>
      <c r="AE743" s="40" t="str">
        <f aca="false">IF($B743="","",IF(AND(OR(KARTU!$K$6="",$F743=KARTU!$K$6),OR(KARTU!$K$7="",$G743=KARTU!$K$7),OR(KARTU!$K$8="",$P743=KARTU!$K$8)),MAX($AE$3:AE742)+1,""))</f>
        <v/>
      </c>
    </row>
    <row r="744" customFormat="false" ht="15" hidden="false" customHeight="false" outlineLevel="0" collapsed="false">
      <c r="A744" s="35" t="str">
        <f aca="false">IF($B744="","",COUNTA($B$4:$B744))</f>
        <v/>
      </c>
      <c r="B744" s="36"/>
      <c r="C744" s="37"/>
      <c r="D744" s="37"/>
      <c r="E744" s="38"/>
      <c r="F744" s="36"/>
      <c r="G744" s="39"/>
      <c r="H744" s="39"/>
      <c r="I744" s="36"/>
      <c r="J744" s="36"/>
      <c r="K744" s="36"/>
      <c r="L744" s="36"/>
      <c r="M744" s="40" t="str">
        <f aca="false">IF($F744="","",$F744&amp;IF($G744="",""," - RT "&amp;$G744&amp;IF($H744="","","/"&amp;$H744)))</f>
        <v/>
      </c>
      <c r="N744" s="36"/>
      <c r="O744" s="37"/>
      <c r="P744" s="39"/>
      <c r="Q744" s="41"/>
      <c r="R744" s="35" t="str">
        <f aca="true">IF(OR($B744="",$Q744=""),"",DATEDIF($Q744,TODAY(),"Y"))</f>
        <v/>
      </c>
      <c r="S744" s="40" t="str">
        <f aca="false">IF($R744="","",INDEX(usia_label,MATCH($R744,usia_min,1)))</f>
        <v/>
      </c>
      <c r="T744" s="36"/>
      <c r="U744" s="41"/>
      <c r="V744" s="36"/>
      <c r="W744" s="36"/>
      <c r="X744" s="40" t="str">
        <f aca="false">IF($M744="","",$M744&amp;"#"&amp;COUNTIF($M$4:$M744,$M744))</f>
        <v/>
      </c>
      <c r="Y744" s="40" t="str">
        <f aca="false">IF($B744="","",IF($C744="","NIK kosong",IF(LEN($C744)&lt;&gt;16,"NIK bukan 16 digit",IF(COUNTIF($C$4:$C$2003,$C744&amp;"*")&gt;1,"NIK ganda",IF(AND($D744&lt;&gt;"",LEN($D744)&lt;&gt;16),"No. KK bukan 16 digit",IF(AND($F744="",$I744=""),"Alamat kosong",IF($N744="","Jabatan kosong",IF($O744="","No. HP kosong",IF(AND($R744&lt;&gt;"",$R744&lt;17),"Usia di bawah 17","")))))))))</f>
        <v/>
      </c>
      <c r="Z744" s="40" t="str">
        <f aca="false">IF($B744="","",IF(AND(OR(CARI!$C$5="",ISNUMBER(SEARCH(CARI!$C$5,$B744&amp;" "&amp;$C744&amp;" "&amp;$D744&amp;" "&amp;$O744&amp;" "&amp;$I744&amp;" "&amp;$F744&amp;" "&amp;$J744&amp;" "&amp;$K744&amp;" "&amp;$L744&amp;" "&amp;$V744))),OR(CARI!$C$6="",$F744=CARI!$C$6),OR(CARI!$C$7="",$G744=CARI!$C$7),OR(CARI!$C$8="",$T744=CARI!$C$8)),MAX($Z$3:Z743)+1,""))</f>
        <v/>
      </c>
      <c r="AA744" s="40" t="str">
        <f aca="false">IF($Y744="","",MAX($AA$3:AA743)+1)</f>
        <v/>
      </c>
      <c r="AB744" s="40" t="str">
        <f aca="false">IF($F744="","",$F744&amp;"#"&amp;COUNTIF($F$4:$F744,$F744))</f>
        <v/>
      </c>
      <c r="AC744" s="40" t="str">
        <f aca="false">IF($B744="","",IF(AND(OR(CETAK!$J$10="",$F744=CETAK!$J$10),OR(CETAK!$J$11="",$G744=CETAK!$J$11),OR(CETAK!$J$12="",$P744=CETAK!$J$12),OR(CETAK!$J$13="",$N744=CETAK!$J$13),OR(CETAK!$J$14="",$T744=CETAK!$J$14)),MAX($AC$3:AC743)+1,""))</f>
        <v/>
      </c>
      <c r="AD744" s="40" t="str">
        <f aca="false">IF($B744="","",IF(AND(OR(ABSENSI!$H$10="",$F744=ABSENSI!$H$10),OR(ABSENSI!$H$11="",$G744=ABSENSI!$H$11),OR(ABSENSI!$H$12="",$P744=ABSENSI!$H$12)),MAX($AD$3:AD743)+1,""))</f>
        <v/>
      </c>
      <c r="AE744" s="40" t="str">
        <f aca="false">IF($B744="","",IF(AND(OR(KARTU!$K$6="",$F744=KARTU!$K$6),OR(KARTU!$K$7="",$G744=KARTU!$K$7),OR(KARTU!$K$8="",$P744=KARTU!$K$8)),MAX($AE$3:AE743)+1,""))</f>
        <v/>
      </c>
    </row>
    <row r="745" customFormat="false" ht="15" hidden="false" customHeight="false" outlineLevel="0" collapsed="false">
      <c r="A745" s="35" t="str">
        <f aca="false">IF($B745="","",COUNTA($B$4:$B745))</f>
        <v/>
      </c>
      <c r="B745" s="36"/>
      <c r="C745" s="37"/>
      <c r="D745" s="37"/>
      <c r="E745" s="38"/>
      <c r="F745" s="36"/>
      <c r="G745" s="39"/>
      <c r="H745" s="39"/>
      <c r="I745" s="36"/>
      <c r="J745" s="36"/>
      <c r="K745" s="36"/>
      <c r="L745" s="36"/>
      <c r="M745" s="40" t="str">
        <f aca="false">IF($F745="","",$F745&amp;IF($G745="",""," - RT "&amp;$G745&amp;IF($H745="","","/"&amp;$H745)))</f>
        <v/>
      </c>
      <c r="N745" s="36"/>
      <c r="O745" s="37"/>
      <c r="P745" s="39"/>
      <c r="Q745" s="41"/>
      <c r="R745" s="35" t="str">
        <f aca="true">IF(OR($B745="",$Q745=""),"",DATEDIF($Q745,TODAY(),"Y"))</f>
        <v/>
      </c>
      <c r="S745" s="40" t="str">
        <f aca="false">IF($R745="","",INDEX(usia_label,MATCH($R745,usia_min,1)))</f>
        <v/>
      </c>
      <c r="T745" s="36"/>
      <c r="U745" s="41"/>
      <c r="V745" s="36"/>
      <c r="W745" s="36"/>
      <c r="X745" s="40" t="str">
        <f aca="false">IF($M745="","",$M745&amp;"#"&amp;COUNTIF($M$4:$M745,$M745))</f>
        <v/>
      </c>
      <c r="Y745" s="40" t="str">
        <f aca="false">IF($B745="","",IF($C745="","NIK kosong",IF(LEN($C745)&lt;&gt;16,"NIK bukan 16 digit",IF(COUNTIF($C$4:$C$2003,$C745&amp;"*")&gt;1,"NIK ganda",IF(AND($D745&lt;&gt;"",LEN($D745)&lt;&gt;16),"No. KK bukan 16 digit",IF(AND($F745="",$I745=""),"Alamat kosong",IF($N745="","Jabatan kosong",IF($O745="","No. HP kosong",IF(AND($R745&lt;&gt;"",$R745&lt;17),"Usia di bawah 17","")))))))))</f>
        <v/>
      </c>
      <c r="Z745" s="40" t="str">
        <f aca="false">IF($B745="","",IF(AND(OR(CARI!$C$5="",ISNUMBER(SEARCH(CARI!$C$5,$B745&amp;" "&amp;$C745&amp;" "&amp;$D745&amp;" "&amp;$O745&amp;" "&amp;$I745&amp;" "&amp;$F745&amp;" "&amp;$J745&amp;" "&amp;$K745&amp;" "&amp;$L745&amp;" "&amp;$V745))),OR(CARI!$C$6="",$F745=CARI!$C$6),OR(CARI!$C$7="",$G745=CARI!$C$7),OR(CARI!$C$8="",$T745=CARI!$C$8)),MAX($Z$3:Z744)+1,""))</f>
        <v/>
      </c>
      <c r="AA745" s="40" t="str">
        <f aca="false">IF($Y745="","",MAX($AA$3:AA744)+1)</f>
        <v/>
      </c>
      <c r="AB745" s="40" t="str">
        <f aca="false">IF($F745="","",$F745&amp;"#"&amp;COUNTIF($F$4:$F745,$F745))</f>
        <v/>
      </c>
      <c r="AC745" s="40" t="str">
        <f aca="false">IF($B745="","",IF(AND(OR(CETAK!$J$10="",$F745=CETAK!$J$10),OR(CETAK!$J$11="",$G745=CETAK!$J$11),OR(CETAK!$J$12="",$P745=CETAK!$J$12),OR(CETAK!$J$13="",$N745=CETAK!$J$13),OR(CETAK!$J$14="",$T745=CETAK!$J$14)),MAX($AC$3:AC744)+1,""))</f>
        <v/>
      </c>
      <c r="AD745" s="40" t="str">
        <f aca="false">IF($B745="","",IF(AND(OR(ABSENSI!$H$10="",$F745=ABSENSI!$H$10),OR(ABSENSI!$H$11="",$G745=ABSENSI!$H$11),OR(ABSENSI!$H$12="",$P745=ABSENSI!$H$12)),MAX($AD$3:AD744)+1,""))</f>
        <v/>
      </c>
      <c r="AE745" s="40" t="str">
        <f aca="false">IF($B745="","",IF(AND(OR(KARTU!$K$6="",$F745=KARTU!$K$6),OR(KARTU!$K$7="",$G745=KARTU!$K$7),OR(KARTU!$K$8="",$P745=KARTU!$K$8)),MAX($AE$3:AE744)+1,""))</f>
        <v/>
      </c>
    </row>
    <row r="746" customFormat="false" ht="15" hidden="false" customHeight="false" outlineLevel="0" collapsed="false">
      <c r="A746" s="35" t="str">
        <f aca="false">IF($B746="","",COUNTA($B$4:$B746))</f>
        <v/>
      </c>
      <c r="B746" s="36"/>
      <c r="C746" s="37"/>
      <c r="D746" s="37"/>
      <c r="E746" s="38"/>
      <c r="F746" s="36"/>
      <c r="G746" s="39"/>
      <c r="H746" s="39"/>
      <c r="I746" s="36"/>
      <c r="J746" s="36"/>
      <c r="K746" s="36"/>
      <c r="L746" s="36"/>
      <c r="M746" s="40" t="str">
        <f aca="false">IF($F746="","",$F746&amp;IF($G746="",""," - RT "&amp;$G746&amp;IF($H746="","","/"&amp;$H746)))</f>
        <v/>
      </c>
      <c r="N746" s="36"/>
      <c r="O746" s="37"/>
      <c r="P746" s="39"/>
      <c r="Q746" s="41"/>
      <c r="R746" s="35" t="str">
        <f aca="true">IF(OR($B746="",$Q746=""),"",DATEDIF($Q746,TODAY(),"Y"))</f>
        <v/>
      </c>
      <c r="S746" s="40" t="str">
        <f aca="false">IF($R746="","",INDEX(usia_label,MATCH($R746,usia_min,1)))</f>
        <v/>
      </c>
      <c r="T746" s="36"/>
      <c r="U746" s="41"/>
      <c r="V746" s="36"/>
      <c r="W746" s="36"/>
      <c r="X746" s="40" t="str">
        <f aca="false">IF($M746="","",$M746&amp;"#"&amp;COUNTIF($M$4:$M746,$M746))</f>
        <v/>
      </c>
      <c r="Y746" s="40" t="str">
        <f aca="false">IF($B746="","",IF($C746="","NIK kosong",IF(LEN($C746)&lt;&gt;16,"NIK bukan 16 digit",IF(COUNTIF($C$4:$C$2003,$C746&amp;"*")&gt;1,"NIK ganda",IF(AND($D746&lt;&gt;"",LEN($D746)&lt;&gt;16),"No. KK bukan 16 digit",IF(AND($F746="",$I746=""),"Alamat kosong",IF($N746="","Jabatan kosong",IF($O746="","No. HP kosong",IF(AND($R746&lt;&gt;"",$R746&lt;17),"Usia di bawah 17","")))))))))</f>
        <v/>
      </c>
      <c r="Z746" s="40" t="str">
        <f aca="false">IF($B746="","",IF(AND(OR(CARI!$C$5="",ISNUMBER(SEARCH(CARI!$C$5,$B746&amp;" "&amp;$C746&amp;" "&amp;$D746&amp;" "&amp;$O746&amp;" "&amp;$I746&amp;" "&amp;$F746&amp;" "&amp;$J746&amp;" "&amp;$K746&amp;" "&amp;$L746&amp;" "&amp;$V746))),OR(CARI!$C$6="",$F746=CARI!$C$6),OR(CARI!$C$7="",$G746=CARI!$C$7),OR(CARI!$C$8="",$T746=CARI!$C$8)),MAX($Z$3:Z745)+1,""))</f>
        <v/>
      </c>
      <c r="AA746" s="40" t="str">
        <f aca="false">IF($Y746="","",MAX($AA$3:AA745)+1)</f>
        <v/>
      </c>
      <c r="AB746" s="40" t="str">
        <f aca="false">IF($F746="","",$F746&amp;"#"&amp;COUNTIF($F$4:$F746,$F746))</f>
        <v/>
      </c>
      <c r="AC746" s="40" t="str">
        <f aca="false">IF($B746="","",IF(AND(OR(CETAK!$J$10="",$F746=CETAK!$J$10),OR(CETAK!$J$11="",$G746=CETAK!$J$11),OR(CETAK!$J$12="",$P746=CETAK!$J$12),OR(CETAK!$J$13="",$N746=CETAK!$J$13),OR(CETAK!$J$14="",$T746=CETAK!$J$14)),MAX($AC$3:AC745)+1,""))</f>
        <v/>
      </c>
      <c r="AD746" s="40" t="str">
        <f aca="false">IF($B746="","",IF(AND(OR(ABSENSI!$H$10="",$F746=ABSENSI!$H$10),OR(ABSENSI!$H$11="",$G746=ABSENSI!$H$11),OR(ABSENSI!$H$12="",$P746=ABSENSI!$H$12)),MAX($AD$3:AD745)+1,""))</f>
        <v/>
      </c>
      <c r="AE746" s="40" t="str">
        <f aca="false">IF($B746="","",IF(AND(OR(KARTU!$K$6="",$F746=KARTU!$K$6),OR(KARTU!$K$7="",$G746=KARTU!$K$7),OR(KARTU!$K$8="",$P746=KARTU!$K$8)),MAX($AE$3:AE745)+1,""))</f>
        <v/>
      </c>
    </row>
    <row r="747" customFormat="false" ht="15" hidden="false" customHeight="false" outlineLevel="0" collapsed="false">
      <c r="A747" s="35" t="str">
        <f aca="false">IF($B747="","",COUNTA($B$4:$B747))</f>
        <v/>
      </c>
      <c r="B747" s="36"/>
      <c r="C747" s="37"/>
      <c r="D747" s="37"/>
      <c r="E747" s="38"/>
      <c r="F747" s="36"/>
      <c r="G747" s="39"/>
      <c r="H747" s="39"/>
      <c r="I747" s="36"/>
      <c r="J747" s="36"/>
      <c r="K747" s="36"/>
      <c r="L747" s="36"/>
      <c r="M747" s="40" t="str">
        <f aca="false">IF($F747="","",$F747&amp;IF($G747="",""," - RT "&amp;$G747&amp;IF($H747="","","/"&amp;$H747)))</f>
        <v/>
      </c>
      <c r="N747" s="36"/>
      <c r="O747" s="37"/>
      <c r="P747" s="39"/>
      <c r="Q747" s="41"/>
      <c r="R747" s="35" t="str">
        <f aca="true">IF(OR($B747="",$Q747=""),"",DATEDIF($Q747,TODAY(),"Y"))</f>
        <v/>
      </c>
      <c r="S747" s="40" t="str">
        <f aca="false">IF($R747="","",INDEX(usia_label,MATCH($R747,usia_min,1)))</f>
        <v/>
      </c>
      <c r="T747" s="36"/>
      <c r="U747" s="41"/>
      <c r="V747" s="36"/>
      <c r="W747" s="36"/>
      <c r="X747" s="40" t="str">
        <f aca="false">IF($M747="","",$M747&amp;"#"&amp;COUNTIF($M$4:$M747,$M747))</f>
        <v/>
      </c>
      <c r="Y747" s="40" t="str">
        <f aca="false">IF($B747="","",IF($C747="","NIK kosong",IF(LEN($C747)&lt;&gt;16,"NIK bukan 16 digit",IF(COUNTIF($C$4:$C$2003,$C747&amp;"*")&gt;1,"NIK ganda",IF(AND($D747&lt;&gt;"",LEN($D747)&lt;&gt;16),"No. KK bukan 16 digit",IF(AND($F747="",$I747=""),"Alamat kosong",IF($N747="","Jabatan kosong",IF($O747="","No. HP kosong",IF(AND($R747&lt;&gt;"",$R747&lt;17),"Usia di bawah 17","")))))))))</f>
        <v/>
      </c>
      <c r="Z747" s="40" t="str">
        <f aca="false">IF($B747="","",IF(AND(OR(CARI!$C$5="",ISNUMBER(SEARCH(CARI!$C$5,$B747&amp;" "&amp;$C747&amp;" "&amp;$D747&amp;" "&amp;$O747&amp;" "&amp;$I747&amp;" "&amp;$F747&amp;" "&amp;$J747&amp;" "&amp;$K747&amp;" "&amp;$L747&amp;" "&amp;$V747))),OR(CARI!$C$6="",$F747=CARI!$C$6),OR(CARI!$C$7="",$G747=CARI!$C$7),OR(CARI!$C$8="",$T747=CARI!$C$8)),MAX($Z$3:Z746)+1,""))</f>
        <v/>
      </c>
      <c r="AA747" s="40" t="str">
        <f aca="false">IF($Y747="","",MAX($AA$3:AA746)+1)</f>
        <v/>
      </c>
      <c r="AB747" s="40" t="str">
        <f aca="false">IF($F747="","",$F747&amp;"#"&amp;COUNTIF($F$4:$F747,$F747))</f>
        <v/>
      </c>
      <c r="AC747" s="40" t="str">
        <f aca="false">IF($B747="","",IF(AND(OR(CETAK!$J$10="",$F747=CETAK!$J$10),OR(CETAK!$J$11="",$G747=CETAK!$J$11),OR(CETAK!$J$12="",$P747=CETAK!$J$12),OR(CETAK!$J$13="",$N747=CETAK!$J$13),OR(CETAK!$J$14="",$T747=CETAK!$J$14)),MAX($AC$3:AC746)+1,""))</f>
        <v/>
      </c>
      <c r="AD747" s="40" t="str">
        <f aca="false">IF($B747="","",IF(AND(OR(ABSENSI!$H$10="",$F747=ABSENSI!$H$10),OR(ABSENSI!$H$11="",$G747=ABSENSI!$H$11),OR(ABSENSI!$H$12="",$P747=ABSENSI!$H$12)),MAX($AD$3:AD746)+1,""))</f>
        <v/>
      </c>
      <c r="AE747" s="40" t="str">
        <f aca="false">IF($B747="","",IF(AND(OR(KARTU!$K$6="",$F747=KARTU!$K$6),OR(KARTU!$K$7="",$G747=KARTU!$K$7),OR(KARTU!$K$8="",$P747=KARTU!$K$8)),MAX($AE$3:AE746)+1,""))</f>
        <v/>
      </c>
    </row>
    <row r="748" customFormat="false" ht="15" hidden="false" customHeight="false" outlineLevel="0" collapsed="false">
      <c r="A748" s="35" t="str">
        <f aca="false">IF($B748="","",COUNTA($B$4:$B748))</f>
        <v/>
      </c>
      <c r="B748" s="36"/>
      <c r="C748" s="37"/>
      <c r="D748" s="37"/>
      <c r="E748" s="38"/>
      <c r="F748" s="36"/>
      <c r="G748" s="39"/>
      <c r="H748" s="39"/>
      <c r="I748" s="36"/>
      <c r="J748" s="36"/>
      <c r="K748" s="36"/>
      <c r="L748" s="36"/>
      <c r="M748" s="40" t="str">
        <f aca="false">IF($F748="","",$F748&amp;IF($G748="",""," - RT "&amp;$G748&amp;IF($H748="","","/"&amp;$H748)))</f>
        <v/>
      </c>
      <c r="N748" s="36"/>
      <c r="O748" s="37"/>
      <c r="P748" s="39"/>
      <c r="Q748" s="41"/>
      <c r="R748" s="35" t="str">
        <f aca="true">IF(OR($B748="",$Q748=""),"",DATEDIF($Q748,TODAY(),"Y"))</f>
        <v/>
      </c>
      <c r="S748" s="40" t="str">
        <f aca="false">IF($R748="","",INDEX(usia_label,MATCH($R748,usia_min,1)))</f>
        <v/>
      </c>
      <c r="T748" s="36"/>
      <c r="U748" s="41"/>
      <c r="V748" s="36"/>
      <c r="W748" s="36"/>
      <c r="X748" s="40" t="str">
        <f aca="false">IF($M748="","",$M748&amp;"#"&amp;COUNTIF($M$4:$M748,$M748))</f>
        <v/>
      </c>
      <c r="Y748" s="40" t="str">
        <f aca="false">IF($B748="","",IF($C748="","NIK kosong",IF(LEN($C748)&lt;&gt;16,"NIK bukan 16 digit",IF(COUNTIF($C$4:$C$2003,$C748&amp;"*")&gt;1,"NIK ganda",IF(AND($D748&lt;&gt;"",LEN($D748)&lt;&gt;16),"No. KK bukan 16 digit",IF(AND($F748="",$I748=""),"Alamat kosong",IF($N748="","Jabatan kosong",IF($O748="","No. HP kosong",IF(AND($R748&lt;&gt;"",$R748&lt;17),"Usia di bawah 17","")))))))))</f>
        <v/>
      </c>
      <c r="Z748" s="40" t="str">
        <f aca="false">IF($B748="","",IF(AND(OR(CARI!$C$5="",ISNUMBER(SEARCH(CARI!$C$5,$B748&amp;" "&amp;$C748&amp;" "&amp;$D748&amp;" "&amp;$O748&amp;" "&amp;$I748&amp;" "&amp;$F748&amp;" "&amp;$J748&amp;" "&amp;$K748&amp;" "&amp;$L748&amp;" "&amp;$V748))),OR(CARI!$C$6="",$F748=CARI!$C$6),OR(CARI!$C$7="",$G748=CARI!$C$7),OR(CARI!$C$8="",$T748=CARI!$C$8)),MAX($Z$3:Z747)+1,""))</f>
        <v/>
      </c>
      <c r="AA748" s="40" t="str">
        <f aca="false">IF($Y748="","",MAX($AA$3:AA747)+1)</f>
        <v/>
      </c>
      <c r="AB748" s="40" t="str">
        <f aca="false">IF($F748="","",$F748&amp;"#"&amp;COUNTIF($F$4:$F748,$F748))</f>
        <v/>
      </c>
      <c r="AC748" s="40" t="str">
        <f aca="false">IF($B748="","",IF(AND(OR(CETAK!$J$10="",$F748=CETAK!$J$10),OR(CETAK!$J$11="",$G748=CETAK!$J$11),OR(CETAK!$J$12="",$P748=CETAK!$J$12),OR(CETAK!$J$13="",$N748=CETAK!$J$13),OR(CETAK!$J$14="",$T748=CETAK!$J$14)),MAX($AC$3:AC747)+1,""))</f>
        <v/>
      </c>
      <c r="AD748" s="40" t="str">
        <f aca="false">IF($B748="","",IF(AND(OR(ABSENSI!$H$10="",$F748=ABSENSI!$H$10),OR(ABSENSI!$H$11="",$G748=ABSENSI!$H$11),OR(ABSENSI!$H$12="",$P748=ABSENSI!$H$12)),MAX($AD$3:AD747)+1,""))</f>
        <v/>
      </c>
      <c r="AE748" s="40" t="str">
        <f aca="false">IF($B748="","",IF(AND(OR(KARTU!$K$6="",$F748=KARTU!$K$6),OR(KARTU!$K$7="",$G748=KARTU!$K$7),OR(KARTU!$K$8="",$P748=KARTU!$K$8)),MAX($AE$3:AE747)+1,""))</f>
        <v/>
      </c>
    </row>
    <row r="749" customFormat="false" ht="15" hidden="false" customHeight="false" outlineLevel="0" collapsed="false">
      <c r="A749" s="35" t="str">
        <f aca="false">IF($B749="","",COUNTA($B$4:$B749))</f>
        <v/>
      </c>
      <c r="B749" s="36"/>
      <c r="C749" s="37"/>
      <c r="D749" s="37"/>
      <c r="E749" s="38"/>
      <c r="F749" s="36"/>
      <c r="G749" s="39"/>
      <c r="H749" s="39"/>
      <c r="I749" s="36"/>
      <c r="J749" s="36"/>
      <c r="K749" s="36"/>
      <c r="L749" s="36"/>
      <c r="M749" s="40" t="str">
        <f aca="false">IF($F749="","",$F749&amp;IF($G749="",""," - RT "&amp;$G749&amp;IF($H749="","","/"&amp;$H749)))</f>
        <v/>
      </c>
      <c r="N749" s="36"/>
      <c r="O749" s="37"/>
      <c r="P749" s="39"/>
      <c r="Q749" s="41"/>
      <c r="R749" s="35" t="str">
        <f aca="true">IF(OR($B749="",$Q749=""),"",DATEDIF($Q749,TODAY(),"Y"))</f>
        <v/>
      </c>
      <c r="S749" s="40" t="str">
        <f aca="false">IF($R749="","",INDEX(usia_label,MATCH($R749,usia_min,1)))</f>
        <v/>
      </c>
      <c r="T749" s="36"/>
      <c r="U749" s="41"/>
      <c r="V749" s="36"/>
      <c r="W749" s="36"/>
      <c r="X749" s="40" t="str">
        <f aca="false">IF($M749="","",$M749&amp;"#"&amp;COUNTIF($M$4:$M749,$M749))</f>
        <v/>
      </c>
      <c r="Y749" s="40" t="str">
        <f aca="false">IF($B749="","",IF($C749="","NIK kosong",IF(LEN($C749)&lt;&gt;16,"NIK bukan 16 digit",IF(COUNTIF($C$4:$C$2003,$C749&amp;"*")&gt;1,"NIK ganda",IF(AND($D749&lt;&gt;"",LEN($D749)&lt;&gt;16),"No. KK bukan 16 digit",IF(AND($F749="",$I749=""),"Alamat kosong",IF($N749="","Jabatan kosong",IF($O749="","No. HP kosong",IF(AND($R749&lt;&gt;"",$R749&lt;17),"Usia di bawah 17","")))))))))</f>
        <v/>
      </c>
      <c r="Z749" s="40" t="str">
        <f aca="false">IF($B749="","",IF(AND(OR(CARI!$C$5="",ISNUMBER(SEARCH(CARI!$C$5,$B749&amp;" "&amp;$C749&amp;" "&amp;$D749&amp;" "&amp;$O749&amp;" "&amp;$I749&amp;" "&amp;$F749&amp;" "&amp;$J749&amp;" "&amp;$K749&amp;" "&amp;$L749&amp;" "&amp;$V749))),OR(CARI!$C$6="",$F749=CARI!$C$6),OR(CARI!$C$7="",$G749=CARI!$C$7),OR(CARI!$C$8="",$T749=CARI!$C$8)),MAX($Z$3:Z748)+1,""))</f>
        <v/>
      </c>
      <c r="AA749" s="40" t="str">
        <f aca="false">IF($Y749="","",MAX($AA$3:AA748)+1)</f>
        <v/>
      </c>
      <c r="AB749" s="40" t="str">
        <f aca="false">IF($F749="","",$F749&amp;"#"&amp;COUNTIF($F$4:$F749,$F749))</f>
        <v/>
      </c>
      <c r="AC749" s="40" t="str">
        <f aca="false">IF($B749="","",IF(AND(OR(CETAK!$J$10="",$F749=CETAK!$J$10),OR(CETAK!$J$11="",$G749=CETAK!$J$11),OR(CETAK!$J$12="",$P749=CETAK!$J$12),OR(CETAK!$J$13="",$N749=CETAK!$J$13),OR(CETAK!$J$14="",$T749=CETAK!$J$14)),MAX($AC$3:AC748)+1,""))</f>
        <v/>
      </c>
      <c r="AD749" s="40" t="str">
        <f aca="false">IF($B749="","",IF(AND(OR(ABSENSI!$H$10="",$F749=ABSENSI!$H$10),OR(ABSENSI!$H$11="",$G749=ABSENSI!$H$11),OR(ABSENSI!$H$12="",$P749=ABSENSI!$H$12)),MAX($AD$3:AD748)+1,""))</f>
        <v/>
      </c>
      <c r="AE749" s="40" t="str">
        <f aca="false">IF($B749="","",IF(AND(OR(KARTU!$K$6="",$F749=KARTU!$K$6),OR(KARTU!$K$7="",$G749=KARTU!$K$7),OR(KARTU!$K$8="",$P749=KARTU!$K$8)),MAX($AE$3:AE748)+1,""))</f>
        <v/>
      </c>
    </row>
    <row r="750" customFormat="false" ht="15" hidden="false" customHeight="false" outlineLevel="0" collapsed="false">
      <c r="A750" s="35" t="str">
        <f aca="false">IF($B750="","",COUNTA($B$4:$B750))</f>
        <v/>
      </c>
      <c r="B750" s="36"/>
      <c r="C750" s="37"/>
      <c r="D750" s="37"/>
      <c r="E750" s="38"/>
      <c r="F750" s="36"/>
      <c r="G750" s="39"/>
      <c r="H750" s="39"/>
      <c r="I750" s="36"/>
      <c r="J750" s="36"/>
      <c r="K750" s="36"/>
      <c r="L750" s="36"/>
      <c r="M750" s="40" t="str">
        <f aca="false">IF($F750="","",$F750&amp;IF($G750="",""," - RT "&amp;$G750&amp;IF($H750="","","/"&amp;$H750)))</f>
        <v/>
      </c>
      <c r="N750" s="36"/>
      <c r="O750" s="37"/>
      <c r="P750" s="39"/>
      <c r="Q750" s="41"/>
      <c r="R750" s="35" t="str">
        <f aca="true">IF(OR($B750="",$Q750=""),"",DATEDIF($Q750,TODAY(),"Y"))</f>
        <v/>
      </c>
      <c r="S750" s="40" t="str">
        <f aca="false">IF($R750="","",INDEX(usia_label,MATCH($R750,usia_min,1)))</f>
        <v/>
      </c>
      <c r="T750" s="36"/>
      <c r="U750" s="41"/>
      <c r="V750" s="36"/>
      <c r="W750" s="36"/>
      <c r="X750" s="40" t="str">
        <f aca="false">IF($M750="","",$M750&amp;"#"&amp;COUNTIF($M$4:$M750,$M750))</f>
        <v/>
      </c>
      <c r="Y750" s="40" t="str">
        <f aca="false">IF($B750="","",IF($C750="","NIK kosong",IF(LEN($C750)&lt;&gt;16,"NIK bukan 16 digit",IF(COUNTIF($C$4:$C$2003,$C750&amp;"*")&gt;1,"NIK ganda",IF(AND($D750&lt;&gt;"",LEN($D750)&lt;&gt;16),"No. KK bukan 16 digit",IF(AND($F750="",$I750=""),"Alamat kosong",IF($N750="","Jabatan kosong",IF($O750="","No. HP kosong",IF(AND($R750&lt;&gt;"",$R750&lt;17),"Usia di bawah 17","")))))))))</f>
        <v/>
      </c>
      <c r="Z750" s="40" t="str">
        <f aca="false">IF($B750="","",IF(AND(OR(CARI!$C$5="",ISNUMBER(SEARCH(CARI!$C$5,$B750&amp;" "&amp;$C750&amp;" "&amp;$D750&amp;" "&amp;$O750&amp;" "&amp;$I750&amp;" "&amp;$F750&amp;" "&amp;$J750&amp;" "&amp;$K750&amp;" "&amp;$L750&amp;" "&amp;$V750))),OR(CARI!$C$6="",$F750=CARI!$C$6),OR(CARI!$C$7="",$G750=CARI!$C$7),OR(CARI!$C$8="",$T750=CARI!$C$8)),MAX($Z$3:Z749)+1,""))</f>
        <v/>
      </c>
      <c r="AA750" s="40" t="str">
        <f aca="false">IF($Y750="","",MAX($AA$3:AA749)+1)</f>
        <v/>
      </c>
      <c r="AB750" s="40" t="str">
        <f aca="false">IF($F750="","",$F750&amp;"#"&amp;COUNTIF($F$4:$F750,$F750))</f>
        <v/>
      </c>
      <c r="AC750" s="40" t="str">
        <f aca="false">IF($B750="","",IF(AND(OR(CETAK!$J$10="",$F750=CETAK!$J$10),OR(CETAK!$J$11="",$G750=CETAK!$J$11),OR(CETAK!$J$12="",$P750=CETAK!$J$12),OR(CETAK!$J$13="",$N750=CETAK!$J$13),OR(CETAK!$J$14="",$T750=CETAK!$J$14)),MAX($AC$3:AC749)+1,""))</f>
        <v/>
      </c>
      <c r="AD750" s="40" t="str">
        <f aca="false">IF($B750="","",IF(AND(OR(ABSENSI!$H$10="",$F750=ABSENSI!$H$10),OR(ABSENSI!$H$11="",$G750=ABSENSI!$H$11),OR(ABSENSI!$H$12="",$P750=ABSENSI!$H$12)),MAX($AD$3:AD749)+1,""))</f>
        <v/>
      </c>
      <c r="AE750" s="40" t="str">
        <f aca="false">IF($B750="","",IF(AND(OR(KARTU!$K$6="",$F750=KARTU!$K$6),OR(KARTU!$K$7="",$G750=KARTU!$K$7),OR(KARTU!$K$8="",$P750=KARTU!$K$8)),MAX($AE$3:AE749)+1,""))</f>
        <v/>
      </c>
    </row>
    <row r="751" customFormat="false" ht="15" hidden="false" customHeight="false" outlineLevel="0" collapsed="false">
      <c r="A751" s="35" t="str">
        <f aca="false">IF($B751="","",COUNTA($B$4:$B751))</f>
        <v/>
      </c>
      <c r="B751" s="36"/>
      <c r="C751" s="37"/>
      <c r="D751" s="37"/>
      <c r="E751" s="38"/>
      <c r="F751" s="36"/>
      <c r="G751" s="39"/>
      <c r="H751" s="39"/>
      <c r="I751" s="36"/>
      <c r="J751" s="36"/>
      <c r="K751" s="36"/>
      <c r="L751" s="36"/>
      <c r="M751" s="40" t="str">
        <f aca="false">IF($F751="","",$F751&amp;IF($G751="",""," - RT "&amp;$G751&amp;IF($H751="","","/"&amp;$H751)))</f>
        <v/>
      </c>
      <c r="N751" s="36"/>
      <c r="O751" s="37"/>
      <c r="P751" s="39"/>
      <c r="Q751" s="41"/>
      <c r="R751" s="35" t="str">
        <f aca="true">IF(OR($B751="",$Q751=""),"",DATEDIF($Q751,TODAY(),"Y"))</f>
        <v/>
      </c>
      <c r="S751" s="40" t="str">
        <f aca="false">IF($R751="","",INDEX(usia_label,MATCH($R751,usia_min,1)))</f>
        <v/>
      </c>
      <c r="T751" s="36"/>
      <c r="U751" s="41"/>
      <c r="V751" s="36"/>
      <c r="W751" s="36"/>
      <c r="X751" s="40" t="str">
        <f aca="false">IF($M751="","",$M751&amp;"#"&amp;COUNTIF($M$4:$M751,$M751))</f>
        <v/>
      </c>
      <c r="Y751" s="40" t="str">
        <f aca="false">IF($B751="","",IF($C751="","NIK kosong",IF(LEN($C751)&lt;&gt;16,"NIK bukan 16 digit",IF(COUNTIF($C$4:$C$2003,$C751&amp;"*")&gt;1,"NIK ganda",IF(AND($D751&lt;&gt;"",LEN($D751)&lt;&gt;16),"No. KK bukan 16 digit",IF(AND($F751="",$I751=""),"Alamat kosong",IF($N751="","Jabatan kosong",IF($O751="","No. HP kosong",IF(AND($R751&lt;&gt;"",$R751&lt;17),"Usia di bawah 17","")))))))))</f>
        <v/>
      </c>
      <c r="Z751" s="40" t="str">
        <f aca="false">IF($B751="","",IF(AND(OR(CARI!$C$5="",ISNUMBER(SEARCH(CARI!$C$5,$B751&amp;" "&amp;$C751&amp;" "&amp;$D751&amp;" "&amp;$O751&amp;" "&amp;$I751&amp;" "&amp;$F751&amp;" "&amp;$J751&amp;" "&amp;$K751&amp;" "&amp;$L751&amp;" "&amp;$V751))),OR(CARI!$C$6="",$F751=CARI!$C$6),OR(CARI!$C$7="",$G751=CARI!$C$7),OR(CARI!$C$8="",$T751=CARI!$C$8)),MAX($Z$3:Z750)+1,""))</f>
        <v/>
      </c>
      <c r="AA751" s="40" t="str">
        <f aca="false">IF($Y751="","",MAX($AA$3:AA750)+1)</f>
        <v/>
      </c>
      <c r="AB751" s="40" t="str">
        <f aca="false">IF($F751="","",$F751&amp;"#"&amp;COUNTIF($F$4:$F751,$F751))</f>
        <v/>
      </c>
      <c r="AC751" s="40" t="str">
        <f aca="false">IF($B751="","",IF(AND(OR(CETAK!$J$10="",$F751=CETAK!$J$10),OR(CETAK!$J$11="",$G751=CETAK!$J$11),OR(CETAK!$J$12="",$P751=CETAK!$J$12),OR(CETAK!$J$13="",$N751=CETAK!$J$13),OR(CETAK!$J$14="",$T751=CETAK!$J$14)),MAX($AC$3:AC750)+1,""))</f>
        <v/>
      </c>
      <c r="AD751" s="40" t="str">
        <f aca="false">IF($B751="","",IF(AND(OR(ABSENSI!$H$10="",$F751=ABSENSI!$H$10),OR(ABSENSI!$H$11="",$G751=ABSENSI!$H$11),OR(ABSENSI!$H$12="",$P751=ABSENSI!$H$12)),MAX($AD$3:AD750)+1,""))</f>
        <v/>
      </c>
      <c r="AE751" s="40" t="str">
        <f aca="false">IF($B751="","",IF(AND(OR(KARTU!$K$6="",$F751=KARTU!$K$6),OR(KARTU!$K$7="",$G751=KARTU!$K$7),OR(KARTU!$K$8="",$P751=KARTU!$K$8)),MAX($AE$3:AE750)+1,""))</f>
        <v/>
      </c>
    </row>
    <row r="752" customFormat="false" ht="15" hidden="false" customHeight="false" outlineLevel="0" collapsed="false">
      <c r="A752" s="35" t="str">
        <f aca="false">IF($B752="","",COUNTA($B$4:$B752))</f>
        <v/>
      </c>
      <c r="B752" s="36"/>
      <c r="C752" s="37"/>
      <c r="D752" s="37"/>
      <c r="E752" s="38"/>
      <c r="F752" s="36"/>
      <c r="G752" s="39"/>
      <c r="H752" s="39"/>
      <c r="I752" s="36"/>
      <c r="J752" s="36"/>
      <c r="K752" s="36"/>
      <c r="L752" s="36"/>
      <c r="M752" s="40" t="str">
        <f aca="false">IF($F752="","",$F752&amp;IF($G752="",""," - RT "&amp;$G752&amp;IF($H752="","","/"&amp;$H752)))</f>
        <v/>
      </c>
      <c r="N752" s="36"/>
      <c r="O752" s="37"/>
      <c r="P752" s="39"/>
      <c r="Q752" s="41"/>
      <c r="R752" s="35" t="str">
        <f aca="true">IF(OR($B752="",$Q752=""),"",DATEDIF($Q752,TODAY(),"Y"))</f>
        <v/>
      </c>
      <c r="S752" s="40" t="str">
        <f aca="false">IF($R752="","",INDEX(usia_label,MATCH($R752,usia_min,1)))</f>
        <v/>
      </c>
      <c r="T752" s="36"/>
      <c r="U752" s="41"/>
      <c r="V752" s="36"/>
      <c r="W752" s="36"/>
      <c r="X752" s="40" t="str">
        <f aca="false">IF($M752="","",$M752&amp;"#"&amp;COUNTIF($M$4:$M752,$M752))</f>
        <v/>
      </c>
      <c r="Y752" s="40" t="str">
        <f aca="false">IF($B752="","",IF($C752="","NIK kosong",IF(LEN($C752)&lt;&gt;16,"NIK bukan 16 digit",IF(COUNTIF($C$4:$C$2003,$C752&amp;"*")&gt;1,"NIK ganda",IF(AND($D752&lt;&gt;"",LEN($D752)&lt;&gt;16),"No. KK bukan 16 digit",IF(AND($F752="",$I752=""),"Alamat kosong",IF($N752="","Jabatan kosong",IF($O752="","No. HP kosong",IF(AND($R752&lt;&gt;"",$R752&lt;17),"Usia di bawah 17","")))))))))</f>
        <v/>
      </c>
      <c r="Z752" s="40" t="str">
        <f aca="false">IF($B752="","",IF(AND(OR(CARI!$C$5="",ISNUMBER(SEARCH(CARI!$C$5,$B752&amp;" "&amp;$C752&amp;" "&amp;$D752&amp;" "&amp;$O752&amp;" "&amp;$I752&amp;" "&amp;$F752&amp;" "&amp;$J752&amp;" "&amp;$K752&amp;" "&amp;$L752&amp;" "&amp;$V752))),OR(CARI!$C$6="",$F752=CARI!$C$6),OR(CARI!$C$7="",$G752=CARI!$C$7),OR(CARI!$C$8="",$T752=CARI!$C$8)),MAX($Z$3:Z751)+1,""))</f>
        <v/>
      </c>
      <c r="AA752" s="40" t="str">
        <f aca="false">IF($Y752="","",MAX($AA$3:AA751)+1)</f>
        <v/>
      </c>
      <c r="AB752" s="40" t="str">
        <f aca="false">IF($F752="","",$F752&amp;"#"&amp;COUNTIF($F$4:$F752,$F752))</f>
        <v/>
      </c>
      <c r="AC752" s="40" t="str">
        <f aca="false">IF($B752="","",IF(AND(OR(CETAK!$J$10="",$F752=CETAK!$J$10),OR(CETAK!$J$11="",$G752=CETAK!$J$11),OR(CETAK!$J$12="",$P752=CETAK!$J$12),OR(CETAK!$J$13="",$N752=CETAK!$J$13),OR(CETAK!$J$14="",$T752=CETAK!$J$14)),MAX($AC$3:AC751)+1,""))</f>
        <v/>
      </c>
      <c r="AD752" s="40" t="str">
        <f aca="false">IF($B752="","",IF(AND(OR(ABSENSI!$H$10="",$F752=ABSENSI!$H$10),OR(ABSENSI!$H$11="",$G752=ABSENSI!$H$11),OR(ABSENSI!$H$12="",$P752=ABSENSI!$H$12)),MAX($AD$3:AD751)+1,""))</f>
        <v/>
      </c>
      <c r="AE752" s="40" t="str">
        <f aca="false">IF($B752="","",IF(AND(OR(KARTU!$K$6="",$F752=KARTU!$K$6),OR(KARTU!$K$7="",$G752=KARTU!$K$7),OR(KARTU!$K$8="",$P752=KARTU!$K$8)),MAX($AE$3:AE751)+1,""))</f>
        <v/>
      </c>
    </row>
    <row r="753" customFormat="false" ht="15" hidden="false" customHeight="false" outlineLevel="0" collapsed="false">
      <c r="A753" s="35" t="str">
        <f aca="false">IF($B753="","",COUNTA($B$4:$B753))</f>
        <v/>
      </c>
      <c r="B753" s="36"/>
      <c r="C753" s="37"/>
      <c r="D753" s="37"/>
      <c r="E753" s="38"/>
      <c r="F753" s="36"/>
      <c r="G753" s="39"/>
      <c r="H753" s="39"/>
      <c r="I753" s="36"/>
      <c r="J753" s="36"/>
      <c r="K753" s="36"/>
      <c r="L753" s="36"/>
      <c r="M753" s="40" t="str">
        <f aca="false">IF($F753="","",$F753&amp;IF($G753="",""," - RT "&amp;$G753&amp;IF($H753="","","/"&amp;$H753)))</f>
        <v/>
      </c>
      <c r="N753" s="36"/>
      <c r="O753" s="37"/>
      <c r="P753" s="39"/>
      <c r="Q753" s="41"/>
      <c r="R753" s="35" t="str">
        <f aca="true">IF(OR($B753="",$Q753=""),"",DATEDIF($Q753,TODAY(),"Y"))</f>
        <v/>
      </c>
      <c r="S753" s="40" t="str">
        <f aca="false">IF($R753="","",INDEX(usia_label,MATCH($R753,usia_min,1)))</f>
        <v/>
      </c>
      <c r="T753" s="36"/>
      <c r="U753" s="41"/>
      <c r="V753" s="36"/>
      <c r="W753" s="36"/>
      <c r="X753" s="40" t="str">
        <f aca="false">IF($M753="","",$M753&amp;"#"&amp;COUNTIF($M$4:$M753,$M753))</f>
        <v/>
      </c>
      <c r="Y753" s="40" t="str">
        <f aca="false">IF($B753="","",IF($C753="","NIK kosong",IF(LEN($C753)&lt;&gt;16,"NIK bukan 16 digit",IF(COUNTIF($C$4:$C$2003,$C753&amp;"*")&gt;1,"NIK ganda",IF(AND($D753&lt;&gt;"",LEN($D753)&lt;&gt;16),"No. KK bukan 16 digit",IF(AND($F753="",$I753=""),"Alamat kosong",IF($N753="","Jabatan kosong",IF($O753="","No. HP kosong",IF(AND($R753&lt;&gt;"",$R753&lt;17),"Usia di bawah 17","")))))))))</f>
        <v/>
      </c>
      <c r="Z753" s="40" t="str">
        <f aca="false">IF($B753="","",IF(AND(OR(CARI!$C$5="",ISNUMBER(SEARCH(CARI!$C$5,$B753&amp;" "&amp;$C753&amp;" "&amp;$D753&amp;" "&amp;$O753&amp;" "&amp;$I753&amp;" "&amp;$F753&amp;" "&amp;$J753&amp;" "&amp;$K753&amp;" "&amp;$L753&amp;" "&amp;$V753))),OR(CARI!$C$6="",$F753=CARI!$C$6),OR(CARI!$C$7="",$G753=CARI!$C$7),OR(CARI!$C$8="",$T753=CARI!$C$8)),MAX($Z$3:Z752)+1,""))</f>
        <v/>
      </c>
      <c r="AA753" s="40" t="str">
        <f aca="false">IF($Y753="","",MAX($AA$3:AA752)+1)</f>
        <v/>
      </c>
      <c r="AB753" s="40" t="str">
        <f aca="false">IF($F753="","",$F753&amp;"#"&amp;COUNTIF($F$4:$F753,$F753))</f>
        <v/>
      </c>
      <c r="AC753" s="40" t="str">
        <f aca="false">IF($B753="","",IF(AND(OR(CETAK!$J$10="",$F753=CETAK!$J$10),OR(CETAK!$J$11="",$G753=CETAK!$J$11),OR(CETAK!$J$12="",$P753=CETAK!$J$12),OR(CETAK!$J$13="",$N753=CETAK!$J$13),OR(CETAK!$J$14="",$T753=CETAK!$J$14)),MAX($AC$3:AC752)+1,""))</f>
        <v/>
      </c>
      <c r="AD753" s="40" t="str">
        <f aca="false">IF($B753="","",IF(AND(OR(ABSENSI!$H$10="",$F753=ABSENSI!$H$10),OR(ABSENSI!$H$11="",$G753=ABSENSI!$H$11),OR(ABSENSI!$H$12="",$P753=ABSENSI!$H$12)),MAX($AD$3:AD752)+1,""))</f>
        <v/>
      </c>
      <c r="AE753" s="40" t="str">
        <f aca="false">IF($B753="","",IF(AND(OR(KARTU!$K$6="",$F753=KARTU!$K$6),OR(KARTU!$K$7="",$G753=KARTU!$K$7),OR(KARTU!$K$8="",$P753=KARTU!$K$8)),MAX($AE$3:AE752)+1,""))</f>
        <v/>
      </c>
    </row>
    <row r="754" customFormat="false" ht="15" hidden="false" customHeight="false" outlineLevel="0" collapsed="false">
      <c r="A754" s="35" t="str">
        <f aca="false">IF($B754="","",COUNTA($B$4:$B754))</f>
        <v/>
      </c>
      <c r="B754" s="36"/>
      <c r="C754" s="37"/>
      <c r="D754" s="37"/>
      <c r="E754" s="38"/>
      <c r="F754" s="36"/>
      <c r="G754" s="39"/>
      <c r="H754" s="39"/>
      <c r="I754" s="36"/>
      <c r="J754" s="36"/>
      <c r="K754" s="36"/>
      <c r="L754" s="36"/>
      <c r="M754" s="40" t="str">
        <f aca="false">IF($F754="","",$F754&amp;IF($G754="",""," - RT "&amp;$G754&amp;IF($H754="","","/"&amp;$H754)))</f>
        <v/>
      </c>
      <c r="N754" s="36"/>
      <c r="O754" s="37"/>
      <c r="P754" s="39"/>
      <c r="Q754" s="41"/>
      <c r="R754" s="35" t="str">
        <f aca="true">IF(OR($B754="",$Q754=""),"",DATEDIF($Q754,TODAY(),"Y"))</f>
        <v/>
      </c>
      <c r="S754" s="40" t="str">
        <f aca="false">IF($R754="","",INDEX(usia_label,MATCH($R754,usia_min,1)))</f>
        <v/>
      </c>
      <c r="T754" s="36"/>
      <c r="U754" s="41"/>
      <c r="V754" s="36"/>
      <c r="W754" s="36"/>
      <c r="X754" s="40" t="str">
        <f aca="false">IF($M754="","",$M754&amp;"#"&amp;COUNTIF($M$4:$M754,$M754))</f>
        <v/>
      </c>
      <c r="Y754" s="40" t="str">
        <f aca="false">IF($B754="","",IF($C754="","NIK kosong",IF(LEN($C754)&lt;&gt;16,"NIK bukan 16 digit",IF(COUNTIF($C$4:$C$2003,$C754&amp;"*")&gt;1,"NIK ganda",IF(AND($D754&lt;&gt;"",LEN($D754)&lt;&gt;16),"No. KK bukan 16 digit",IF(AND($F754="",$I754=""),"Alamat kosong",IF($N754="","Jabatan kosong",IF($O754="","No. HP kosong",IF(AND($R754&lt;&gt;"",$R754&lt;17),"Usia di bawah 17","")))))))))</f>
        <v/>
      </c>
      <c r="Z754" s="40" t="str">
        <f aca="false">IF($B754="","",IF(AND(OR(CARI!$C$5="",ISNUMBER(SEARCH(CARI!$C$5,$B754&amp;" "&amp;$C754&amp;" "&amp;$D754&amp;" "&amp;$O754&amp;" "&amp;$I754&amp;" "&amp;$F754&amp;" "&amp;$J754&amp;" "&amp;$K754&amp;" "&amp;$L754&amp;" "&amp;$V754))),OR(CARI!$C$6="",$F754=CARI!$C$6),OR(CARI!$C$7="",$G754=CARI!$C$7),OR(CARI!$C$8="",$T754=CARI!$C$8)),MAX($Z$3:Z753)+1,""))</f>
        <v/>
      </c>
      <c r="AA754" s="40" t="str">
        <f aca="false">IF($Y754="","",MAX($AA$3:AA753)+1)</f>
        <v/>
      </c>
      <c r="AB754" s="40" t="str">
        <f aca="false">IF($F754="","",$F754&amp;"#"&amp;COUNTIF($F$4:$F754,$F754))</f>
        <v/>
      </c>
      <c r="AC754" s="40" t="str">
        <f aca="false">IF($B754="","",IF(AND(OR(CETAK!$J$10="",$F754=CETAK!$J$10),OR(CETAK!$J$11="",$G754=CETAK!$J$11),OR(CETAK!$J$12="",$P754=CETAK!$J$12),OR(CETAK!$J$13="",$N754=CETAK!$J$13),OR(CETAK!$J$14="",$T754=CETAK!$J$14)),MAX($AC$3:AC753)+1,""))</f>
        <v/>
      </c>
      <c r="AD754" s="40" t="str">
        <f aca="false">IF($B754="","",IF(AND(OR(ABSENSI!$H$10="",$F754=ABSENSI!$H$10),OR(ABSENSI!$H$11="",$G754=ABSENSI!$H$11),OR(ABSENSI!$H$12="",$P754=ABSENSI!$H$12)),MAX($AD$3:AD753)+1,""))</f>
        <v/>
      </c>
      <c r="AE754" s="40" t="str">
        <f aca="false">IF($B754="","",IF(AND(OR(KARTU!$K$6="",$F754=KARTU!$K$6),OR(KARTU!$K$7="",$G754=KARTU!$K$7),OR(KARTU!$K$8="",$P754=KARTU!$K$8)),MAX($AE$3:AE753)+1,""))</f>
        <v/>
      </c>
    </row>
    <row r="755" customFormat="false" ht="15" hidden="false" customHeight="false" outlineLevel="0" collapsed="false">
      <c r="A755" s="35" t="str">
        <f aca="false">IF($B755="","",COUNTA($B$4:$B755))</f>
        <v/>
      </c>
      <c r="B755" s="36"/>
      <c r="C755" s="37"/>
      <c r="D755" s="37"/>
      <c r="E755" s="38"/>
      <c r="F755" s="36"/>
      <c r="G755" s="39"/>
      <c r="H755" s="39"/>
      <c r="I755" s="36"/>
      <c r="J755" s="36"/>
      <c r="K755" s="36"/>
      <c r="L755" s="36"/>
      <c r="M755" s="40" t="str">
        <f aca="false">IF($F755="","",$F755&amp;IF($G755="",""," - RT "&amp;$G755&amp;IF($H755="","","/"&amp;$H755)))</f>
        <v/>
      </c>
      <c r="N755" s="36"/>
      <c r="O755" s="37"/>
      <c r="P755" s="39"/>
      <c r="Q755" s="41"/>
      <c r="R755" s="35" t="str">
        <f aca="true">IF(OR($B755="",$Q755=""),"",DATEDIF($Q755,TODAY(),"Y"))</f>
        <v/>
      </c>
      <c r="S755" s="40" t="str">
        <f aca="false">IF($R755="","",INDEX(usia_label,MATCH($R755,usia_min,1)))</f>
        <v/>
      </c>
      <c r="T755" s="36"/>
      <c r="U755" s="41"/>
      <c r="V755" s="36"/>
      <c r="W755" s="36"/>
      <c r="X755" s="40" t="str">
        <f aca="false">IF($M755="","",$M755&amp;"#"&amp;COUNTIF($M$4:$M755,$M755))</f>
        <v/>
      </c>
      <c r="Y755" s="40" t="str">
        <f aca="false">IF($B755="","",IF($C755="","NIK kosong",IF(LEN($C755)&lt;&gt;16,"NIK bukan 16 digit",IF(COUNTIF($C$4:$C$2003,$C755&amp;"*")&gt;1,"NIK ganda",IF(AND($D755&lt;&gt;"",LEN($D755)&lt;&gt;16),"No. KK bukan 16 digit",IF(AND($F755="",$I755=""),"Alamat kosong",IF($N755="","Jabatan kosong",IF($O755="","No. HP kosong",IF(AND($R755&lt;&gt;"",$R755&lt;17),"Usia di bawah 17","")))))))))</f>
        <v/>
      </c>
      <c r="Z755" s="40" t="str">
        <f aca="false">IF($B755="","",IF(AND(OR(CARI!$C$5="",ISNUMBER(SEARCH(CARI!$C$5,$B755&amp;" "&amp;$C755&amp;" "&amp;$D755&amp;" "&amp;$O755&amp;" "&amp;$I755&amp;" "&amp;$F755&amp;" "&amp;$J755&amp;" "&amp;$K755&amp;" "&amp;$L755&amp;" "&amp;$V755))),OR(CARI!$C$6="",$F755=CARI!$C$6),OR(CARI!$C$7="",$G755=CARI!$C$7),OR(CARI!$C$8="",$T755=CARI!$C$8)),MAX($Z$3:Z754)+1,""))</f>
        <v/>
      </c>
      <c r="AA755" s="40" t="str">
        <f aca="false">IF($Y755="","",MAX($AA$3:AA754)+1)</f>
        <v/>
      </c>
      <c r="AB755" s="40" t="str">
        <f aca="false">IF($F755="","",$F755&amp;"#"&amp;COUNTIF($F$4:$F755,$F755))</f>
        <v/>
      </c>
      <c r="AC755" s="40" t="str">
        <f aca="false">IF($B755="","",IF(AND(OR(CETAK!$J$10="",$F755=CETAK!$J$10),OR(CETAK!$J$11="",$G755=CETAK!$J$11),OR(CETAK!$J$12="",$P755=CETAK!$J$12),OR(CETAK!$J$13="",$N755=CETAK!$J$13),OR(CETAK!$J$14="",$T755=CETAK!$J$14)),MAX($AC$3:AC754)+1,""))</f>
        <v/>
      </c>
      <c r="AD755" s="40" t="str">
        <f aca="false">IF($B755="","",IF(AND(OR(ABSENSI!$H$10="",$F755=ABSENSI!$H$10),OR(ABSENSI!$H$11="",$G755=ABSENSI!$H$11),OR(ABSENSI!$H$12="",$P755=ABSENSI!$H$12)),MAX($AD$3:AD754)+1,""))</f>
        <v/>
      </c>
      <c r="AE755" s="40" t="str">
        <f aca="false">IF($B755="","",IF(AND(OR(KARTU!$K$6="",$F755=KARTU!$K$6),OR(KARTU!$K$7="",$G755=KARTU!$K$7),OR(KARTU!$K$8="",$P755=KARTU!$K$8)),MAX($AE$3:AE754)+1,""))</f>
        <v/>
      </c>
    </row>
    <row r="756" customFormat="false" ht="15" hidden="false" customHeight="false" outlineLevel="0" collapsed="false">
      <c r="A756" s="35" t="str">
        <f aca="false">IF($B756="","",COUNTA($B$4:$B756))</f>
        <v/>
      </c>
      <c r="B756" s="36"/>
      <c r="C756" s="37"/>
      <c r="D756" s="37"/>
      <c r="E756" s="38"/>
      <c r="F756" s="36"/>
      <c r="G756" s="39"/>
      <c r="H756" s="39"/>
      <c r="I756" s="36"/>
      <c r="J756" s="36"/>
      <c r="K756" s="36"/>
      <c r="L756" s="36"/>
      <c r="M756" s="40" t="str">
        <f aca="false">IF($F756="","",$F756&amp;IF($G756="",""," - RT "&amp;$G756&amp;IF($H756="","","/"&amp;$H756)))</f>
        <v/>
      </c>
      <c r="N756" s="36"/>
      <c r="O756" s="37"/>
      <c r="P756" s="39"/>
      <c r="Q756" s="41"/>
      <c r="R756" s="35" t="str">
        <f aca="true">IF(OR($B756="",$Q756=""),"",DATEDIF($Q756,TODAY(),"Y"))</f>
        <v/>
      </c>
      <c r="S756" s="40" t="str">
        <f aca="false">IF($R756="","",INDEX(usia_label,MATCH($R756,usia_min,1)))</f>
        <v/>
      </c>
      <c r="T756" s="36"/>
      <c r="U756" s="41"/>
      <c r="V756" s="36"/>
      <c r="W756" s="36"/>
      <c r="X756" s="40" t="str">
        <f aca="false">IF($M756="","",$M756&amp;"#"&amp;COUNTIF($M$4:$M756,$M756))</f>
        <v/>
      </c>
      <c r="Y756" s="40" t="str">
        <f aca="false">IF($B756="","",IF($C756="","NIK kosong",IF(LEN($C756)&lt;&gt;16,"NIK bukan 16 digit",IF(COUNTIF($C$4:$C$2003,$C756&amp;"*")&gt;1,"NIK ganda",IF(AND($D756&lt;&gt;"",LEN($D756)&lt;&gt;16),"No. KK bukan 16 digit",IF(AND($F756="",$I756=""),"Alamat kosong",IF($N756="","Jabatan kosong",IF($O756="","No. HP kosong",IF(AND($R756&lt;&gt;"",$R756&lt;17),"Usia di bawah 17","")))))))))</f>
        <v/>
      </c>
      <c r="Z756" s="40" t="str">
        <f aca="false">IF($B756="","",IF(AND(OR(CARI!$C$5="",ISNUMBER(SEARCH(CARI!$C$5,$B756&amp;" "&amp;$C756&amp;" "&amp;$D756&amp;" "&amp;$O756&amp;" "&amp;$I756&amp;" "&amp;$F756&amp;" "&amp;$J756&amp;" "&amp;$K756&amp;" "&amp;$L756&amp;" "&amp;$V756))),OR(CARI!$C$6="",$F756=CARI!$C$6),OR(CARI!$C$7="",$G756=CARI!$C$7),OR(CARI!$C$8="",$T756=CARI!$C$8)),MAX($Z$3:Z755)+1,""))</f>
        <v/>
      </c>
      <c r="AA756" s="40" t="str">
        <f aca="false">IF($Y756="","",MAX($AA$3:AA755)+1)</f>
        <v/>
      </c>
      <c r="AB756" s="40" t="str">
        <f aca="false">IF($F756="","",$F756&amp;"#"&amp;COUNTIF($F$4:$F756,$F756))</f>
        <v/>
      </c>
      <c r="AC756" s="40" t="str">
        <f aca="false">IF($B756="","",IF(AND(OR(CETAK!$J$10="",$F756=CETAK!$J$10),OR(CETAK!$J$11="",$G756=CETAK!$J$11),OR(CETAK!$J$12="",$P756=CETAK!$J$12),OR(CETAK!$J$13="",$N756=CETAK!$J$13),OR(CETAK!$J$14="",$T756=CETAK!$J$14)),MAX($AC$3:AC755)+1,""))</f>
        <v/>
      </c>
      <c r="AD756" s="40" t="str">
        <f aca="false">IF($B756="","",IF(AND(OR(ABSENSI!$H$10="",$F756=ABSENSI!$H$10),OR(ABSENSI!$H$11="",$G756=ABSENSI!$H$11),OR(ABSENSI!$H$12="",$P756=ABSENSI!$H$12)),MAX($AD$3:AD755)+1,""))</f>
        <v/>
      </c>
      <c r="AE756" s="40" t="str">
        <f aca="false">IF($B756="","",IF(AND(OR(KARTU!$K$6="",$F756=KARTU!$K$6),OR(KARTU!$K$7="",$G756=KARTU!$K$7),OR(KARTU!$K$8="",$P756=KARTU!$K$8)),MAX($AE$3:AE755)+1,""))</f>
        <v/>
      </c>
    </row>
    <row r="757" customFormat="false" ht="15" hidden="false" customHeight="false" outlineLevel="0" collapsed="false">
      <c r="A757" s="35" t="str">
        <f aca="false">IF($B757="","",COUNTA($B$4:$B757))</f>
        <v/>
      </c>
      <c r="B757" s="36"/>
      <c r="C757" s="37"/>
      <c r="D757" s="37"/>
      <c r="E757" s="38"/>
      <c r="F757" s="36"/>
      <c r="G757" s="39"/>
      <c r="H757" s="39"/>
      <c r="I757" s="36"/>
      <c r="J757" s="36"/>
      <c r="K757" s="36"/>
      <c r="L757" s="36"/>
      <c r="M757" s="40" t="str">
        <f aca="false">IF($F757="","",$F757&amp;IF($G757="",""," - RT "&amp;$G757&amp;IF($H757="","","/"&amp;$H757)))</f>
        <v/>
      </c>
      <c r="N757" s="36"/>
      <c r="O757" s="37"/>
      <c r="P757" s="39"/>
      <c r="Q757" s="41"/>
      <c r="R757" s="35" t="str">
        <f aca="true">IF(OR($B757="",$Q757=""),"",DATEDIF($Q757,TODAY(),"Y"))</f>
        <v/>
      </c>
      <c r="S757" s="40" t="str">
        <f aca="false">IF($R757="","",INDEX(usia_label,MATCH($R757,usia_min,1)))</f>
        <v/>
      </c>
      <c r="T757" s="36"/>
      <c r="U757" s="41"/>
      <c r="V757" s="36"/>
      <c r="W757" s="36"/>
      <c r="X757" s="40" t="str">
        <f aca="false">IF($M757="","",$M757&amp;"#"&amp;COUNTIF($M$4:$M757,$M757))</f>
        <v/>
      </c>
      <c r="Y757" s="40" t="str">
        <f aca="false">IF($B757="","",IF($C757="","NIK kosong",IF(LEN($C757)&lt;&gt;16,"NIK bukan 16 digit",IF(COUNTIF($C$4:$C$2003,$C757&amp;"*")&gt;1,"NIK ganda",IF(AND($D757&lt;&gt;"",LEN($D757)&lt;&gt;16),"No. KK bukan 16 digit",IF(AND($F757="",$I757=""),"Alamat kosong",IF($N757="","Jabatan kosong",IF($O757="","No. HP kosong",IF(AND($R757&lt;&gt;"",$R757&lt;17),"Usia di bawah 17","")))))))))</f>
        <v/>
      </c>
      <c r="Z757" s="40" t="str">
        <f aca="false">IF($B757="","",IF(AND(OR(CARI!$C$5="",ISNUMBER(SEARCH(CARI!$C$5,$B757&amp;" "&amp;$C757&amp;" "&amp;$D757&amp;" "&amp;$O757&amp;" "&amp;$I757&amp;" "&amp;$F757&amp;" "&amp;$J757&amp;" "&amp;$K757&amp;" "&amp;$L757&amp;" "&amp;$V757))),OR(CARI!$C$6="",$F757=CARI!$C$6),OR(CARI!$C$7="",$G757=CARI!$C$7),OR(CARI!$C$8="",$T757=CARI!$C$8)),MAX($Z$3:Z756)+1,""))</f>
        <v/>
      </c>
      <c r="AA757" s="40" t="str">
        <f aca="false">IF($Y757="","",MAX($AA$3:AA756)+1)</f>
        <v/>
      </c>
      <c r="AB757" s="40" t="str">
        <f aca="false">IF($F757="","",$F757&amp;"#"&amp;COUNTIF($F$4:$F757,$F757))</f>
        <v/>
      </c>
      <c r="AC757" s="40" t="str">
        <f aca="false">IF($B757="","",IF(AND(OR(CETAK!$J$10="",$F757=CETAK!$J$10),OR(CETAK!$J$11="",$G757=CETAK!$J$11),OR(CETAK!$J$12="",$P757=CETAK!$J$12),OR(CETAK!$J$13="",$N757=CETAK!$J$13),OR(CETAK!$J$14="",$T757=CETAK!$J$14)),MAX($AC$3:AC756)+1,""))</f>
        <v/>
      </c>
      <c r="AD757" s="40" t="str">
        <f aca="false">IF($B757="","",IF(AND(OR(ABSENSI!$H$10="",$F757=ABSENSI!$H$10),OR(ABSENSI!$H$11="",$G757=ABSENSI!$H$11),OR(ABSENSI!$H$12="",$P757=ABSENSI!$H$12)),MAX($AD$3:AD756)+1,""))</f>
        <v/>
      </c>
      <c r="AE757" s="40" t="str">
        <f aca="false">IF($B757="","",IF(AND(OR(KARTU!$K$6="",$F757=KARTU!$K$6),OR(KARTU!$K$7="",$G757=KARTU!$K$7),OR(KARTU!$K$8="",$P757=KARTU!$K$8)),MAX($AE$3:AE756)+1,""))</f>
        <v/>
      </c>
    </row>
    <row r="758" customFormat="false" ht="15" hidden="false" customHeight="false" outlineLevel="0" collapsed="false">
      <c r="A758" s="35" t="str">
        <f aca="false">IF($B758="","",COUNTA($B$4:$B758))</f>
        <v/>
      </c>
      <c r="B758" s="36"/>
      <c r="C758" s="37"/>
      <c r="D758" s="37"/>
      <c r="E758" s="38"/>
      <c r="F758" s="36"/>
      <c r="G758" s="39"/>
      <c r="H758" s="39"/>
      <c r="I758" s="36"/>
      <c r="J758" s="36"/>
      <c r="K758" s="36"/>
      <c r="L758" s="36"/>
      <c r="M758" s="40" t="str">
        <f aca="false">IF($F758="","",$F758&amp;IF($G758="",""," - RT "&amp;$G758&amp;IF($H758="","","/"&amp;$H758)))</f>
        <v/>
      </c>
      <c r="N758" s="36"/>
      <c r="O758" s="37"/>
      <c r="P758" s="39"/>
      <c r="Q758" s="41"/>
      <c r="R758" s="35" t="str">
        <f aca="true">IF(OR($B758="",$Q758=""),"",DATEDIF($Q758,TODAY(),"Y"))</f>
        <v/>
      </c>
      <c r="S758" s="40" t="str">
        <f aca="false">IF($R758="","",INDEX(usia_label,MATCH($R758,usia_min,1)))</f>
        <v/>
      </c>
      <c r="T758" s="36"/>
      <c r="U758" s="41"/>
      <c r="V758" s="36"/>
      <c r="W758" s="36"/>
      <c r="X758" s="40" t="str">
        <f aca="false">IF($M758="","",$M758&amp;"#"&amp;COUNTIF($M$4:$M758,$M758))</f>
        <v/>
      </c>
      <c r="Y758" s="40" t="str">
        <f aca="false">IF($B758="","",IF($C758="","NIK kosong",IF(LEN($C758)&lt;&gt;16,"NIK bukan 16 digit",IF(COUNTIF($C$4:$C$2003,$C758&amp;"*")&gt;1,"NIK ganda",IF(AND($D758&lt;&gt;"",LEN($D758)&lt;&gt;16),"No. KK bukan 16 digit",IF(AND($F758="",$I758=""),"Alamat kosong",IF($N758="","Jabatan kosong",IF($O758="","No. HP kosong",IF(AND($R758&lt;&gt;"",$R758&lt;17),"Usia di bawah 17","")))))))))</f>
        <v/>
      </c>
      <c r="Z758" s="40" t="str">
        <f aca="false">IF($B758="","",IF(AND(OR(CARI!$C$5="",ISNUMBER(SEARCH(CARI!$C$5,$B758&amp;" "&amp;$C758&amp;" "&amp;$D758&amp;" "&amp;$O758&amp;" "&amp;$I758&amp;" "&amp;$F758&amp;" "&amp;$J758&amp;" "&amp;$K758&amp;" "&amp;$L758&amp;" "&amp;$V758))),OR(CARI!$C$6="",$F758=CARI!$C$6),OR(CARI!$C$7="",$G758=CARI!$C$7),OR(CARI!$C$8="",$T758=CARI!$C$8)),MAX($Z$3:Z757)+1,""))</f>
        <v/>
      </c>
      <c r="AA758" s="40" t="str">
        <f aca="false">IF($Y758="","",MAX($AA$3:AA757)+1)</f>
        <v/>
      </c>
      <c r="AB758" s="40" t="str">
        <f aca="false">IF($F758="","",$F758&amp;"#"&amp;COUNTIF($F$4:$F758,$F758))</f>
        <v/>
      </c>
      <c r="AC758" s="40" t="str">
        <f aca="false">IF($B758="","",IF(AND(OR(CETAK!$J$10="",$F758=CETAK!$J$10),OR(CETAK!$J$11="",$G758=CETAK!$J$11),OR(CETAK!$J$12="",$P758=CETAK!$J$12),OR(CETAK!$J$13="",$N758=CETAK!$J$13),OR(CETAK!$J$14="",$T758=CETAK!$J$14)),MAX($AC$3:AC757)+1,""))</f>
        <v/>
      </c>
      <c r="AD758" s="40" t="str">
        <f aca="false">IF($B758="","",IF(AND(OR(ABSENSI!$H$10="",$F758=ABSENSI!$H$10),OR(ABSENSI!$H$11="",$G758=ABSENSI!$H$11),OR(ABSENSI!$H$12="",$P758=ABSENSI!$H$12)),MAX($AD$3:AD757)+1,""))</f>
        <v/>
      </c>
      <c r="AE758" s="40" t="str">
        <f aca="false">IF($B758="","",IF(AND(OR(KARTU!$K$6="",$F758=KARTU!$K$6),OR(KARTU!$K$7="",$G758=KARTU!$K$7),OR(KARTU!$K$8="",$P758=KARTU!$K$8)),MAX($AE$3:AE757)+1,""))</f>
        <v/>
      </c>
    </row>
    <row r="759" customFormat="false" ht="15" hidden="false" customHeight="false" outlineLevel="0" collapsed="false">
      <c r="A759" s="35" t="str">
        <f aca="false">IF($B759="","",COUNTA($B$4:$B759))</f>
        <v/>
      </c>
      <c r="B759" s="36"/>
      <c r="C759" s="37"/>
      <c r="D759" s="37"/>
      <c r="E759" s="38"/>
      <c r="F759" s="36"/>
      <c r="G759" s="39"/>
      <c r="H759" s="39"/>
      <c r="I759" s="36"/>
      <c r="J759" s="36"/>
      <c r="K759" s="36"/>
      <c r="L759" s="36"/>
      <c r="M759" s="40" t="str">
        <f aca="false">IF($F759="","",$F759&amp;IF($G759="",""," - RT "&amp;$G759&amp;IF($H759="","","/"&amp;$H759)))</f>
        <v/>
      </c>
      <c r="N759" s="36"/>
      <c r="O759" s="37"/>
      <c r="P759" s="39"/>
      <c r="Q759" s="41"/>
      <c r="R759" s="35" t="str">
        <f aca="true">IF(OR($B759="",$Q759=""),"",DATEDIF($Q759,TODAY(),"Y"))</f>
        <v/>
      </c>
      <c r="S759" s="40" t="str">
        <f aca="false">IF($R759="","",INDEX(usia_label,MATCH($R759,usia_min,1)))</f>
        <v/>
      </c>
      <c r="T759" s="36"/>
      <c r="U759" s="41"/>
      <c r="V759" s="36"/>
      <c r="W759" s="36"/>
      <c r="X759" s="40" t="str">
        <f aca="false">IF($M759="","",$M759&amp;"#"&amp;COUNTIF($M$4:$M759,$M759))</f>
        <v/>
      </c>
      <c r="Y759" s="40" t="str">
        <f aca="false">IF($B759="","",IF($C759="","NIK kosong",IF(LEN($C759)&lt;&gt;16,"NIK bukan 16 digit",IF(COUNTIF($C$4:$C$2003,$C759&amp;"*")&gt;1,"NIK ganda",IF(AND($D759&lt;&gt;"",LEN($D759)&lt;&gt;16),"No. KK bukan 16 digit",IF(AND($F759="",$I759=""),"Alamat kosong",IF($N759="","Jabatan kosong",IF($O759="","No. HP kosong",IF(AND($R759&lt;&gt;"",$R759&lt;17),"Usia di bawah 17","")))))))))</f>
        <v/>
      </c>
      <c r="Z759" s="40" t="str">
        <f aca="false">IF($B759="","",IF(AND(OR(CARI!$C$5="",ISNUMBER(SEARCH(CARI!$C$5,$B759&amp;" "&amp;$C759&amp;" "&amp;$D759&amp;" "&amp;$O759&amp;" "&amp;$I759&amp;" "&amp;$F759&amp;" "&amp;$J759&amp;" "&amp;$K759&amp;" "&amp;$L759&amp;" "&amp;$V759))),OR(CARI!$C$6="",$F759=CARI!$C$6),OR(CARI!$C$7="",$G759=CARI!$C$7),OR(CARI!$C$8="",$T759=CARI!$C$8)),MAX($Z$3:Z758)+1,""))</f>
        <v/>
      </c>
      <c r="AA759" s="40" t="str">
        <f aca="false">IF($Y759="","",MAX($AA$3:AA758)+1)</f>
        <v/>
      </c>
      <c r="AB759" s="40" t="str">
        <f aca="false">IF($F759="","",$F759&amp;"#"&amp;COUNTIF($F$4:$F759,$F759))</f>
        <v/>
      </c>
      <c r="AC759" s="40" t="str">
        <f aca="false">IF($B759="","",IF(AND(OR(CETAK!$J$10="",$F759=CETAK!$J$10),OR(CETAK!$J$11="",$G759=CETAK!$J$11),OR(CETAK!$J$12="",$P759=CETAK!$J$12),OR(CETAK!$J$13="",$N759=CETAK!$J$13),OR(CETAK!$J$14="",$T759=CETAK!$J$14)),MAX($AC$3:AC758)+1,""))</f>
        <v/>
      </c>
      <c r="AD759" s="40" t="str">
        <f aca="false">IF($B759="","",IF(AND(OR(ABSENSI!$H$10="",$F759=ABSENSI!$H$10),OR(ABSENSI!$H$11="",$G759=ABSENSI!$H$11),OR(ABSENSI!$H$12="",$P759=ABSENSI!$H$12)),MAX($AD$3:AD758)+1,""))</f>
        <v/>
      </c>
      <c r="AE759" s="40" t="str">
        <f aca="false">IF($B759="","",IF(AND(OR(KARTU!$K$6="",$F759=KARTU!$K$6),OR(KARTU!$K$7="",$G759=KARTU!$K$7),OR(KARTU!$K$8="",$P759=KARTU!$K$8)),MAX($AE$3:AE758)+1,""))</f>
        <v/>
      </c>
    </row>
    <row r="760" customFormat="false" ht="15" hidden="false" customHeight="false" outlineLevel="0" collapsed="false">
      <c r="A760" s="35" t="str">
        <f aca="false">IF($B760="","",COUNTA($B$4:$B760))</f>
        <v/>
      </c>
      <c r="B760" s="36"/>
      <c r="C760" s="37"/>
      <c r="D760" s="37"/>
      <c r="E760" s="38"/>
      <c r="F760" s="36"/>
      <c r="G760" s="39"/>
      <c r="H760" s="39"/>
      <c r="I760" s="36"/>
      <c r="J760" s="36"/>
      <c r="K760" s="36"/>
      <c r="L760" s="36"/>
      <c r="M760" s="40" t="str">
        <f aca="false">IF($F760="","",$F760&amp;IF($G760="",""," - RT "&amp;$G760&amp;IF($H760="","","/"&amp;$H760)))</f>
        <v/>
      </c>
      <c r="N760" s="36"/>
      <c r="O760" s="37"/>
      <c r="P760" s="39"/>
      <c r="Q760" s="41"/>
      <c r="R760" s="35" t="str">
        <f aca="true">IF(OR($B760="",$Q760=""),"",DATEDIF($Q760,TODAY(),"Y"))</f>
        <v/>
      </c>
      <c r="S760" s="40" t="str">
        <f aca="false">IF($R760="","",INDEX(usia_label,MATCH($R760,usia_min,1)))</f>
        <v/>
      </c>
      <c r="T760" s="36"/>
      <c r="U760" s="41"/>
      <c r="V760" s="36"/>
      <c r="W760" s="36"/>
      <c r="X760" s="40" t="str">
        <f aca="false">IF($M760="","",$M760&amp;"#"&amp;COUNTIF($M$4:$M760,$M760))</f>
        <v/>
      </c>
      <c r="Y760" s="40" t="str">
        <f aca="false">IF($B760="","",IF($C760="","NIK kosong",IF(LEN($C760)&lt;&gt;16,"NIK bukan 16 digit",IF(COUNTIF($C$4:$C$2003,$C760&amp;"*")&gt;1,"NIK ganda",IF(AND($D760&lt;&gt;"",LEN($D760)&lt;&gt;16),"No. KK bukan 16 digit",IF(AND($F760="",$I760=""),"Alamat kosong",IF($N760="","Jabatan kosong",IF($O760="","No. HP kosong",IF(AND($R760&lt;&gt;"",$R760&lt;17),"Usia di bawah 17","")))))))))</f>
        <v/>
      </c>
      <c r="Z760" s="40" t="str">
        <f aca="false">IF($B760="","",IF(AND(OR(CARI!$C$5="",ISNUMBER(SEARCH(CARI!$C$5,$B760&amp;" "&amp;$C760&amp;" "&amp;$D760&amp;" "&amp;$O760&amp;" "&amp;$I760&amp;" "&amp;$F760&amp;" "&amp;$J760&amp;" "&amp;$K760&amp;" "&amp;$L760&amp;" "&amp;$V760))),OR(CARI!$C$6="",$F760=CARI!$C$6),OR(CARI!$C$7="",$G760=CARI!$C$7),OR(CARI!$C$8="",$T760=CARI!$C$8)),MAX($Z$3:Z759)+1,""))</f>
        <v/>
      </c>
      <c r="AA760" s="40" t="str">
        <f aca="false">IF($Y760="","",MAX($AA$3:AA759)+1)</f>
        <v/>
      </c>
      <c r="AB760" s="40" t="str">
        <f aca="false">IF($F760="","",$F760&amp;"#"&amp;COUNTIF($F$4:$F760,$F760))</f>
        <v/>
      </c>
      <c r="AC760" s="40" t="str">
        <f aca="false">IF($B760="","",IF(AND(OR(CETAK!$J$10="",$F760=CETAK!$J$10),OR(CETAK!$J$11="",$G760=CETAK!$J$11),OR(CETAK!$J$12="",$P760=CETAK!$J$12),OR(CETAK!$J$13="",$N760=CETAK!$J$13),OR(CETAK!$J$14="",$T760=CETAK!$J$14)),MAX($AC$3:AC759)+1,""))</f>
        <v/>
      </c>
      <c r="AD760" s="40" t="str">
        <f aca="false">IF($B760="","",IF(AND(OR(ABSENSI!$H$10="",$F760=ABSENSI!$H$10),OR(ABSENSI!$H$11="",$G760=ABSENSI!$H$11),OR(ABSENSI!$H$12="",$P760=ABSENSI!$H$12)),MAX($AD$3:AD759)+1,""))</f>
        <v/>
      </c>
      <c r="AE760" s="40" t="str">
        <f aca="false">IF($B760="","",IF(AND(OR(KARTU!$K$6="",$F760=KARTU!$K$6),OR(KARTU!$K$7="",$G760=KARTU!$K$7),OR(KARTU!$K$8="",$P760=KARTU!$K$8)),MAX($AE$3:AE759)+1,""))</f>
        <v/>
      </c>
    </row>
    <row r="761" customFormat="false" ht="15" hidden="false" customHeight="false" outlineLevel="0" collapsed="false">
      <c r="A761" s="35" t="str">
        <f aca="false">IF($B761="","",COUNTA($B$4:$B761))</f>
        <v/>
      </c>
      <c r="B761" s="36"/>
      <c r="C761" s="37"/>
      <c r="D761" s="37"/>
      <c r="E761" s="38"/>
      <c r="F761" s="36"/>
      <c r="G761" s="39"/>
      <c r="H761" s="39"/>
      <c r="I761" s="36"/>
      <c r="J761" s="36"/>
      <c r="K761" s="36"/>
      <c r="L761" s="36"/>
      <c r="M761" s="40" t="str">
        <f aca="false">IF($F761="","",$F761&amp;IF($G761="",""," - RT "&amp;$G761&amp;IF($H761="","","/"&amp;$H761)))</f>
        <v/>
      </c>
      <c r="N761" s="36"/>
      <c r="O761" s="37"/>
      <c r="P761" s="39"/>
      <c r="Q761" s="41"/>
      <c r="R761" s="35" t="str">
        <f aca="true">IF(OR($B761="",$Q761=""),"",DATEDIF($Q761,TODAY(),"Y"))</f>
        <v/>
      </c>
      <c r="S761" s="40" t="str">
        <f aca="false">IF($R761="","",INDEX(usia_label,MATCH($R761,usia_min,1)))</f>
        <v/>
      </c>
      <c r="T761" s="36"/>
      <c r="U761" s="41"/>
      <c r="V761" s="36"/>
      <c r="W761" s="36"/>
      <c r="X761" s="40" t="str">
        <f aca="false">IF($M761="","",$M761&amp;"#"&amp;COUNTIF($M$4:$M761,$M761))</f>
        <v/>
      </c>
      <c r="Y761" s="40" t="str">
        <f aca="false">IF($B761="","",IF($C761="","NIK kosong",IF(LEN($C761)&lt;&gt;16,"NIK bukan 16 digit",IF(COUNTIF($C$4:$C$2003,$C761&amp;"*")&gt;1,"NIK ganda",IF(AND($D761&lt;&gt;"",LEN($D761)&lt;&gt;16),"No. KK bukan 16 digit",IF(AND($F761="",$I761=""),"Alamat kosong",IF($N761="","Jabatan kosong",IF($O761="","No. HP kosong",IF(AND($R761&lt;&gt;"",$R761&lt;17),"Usia di bawah 17","")))))))))</f>
        <v/>
      </c>
      <c r="Z761" s="40" t="str">
        <f aca="false">IF($B761="","",IF(AND(OR(CARI!$C$5="",ISNUMBER(SEARCH(CARI!$C$5,$B761&amp;" "&amp;$C761&amp;" "&amp;$D761&amp;" "&amp;$O761&amp;" "&amp;$I761&amp;" "&amp;$F761&amp;" "&amp;$J761&amp;" "&amp;$K761&amp;" "&amp;$L761&amp;" "&amp;$V761))),OR(CARI!$C$6="",$F761=CARI!$C$6),OR(CARI!$C$7="",$G761=CARI!$C$7),OR(CARI!$C$8="",$T761=CARI!$C$8)),MAX($Z$3:Z760)+1,""))</f>
        <v/>
      </c>
      <c r="AA761" s="40" t="str">
        <f aca="false">IF($Y761="","",MAX($AA$3:AA760)+1)</f>
        <v/>
      </c>
      <c r="AB761" s="40" t="str">
        <f aca="false">IF($F761="","",$F761&amp;"#"&amp;COUNTIF($F$4:$F761,$F761))</f>
        <v/>
      </c>
      <c r="AC761" s="40" t="str">
        <f aca="false">IF($B761="","",IF(AND(OR(CETAK!$J$10="",$F761=CETAK!$J$10),OR(CETAK!$J$11="",$G761=CETAK!$J$11),OR(CETAK!$J$12="",$P761=CETAK!$J$12),OR(CETAK!$J$13="",$N761=CETAK!$J$13),OR(CETAK!$J$14="",$T761=CETAK!$J$14)),MAX($AC$3:AC760)+1,""))</f>
        <v/>
      </c>
      <c r="AD761" s="40" t="str">
        <f aca="false">IF($B761="","",IF(AND(OR(ABSENSI!$H$10="",$F761=ABSENSI!$H$10),OR(ABSENSI!$H$11="",$G761=ABSENSI!$H$11),OR(ABSENSI!$H$12="",$P761=ABSENSI!$H$12)),MAX($AD$3:AD760)+1,""))</f>
        <v/>
      </c>
      <c r="AE761" s="40" t="str">
        <f aca="false">IF($B761="","",IF(AND(OR(KARTU!$K$6="",$F761=KARTU!$K$6),OR(KARTU!$K$7="",$G761=KARTU!$K$7),OR(KARTU!$K$8="",$P761=KARTU!$K$8)),MAX($AE$3:AE760)+1,""))</f>
        <v/>
      </c>
    </row>
    <row r="762" customFormat="false" ht="15" hidden="false" customHeight="false" outlineLevel="0" collapsed="false">
      <c r="A762" s="35" t="str">
        <f aca="false">IF($B762="","",COUNTA($B$4:$B762))</f>
        <v/>
      </c>
      <c r="B762" s="36"/>
      <c r="C762" s="37"/>
      <c r="D762" s="37"/>
      <c r="E762" s="38"/>
      <c r="F762" s="36"/>
      <c r="G762" s="39"/>
      <c r="H762" s="39"/>
      <c r="I762" s="36"/>
      <c r="J762" s="36"/>
      <c r="K762" s="36"/>
      <c r="L762" s="36"/>
      <c r="M762" s="40" t="str">
        <f aca="false">IF($F762="","",$F762&amp;IF($G762="",""," - RT "&amp;$G762&amp;IF($H762="","","/"&amp;$H762)))</f>
        <v/>
      </c>
      <c r="N762" s="36"/>
      <c r="O762" s="37"/>
      <c r="P762" s="39"/>
      <c r="Q762" s="41"/>
      <c r="R762" s="35" t="str">
        <f aca="true">IF(OR($B762="",$Q762=""),"",DATEDIF($Q762,TODAY(),"Y"))</f>
        <v/>
      </c>
      <c r="S762" s="40" t="str">
        <f aca="false">IF($R762="","",INDEX(usia_label,MATCH($R762,usia_min,1)))</f>
        <v/>
      </c>
      <c r="T762" s="36"/>
      <c r="U762" s="41"/>
      <c r="V762" s="36"/>
      <c r="W762" s="36"/>
      <c r="X762" s="40" t="str">
        <f aca="false">IF($M762="","",$M762&amp;"#"&amp;COUNTIF($M$4:$M762,$M762))</f>
        <v/>
      </c>
      <c r="Y762" s="40" t="str">
        <f aca="false">IF($B762="","",IF($C762="","NIK kosong",IF(LEN($C762)&lt;&gt;16,"NIK bukan 16 digit",IF(COUNTIF($C$4:$C$2003,$C762&amp;"*")&gt;1,"NIK ganda",IF(AND($D762&lt;&gt;"",LEN($D762)&lt;&gt;16),"No. KK bukan 16 digit",IF(AND($F762="",$I762=""),"Alamat kosong",IF($N762="","Jabatan kosong",IF($O762="","No. HP kosong",IF(AND($R762&lt;&gt;"",$R762&lt;17),"Usia di bawah 17","")))))))))</f>
        <v/>
      </c>
      <c r="Z762" s="40" t="str">
        <f aca="false">IF($B762="","",IF(AND(OR(CARI!$C$5="",ISNUMBER(SEARCH(CARI!$C$5,$B762&amp;" "&amp;$C762&amp;" "&amp;$D762&amp;" "&amp;$O762&amp;" "&amp;$I762&amp;" "&amp;$F762&amp;" "&amp;$J762&amp;" "&amp;$K762&amp;" "&amp;$L762&amp;" "&amp;$V762))),OR(CARI!$C$6="",$F762=CARI!$C$6),OR(CARI!$C$7="",$G762=CARI!$C$7),OR(CARI!$C$8="",$T762=CARI!$C$8)),MAX($Z$3:Z761)+1,""))</f>
        <v/>
      </c>
      <c r="AA762" s="40" t="str">
        <f aca="false">IF($Y762="","",MAX($AA$3:AA761)+1)</f>
        <v/>
      </c>
      <c r="AB762" s="40" t="str">
        <f aca="false">IF($F762="","",$F762&amp;"#"&amp;COUNTIF($F$4:$F762,$F762))</f>
        <v/>
      </c>
      <c r="AC762" s="40" t="str">
        <f aca="false">IF($B762="","",IF(AND(OR(CETAK!$J$10="",$F762=CETAK!$J$10),OR(CETAK!$J$11="",$G762=CETAK!$J$11),OR(CETAK!$J$12="",$P762=CETAK!$J$12),OR(CETAK!$J$13="",$N762=CETAK!$J$13),OR(CETAK!$J$14="",$T762=CETAK!$J$14)),MAX($AC$3:AC761)+1,""))</f>
        <v/>
      </c>
      <c r="AD762" s="40" t="str">
        <f aca="false">IF($B762="","",IF(AND(OR(ABSENSI!$H$10="",$F762=ABSENSI!$H$10),OR(ABSENSI!$H$11="",$G762=ABSENSI!$H$11),OR(ABSENSI!$H$12="",$P762=ABSENSI!$H$12)),MAX($AD$3:AD761)+1,""))</f>
        <v/>
      </c>
      <c r="AE762" s="40" t="str">
        <f aca="false">IF($B762="","",IF(AND(OR(KARTU!$K$6="",$F762=KARTU!$K$6),OR(KARTU!$K$7="",$G762=KARTU!$K$7),OR(KARTU!$K$8="",$P762=KARTU!$K$8)),MAX($AE$3:AE761)+1,""))</f>
        <v/>
      </c>
    </row>
    <row r="763" customFormat="false" ht="15" hidden="false" customHeight="false" outlineLevel="0" collapsed="false">
      <c r="A763" s="35" t="str">
        <f aca="false">IF($B763="","",COUNTA($B$4:$B763))</f>
        <v/>
      </c>
      <c r="B763" s="36"/>
      <c r="C763" s="37"/>
      <c r="D763" s="37"/>
      <c r="E763" s="38"/>
      <c r="F763" s="36"/>
      <c r="G763" s="39"/>
      <c r="H763" s="39"/>
      <c r="I763" s="36"/>
      <c r="J763" s="36"/>
      <c r="K763" s="36"/>
      <c r="L763" s="36"/>
      <c r="M763" s="40" t="str">
        <f aca="false">IF($F763="","",$F763&amp;IF($G763="",""," - RT "&amp;$G763&amp;IF($H763="","","/"&amp;$H763)))</f>
        <v/>
      </c>
      <c r="N763" s="36"/>
      <c r="O763" s="37"/>
      <c r="P763" s="39"/>
      <c r="Q763" s="41"/>
      <c r="R763" s="35" t="str">
        <f aca="true">IF(OR($B763="",$Q763=""),"",DATEDIF($Q763,TODAY(),"Y"))</f>
        <v/>
      </c>
      <c r="S763" s="40" t="str">
        <f aca="false">IF($R763="","",INDEX(usia_label,MATCH($R763,usia_min,1)))</f>
        <v/>
      </c>
      <c r="T763" s="36"/>
      <c r="U763" s="41"/>
      <c r="V763" s="36"/>
      <c r="W763" s="36"/>
      <c r="X763" s="40" t="str">
        <f aca="false">IF($M763="","",$M763&amp;"#"&amp;COUNTIF($M$4:$M763,$M763))</f>
        <v/>
      </c>
      <c r="Y763" s="40" t="str">
        <f aca="false">IF($B763="","",IF($C763="","NIK kosong",IF(LEN($C763)&lt;&gt;16,"NIK bukan 16 digit",IF(COUNTIF($C$4:$C$2003,$C763&amp;"*")&gt;1,"NIK ganda",IF(AND($D763&lt;&gt;"",LEN($D763)&lt;&gt;16),"No. KK bukan 16 digit",IF(AND($F763="",$I763=""),"Alamat kosong",IF($N763="","Jabatan kosong",IF($O763="","No. HP kosong",IF(AND($R763&lt;&gt;"",$R763&lt;17),"Usia di bawah 17","")))))))))</f>
        <v/>
      </c>
      <c r="Z763" s="40" t="str">
        <f aca="false">IF($B763="","",IF(AND(OR(CARI!$C$5="",ISNUMBER(SEARCH(CARI!$C$5,$B763&amp;" "&amp;$C763&amp;" "&amp;$D763&amp;" "&amp;$O763&amp;" "&amp;$I763&amp;" "&amp;$F763&amp;" "&amp;$J763&amp;" "&amp;$K763&amp;" "&amp;$L763&amp;" "&amp;$V763))),OR(CARI!$C$6="",$F763=CARI!$C$6),OR(CARI!$C$7="",$G763=CARI!$C$7),OR(CARI!$C$8="",$T763=CARI!$C$8)),MAX($Z$3:Z762)+1,""))</f>
        <v/>
      </c>
      <c r="AA763" s="40" t="str">
        <f aca="false">IF($Y763="","",MAX($AA$3:AA762)+1)</f>
        <v/>
      </c>
      <c r="AB763" s="40" t="str">
        <f aca="false">IF($F763="","",$F763&amp;"#"&amp;COUNTIF($F$4:$F763,$F763))</f>
        <v/>
      </c>
      <c r="AC763" s="40" t="str">
        <f aca="false">IF($B763="","",IF(AND(OR(CETAK!$J$10="",$F763=CETAK!$J$10),OR(CETAK!$J$11="",$G763=CETAK!$J$11),OR(CETAK!$J$12="",$P763=CETAK!$J$12),OR(CETAK!$J$13="",$N763=CETAK!$J$13),OR(CETAK!$J$14="",$T763=CETAK!$J$14)),MAX($AC$3:AC762)+1,""))</f>
        <v/>
      </c>
      <c r="AD763" s="40" t="str">
        <f aca="false">IF($B763="","",IF(AND(OR(ABSENSI!$H$10="",$F763=ABSENSI!$H$10),OR(ABSENSI!$H$11="",$G763=ABSENSI!$H$11),OR(ABSENSI!$H$12="",$P763=ABSENSI!$H$12)),MAX($AD$3:AD762)+1,""))</f>
        <v/>
      </c>
      <c r="AE763" s="40" t="str">
        <f aca="false">IF($B763="","",IF(AND(OR(KARTU!$K$6="",$F763=KARTU!$K$6),OR(KARTU!$K$7="",$G763=KARTU!$K$7),OR(KARTU!$K$8="",$P763=KARTU!$K$8)),MAX($AE$3:AE762)+1,""))</f>
        <v/>
      </c>
    </row>
    <row r="764" customFormat="false" ht="15" hidden="false" customHeight="false" outlineLevel="0" collapsed="false">
      <c r="A764" s="35" t="str">
        <f aca="false">IF($B764="","",COUNTA($B$4:$B764))</f>
        <v/>
      </c>
      <c r="B764" s="36"/>
      <c r="C764" s="37"/>
      <c r="D764" s="37"/>
      <c r="E764" s="38"/>
      <c r="F764" s="36"/>
      <c r="G764" s="39"/>
      <c r="H764" s="39"/>
      <c r="I764" s="36"/>
      <c r="J764" s="36"/>
      <c r="K764" s="36"/>
      <c r="L764" s="36"/>
      <c r="M764" s="40" t="str">
        <f aca="false">IF($F764="","",$F764&amp;IF($G764="",""," - RT "&amp;$G764&amp;IF($H764="","","/"&amp;$H764)))</f>
        <v/>
      </c>
      <c r="N764" s="36"/>
      <c r="O764" s="37"/>
      <c r="P764" s="39"/>
      <c r="Q764" s="41"/>
      <c r="R764" s="35" t="str">
        <f aca="true">IF(OR($B764="",$Q764=""),"",DATEDIF($Q764,TODAY(),"Y"))</f>
        <v/>
      </c>
      <c r="S764" s="40" t="str">
        <f aca="false">IF($R764="","",INDEX(usia_label,MATCH($R764,usia_min,1)))</f>
        <v/>
      </c>
      <c r="T764" s="36"/>
      <c r="U764" s="41"/>
      <c r="V764" s="36"/>
      <c r="W764" s="36"/>
      <c r="X764" s="40" t="str">
        <f aca="false">IF($M764="","",$M764&amp;"#"&amp;COUNTIF($M$4:$M764,$M764))</f>
        <v/>
      </c>
      <c r="Y764" s="40" t="str">
        <f aca="false">IF($B764="","",IF($C764="","NIK kosong",IF(LEN($C764)&lt;&gt;16,"NIK bukan 16 digit",IF(COUNTIF($C$4:$C$2003,$C764&amp;"*")&gt;1,"NIK ganda",IF(AND($D764&lt;&gt;"",LEN($D764)&lt;&gt;16),"No. KK bukan 16 digit",IF(AND($F764="",$I764=""),"Alamat kosong",IF($N764="","Jabatan kosong",IF($O764="","No. HP kosong",IF(AND($R764&lt;&gt;"",$R764&lt;17),"Usia di bawah 17","")))))))))</f>
        <v/>
      </c>
      <c r="Z764" s="40" t="str">
        <f aca="false">IF($B764="","",IF(AND(OR(CARI!$C$5="",ISNUMBER(SEARCH(CARI!$C$5,$B764&amp;" "&amp;$C764&amp;" "&amp;$D764&amp;" "&amp;$O764&amp;" "&amp;$I764&amp;" "&amp;$F764&amp;" "&amp;$J764&amp;" "&amp;$K764&amp;" "&amp;$L764&amp;" "&amp;$V764))),OR(CARI!$C$6="",$F764=CARI!$C$6),OR(CARI!$C$7="",$G764=CARI!$C$7),OR(CARI!$C$8="",$T764=CARI!$C$8)),MAX($Z$3:Z763)+1,""))</f>
        <v/>
      </c>
      <c r="AA764" s="40" t="str">
        <f aca="false">IF($Y764="","",MAX($AA$3:AA763)+1)</f>
        <v/>
      </c>
      <c r="AB764" s="40" t="str">
        <f aca="false">IF($F764="","",$F764&amp;"#"&amp;COUNTIF($F$4:$F764,$F764))</f>
        <v/>
      </c>
      <c r="AC764" s="40" t="str">
        <f aca="false">IF($B764="","",IF(AND(OR(CETAK!$J$10="",$F764=CETAK!$J$10),OR(CETAK!$J$11="",$G764=CETAK!$J$11),OR(CETAK!$J$12="",$P764=CETAK!$J$12),OR(CETAK!$J$13="",$N764=CETAK!$J$13),OR(CETAK!$J$14="",$T764=CETAK!$J$14)),MAX($AC$3:AC763)+1,""))</f>
        <v/>
      </c>
      <c r="AD764" s="40" t="str">
        <f aca="false">IF($B764="","",IF(AND(OR(ABSENSI!$H$10="",$F764=ABSENSI!$H$10),OR(ABSENSI!$H$11="",$G764=ABSENSI!$H$11),OR(ABSENSI!$H$12="",$P764=ABSENSI!$H$12)),MAX($AD$3:AD763)+1,""))</f>
        <v/>
      </c>
      <c r="AE764" s="40" t="str">
        <f aca="false">IF($B764="","",IF(AND(OR(KARTU!$K$6="",$F764=KARTU!$K$6),OR(KARTU!$K$7="",$G764=KARTU!$K$7),OR(KARTU!$K$8="",$P764=KARTU!$K$8)),MAX($AE$3:AE763)+1,""))</f>
        <v/>
      </c>
    </row>
    <row r="765" customFormat="false" ht="15" hidden="false" customHeight="false" outlineLevel="0" collapsed="false">
      <c r="A765" s="35" t="str">
        <f aca="false">IF($B765="","",COUNTA($B$4:$B765))</f>
        <v/>
      </c>
      <c r="B765" s="36"/>
      <c r="C765" s="37"/>
      <c r="D765" s="37"/>
      <c r="E765" s="38"/>
      <c r="F765" s="36"/>
      <c r="G765" s="39"/>
      <c r="H765" s="39"/>
      <c r="I765" s="36"/>
      <c r="J765" s="36"/>
      <c r="K765" s="36"/>
      <c r="L765" s="36"/>
      <c r="M765" s="40" t="str">
        <f aca="false">IF($F765="","",$F765&amp;IF($G765="",""," - RT "&amp;$G765&amp;IF($H765="","","/"&amp;$H765)))</f>
        <v/>
      </c>
      <c r="N765" s="36"/>
      <c r="O765" s="37"/>
      <c r="P765" s="39"/>
      <c r="Q765" s="41"/>
      <c r="R765" s="35" t="str">
        <f aca="true">IF(OR($B765="",$Q765=""),"",DATEDIF($Q765,TODAY(),"Y"))</f>
        <v/>
      </c>
      <c r="S765" s="40" t="str">
        <f aca="false">IF($R765="","",INDEX(usia_label,MATCH($R765,usia_min,1)))</f>
        <v/>
      </c>
      <c r="T765" s="36"/>
      <c r="U765" s="41"/>
      <c r="V765" s="36"/>
      <c r="W765" s="36"/>
      <c r="X765" s="40" t="str">
        <f aca="false">IF($M765="","",$M765&amp;"#"&amp;COUNTIF($M$4:$M765,$M765))</f>
        <v/>
      </c>
      <c r="Y765" s="40" t="str">
        <f aca="false">IF($B765="","",IF($C765="","NIK kosong",IF(LEN($C765)&lt;&gt;16,"NIK bukan 16 digit",IF(COUNTIF($C$4:$C$2003,$C765&amp;"*")&gt;1,"NIK ganda",IF(AND($D765&lt;&gt;"",LEN($D765)&lt;&gt;16),"No. KK bukan 16 digit",IF(AND($F765="",$I765=""),"Alamat kosong",IF($N765="","Jabatan kosong",IF($O765="","No. HP kosong",IF(AND($R765&lt;&gt;"",$R765&lt;17),"Usia di bawah 17","")))))))))</f>
        <v/>
      </c>
      <c r="Z765" s="40" t="str">
        <f aca="false">IF($B765="","",IF(AND(OR(CARI!$C$5="",ISNUMBER(SEARCH(CARI!$C$5,$B765&amp;" "&amp;$C765&amp;" "&amp;$D765&amp;" "&amp;$O765&amp;" "&amp;$I765&amp;" "&amp;$F765&amp;" "&amp;$J765&amp;" "&amp;$K765&amp;" "&amp;$L765&amp;" "&amp;$V765))),OR(CARI!$C$6="",$F765=CARI!$C$6),OR(CARI!$C$7="",$G765=CARI!$C$7),OR(CARI!$C$8="",$T765=CARI!$C$8)),MAX($Z$3:Z764)+1,""))</f>
        <v/>
      </c>
      <c r="AA765" s="40" t="str">
        <f aca="false">IF($Y765="","",MAX($AA$3:AA764)+1)</f>
        <v/>
      </c>
      <c r="AB765" s="40" t="str">
        <f aca="false">IF($F765="","",$F765&amp;"#"&amp;COUNTIF($F$4:$F765,$F765))</f>
        <v/>
      </c>
      <c r="AC765" s="40" t="str">
        <f aca="false">IF($B765="","",IF(AND(OR(CETAK!$J$10="",$F765=CETAK!$J$10),OR(CETAK!$J$11="",$G765=CETAK!$J$11),OR(CETAK!$J$12="",$P765=CETAK!$J$12),OR(CETAK!$J$13="",$N765=CETAK!$J$13),OR(CETAK!$J$14="",$T765=CETAK!$J$14)),MAX($AC$3:AC764)+1,""))</f>
        <v/>
      </c>
      <c r="AD765" s="40" t="str">
        <f aca="false">IF($B765="","",IF(AND(OR(ABSENSI!$H$10="",$F765=ABSENSI!$H$10),OR(ABSENSI!$H$11="",$G765=ABSENSI!$H$11),OR(ABSENSI!$H$12="",$P765=ABSENSI!$H$12)),MAX($AD$3:AD764)+1,""))</f>
        <v/>
      </c>
      <c r="AE765" s="40" t="str">
        <f aca="false">IF($B765="","",IF(AND(OR(KARTU!$K$6="",$F765=KARTU!$K$6),OR(KARTU!$K$7="",$G765=KARTU!$K$7),OR(KARTU!$K$8="",$P765=KARTU!$K$8)),MAX($AE$3:AE764)+1,""))</f>
        <v/>
      </c>
    </row>
    <row r="766" customFormat="false" ht="15" hidden="false" customHeight="false" outlineLevel="0" collapsed="false">
      <c r="A766" s="35" t="str">
        <f aca="false">IF($B766="","",COUNTA($B$4:$B766))</f>
        <v/>
      </c>
      <c r="B766" s="36"/>
      <c r="C766" s="37"/>
      <c r="D766" s="37"/>
      <c r="E766" s="38"/>
      <c r="F766" s="36"/>
      <c r="G766" s="39"/>
      <c r="H766" s="39"/>
      <c r="I766" s="36"/>
      <c r="J766" s="36"/>
      <c r="K766" s="36"/>
      <c r="L766" s="36"/>
      <c r="M766" s="40" t="str">
        <f aca="false">IF($F766="","",$F766&amp;IF($G766="",""," - RT "&amp;$G766&amp;IF($H766="","","/"&amp;$H766)))</f>
        <v/>
      </c>
      <c r="N766" s="36"/>
      <c r="O766" s="37"/>
      <c r="P766" s="39"/>
      <c r="Q766" s="41"/>
      <c r="R766" s="35" t="str">
        <f aca="true">IF(OR($B766="",$Q766=""),"",DATEDIF($Q766,TODAY(),"Y"))</f>
        <v/>
      </c>
      <c r="S766" s="40" t="str">
        <f aca="false">IF($R766="","",INDEX(usia_label,MATCH($R766,usia_min,1)))</f>
        <v/>
      </c>
      <c r="T766" s="36"/>
      <c r="U766" s="41"/>
      <c r="V766" s="36"/>
      <c r="W766" s="36"/>
      <c r="X766" s="40" t="str">
        <f aca="false">IF($M766="","",$M766&amp;"#"&amp;COUNTIF($M$4:$M766,$M766))</f>
        <v/>
      </c>
      <c r="Y766" s="40" t="str">
        <f aca="false">IF($B766="","",IF($C766="","NIK kosong",IF(LEN($C766)&lt;&gt;16,"NIK bukan 16 digit",IF(COUNTIF($C$4:$C$2003,$C766&amp;"*")&gt;1,"NIK ganda",IF(AND($D766&lt;&gt;"",LEN($D766)&lt;&gt;16),"No. KK bukan 16 digit",IF(AND($F766="",$I766=""),"Alamat kosong",IF($N766="","Jabatan kosong",IF($O766="","No. HP kosong",IF(AND($R766&lt;&gt;"",$R766&lt;17),"Usia di bawah 17","")))))))))</f>
        <v/>
      </c>
      <c r="Z766" s="40" t="str">
        <f aca="false">IF($B766="","",IF(AND(OR(CARI!$C$5="",ISNUMBER(SEARCH(CARI!$C$5,$B766&amp;" "&amp;$C766&amp;" "&amp;$D766&amp;" "&amp;$O766&amp;" "&amp;$I766&amp;" "&amp;$F766&amp;" "&amp;$J766&amp;" "&amp;$K766&amp;" "&amp;$L766&amp;" "&amp;$V766))),OR(CARI!$C$6="",$F766=CARI!$C$6),OR(CARI!$C$7="",$G766=CARI!$C$7),OR(CARI!$C$8="",$T766=CARI!$C$8)),MAX($Z$3:Z765)+1,""))</f>
        <v/>
      </c>
      <c r="AA766" s="40" t="str">
        <f aca="false">IF($Y766="","",MAX($AA$3:AA765)+1)</f>
        <v/>
      </c>
      <c r="AB766" s="40" t="str">
        <f aca="false">IF($F766="","",$F766&amp;"#"&amp;COUNTIF($F$4:$F766,$F766))</f>
        <v/>
      </c>
      <c r="AC766" s="40" t="str">
        <f aca="false">IF($B766="","",IF(AND(OR(CETAK!$J$10="",$F766=CETAK!$J$10),OR(CETAK!$J$11="",$G766=CETAK!$J$11),OR(CETAK!$J$12="",$P766=CETAK!$J$12),OR(CETAK!$J$13="",$N766=CETAK!$J$13),OR(CETAK!$J$14="",$T766=CETAK!$J$14)),MAX($AC$3:AC765)+1,""))</f>
        <v/>
      </c>
      <c r="AD766" s="40" t="str">
        <f aca="false">IF($B766="","",IF(AND(OR(ABSENSI!$H$10="",$F766=ABSENSI!$H$10),OR(ABSENSI!$H$11="",$G766=ABSENSI!$H$11),OR(ABSENSI!$H$12="",$P766=ABSENSI!$H$12)),MAX($AD$3:AD765)+1,""))</f>
        <v/>
      </c>
      <c r="AE766" s="40" t="str">
        <f aca="false">IF($B766="","",IF(AND(OR(KARTU!$K$6="",$F766=KARTU!$K$6),OR(KARTU!$K$7="",$G766=KARTU!$K$7),OR(KARTU!$K$8="",$P766=KARTU!$K$8)),MAX($AE$3:AE765)+1,""))</f>
        <v/>
      </c>
    </row>
    <row r="767" customFormat="false" ht="15" hidden="false" customHeight="false" outlineLevel="0" collapsed="false">
      <c r="A767" s="35" t="str">
        <f aca="false">IF($B767="","",COUNTA($B$4:$B767))</f>
        <v/>
      </c>
      <c r="B767" s="36"/>
      <c r="C767" s="37"/>
      <c r="D767" s="37"/>
      <c r="E767" s="38"/>
      <c r="F767" s="36"/>
      <c r="G767" s="39"/>
      <c r="H767" s="39"/>
      <c r="I767" s="36"/>
      <c r="J767" s="36"/>
      <c r="K767" s="36"/>
      <c r="L767" s="36"/>
      <c r="M767" s="40" t="str">
        <f aca="false">IF($F767="","",$F767&amp;IF($G767="",""," - RT "&amp;$G767&amp;IF($H767="","","/"&amp;$H767)))</f>
        <v/>
      </c>
      <c r="N767" s="36"/>
      <c r="O767" s="37"/>
      <c r="P767" s="39"/>
      <c r="Q767" s="41"/>
      <c r="R767" s="35" t="str">
        <f aca="true">IF(OR($B767="",$Q767=""),"",DATEDIF($Q767,TODAY(),"Y"))</f>
        <v/>
      </c>
      <c r="S767" s="40" t="str">
        <f aca="false">IF($R767="","",INDEX(usia_label,MATCH($R767,usia_min,1)))</f>
        <v/>
      </c>
      <c r="T767" s="36"/>
      <c r="U767" s="41"/>
      <c r="V767" s="36"/>
      <c r="W767" s="36"/>
      <c r="X767" s="40" t="str">
        <f aca="false">IF($M767="","",$M767&amp;"#"&amp;COUNTIF($M$4:$M767,$M767))</f>
        <v/>
      </c>
      <c r="Y767" s="40" t="str">
        <f aca="false">IF($B767="","",IF($C767="","NIK kosong",IF(LEN($C767)&lt;&gt;16,"NIK bukan 16 digit",IF(COUNTIF($C$4:$C$2003,$C767&amp;"*")&gt;1,"NIK ganda",IF(AND($D767&lt;&gt;"",LEN($D767)&lt;&gt;16),"No. KK bukan 16 digit",IF(AND($F767="",$I767=""),"Alamat kosong",IF($N767="","Jabatan kosong",IF($O767="","No. HP kosong",IF(AND($R767&lt;&gt;"",$R767&lt;17),"Usia di bawah 17","")))))))))</f>
        <v/>
      </c>
      <c r="Z767" s="40" t="str">
        <f aca="false">IF($B767="","",IF(AND(OR(CARI!$C$5="",ISNUMBER(SEARCH(CARI!$C$5,$B767&amp;" "&amp;$C767&amp;" "&amp;$D767&amp;" "&amp;$O767&amp;" "&amp;$I767&amp;" "&amp;$F767&amp;" "&amp;$J767&amp;" "&amp;$K767&amp;" "&amp;$L767&amp;" "&amp;$V767))),OR(CARI!$C$6="",$F767=CARI!$C$6),OR(CARI!$C$7="",$G767=CARI!$C$7),OR(CARI!$C$8="",$T767=CARI!$C$8)),MAX($Z$3:Z766)+1,""))</f>
        <v/>
      </c>
      <c r="AA767" s="40" t="str">
        <f aca="false">IF($Y767="","",MAX($AA$3:AA766)+1)</f>
        <v/>
      </c>
      <c r="AB767" s="40" t="str">
        <f aca="false">IF($F767="","",$F767&amp;"#"&amp;COUNTIF($F$4:$F767,$F767))</f>
        <v/>
      </c>
      <c r="AC767" s="40" t="str">
        <f aca="false">IF($B767="","",IF(AND(OR(CETAK!$J$10="",$F767=CETAK!$J$10),OR(CETAK!$J$11="",$G767=CETAK!$J$11),OR(CETAK!$J$12="",$P767=CETAK!$J$12),OR(CETAK!$J$13="",$N767=CETAK!$J$13),OR(CETAK!$J$14="",$T767=CETAK!$J$14)),MAX($AC$3:AC766)+1,""))</f>
        <v/>
      </c>
      <c r="AD767" s="40" t="str">
        <f aca="false">IF($B767="","",IF(AND(OR(ABSENSI!$H$10="",$F767=ABSENSI!$H$10),OR(ABSENSI!$H$11="",$G767=ABSENSI!$H$11),OR(ABSENSI!$H$12="",$P767=ABSENSI!$H$12)),MAX($AD$3:AD766)+1,""))</f>
        <v/>
      </c>
      <c r="AE767" s="40" t="str">
        <f aca="false">IF($B767="","",IF(AND(OR(KARTU!$K$6="",$F767=KARTU!$K$6),OR(KARTU!$K$7="",$G767=KARTU!$K$7),OR(KARTU!$K$8="",$P767=KARTU!$K$8)),MAX($AE$3:AE766)+1,""))</f>
        <v/>
      </c>
    </row>
    <row r="768" customFormat="false" ht="15" hidden="false" customHeight="false" outlineLevel="0" collapsed="false">
      <c r="A768" s="35" t="str">
        <f aca="false">IF($B768="","",COUNTA($B$4:$B768))</f>
        <v/>
      </c>
      <c r="B768" s="36"/>
      <c r="C768" s="37"/>
      <c r="D768" s="37"/>
      <c r="E768" s="38"/>
      <c r="F768" s="36"/>
      <c r="G768" s="39"/>
      <c r="H768" s="39"/>
      <c r="I768" s="36"/>
      <c r="J768" s="36"/>
      <c r="K768" s="36"/>
      <c r="L768" s="36"/>
      <c r="M768" s="40" t="str">
        <f aca="false">IF($F768="","",$F768&amp;IF($G768="",""," - RT "&amp;$G768&amp;IF($H768="","","/"&amp;$H768)))</f>
        <v/>
      </c>
      <c r="N768" s="36"/>
      <c r="O768" s="37"/>
      <c r="P768" s="39"/>
      <c r="Q768" s="41"/>
      <c r="R768" s="35" t="str">
        <f aca="true">IF(OR($B768="",$Q768=""),"",DATEDIF($Q768,TODAY(),"Y"))</f>
        <v/>
      </c>
      <c r="S768" s="40" t="str">
        <f aca="false">IF($R768="","",INDEX(usia_label,MATCH($R768,usia_min,1)))</f>
        <v/>
      </c>
      <c r="T768" s="36"/>
      <c r="U768" s="41"/>
      <c r="V768" s="36"/>
      <c r="W768" s="36"/>
      <c r="X768" s="40" t="str">
        <f aca="false">IF($M768="","",$M768&amp;"#"&amp;COUNTIF($M$4:$M768,$M768))</f>
        <v/>
      </c>
      <c r="Y768" s="40" t="str">
        <f aca="false">IF($B768="","",IF($C768="","NIK kosong",IF(LEN($C768)&lt;&gt;16,"NIK bukan 16 digit",IF(COUNTIF($C$4:$C$2003,$C768&amp;"*")&gt;1,"NIK ganda",IF(AND($D768&lt;&gt;"",LEN($D768)&lt;&gt;16),"No. KK bukan 16 digit",IF(AND($F768="",$I768=""),"Alamat kosong",IF($N768="","Jabatan kosong",IF($O768="","No. HP kosong",IF(AND($R768&lt;&gt;"",$R768&lt;17),"Usia di bawah 17","")))))))))</f>
        <v/>
      </c>
      <c r="Z768" s="40" t="str">
        <f aca="false">IF($B768="","",IF(AND(OR(CARI!$C$5="",ISNUMBER(SEARCH(CARI!$C$5,$B768&amp;" "&amp;$C768&amp;" "&amp;$D768&amp;" "&amp;$O768&amp;" "&amp;$I768&amp;" "&amp;$F768&amp;" "&amp;$J768&amp;" "&amp;$K768&amp;" "&amp;$L768&amp;" "&amp;$V768))),OR(CARI!$C$6="",$F768=CARI!$C$6),OR(CARI!$C$7="",$G768=CARI!$C$7),OR(CARI!$C$8="",$T768=CARI!$C$8)),MAX($Z$3:Z767)+1,""))</f>
        <v/>
      </c>
      <c r="AA768" s="40" t="str">
        <f aca="false">IF($Y768="","",MAX($AA$3:AA767)+1)</f>
        <v/>
      </c>
      <c r="AB768" s="40" t="str">
        <f aca="false">IF($F768="","",$F768&amp;"#"&amp;COUNTIF($F$4:$F768,$F768))</f>
        <v/>
      </c>
      <c r="AC768" s="40" t="str">
        <f aca="false">IF($B768="","",IF(AND(OR(CETAK!$J$10="",$F768=CETAK!$J$10),OR(CETAK!$J$11="",$G768=CETAK!$J$11),OR(CETAK!$J$12="",$P768=CETAK!$J$12),OR(CETAK!$J$13="",$N768=CETAK!$J$13),OR(CETAK!$J$14="",$T768=CETAK!$J$14)),MAX($AC$3:AC767)+1,""))</f>
        <v/>
      </c>
      <c r="AD768" s="40" t="str">
        <f aca="false">IF($B768="","",IF(AND(OR(ABSENSI!$H$10="",$F768=ABSENSI!$H$10),OR(ABSENSI!$H$11="",$G768=ABSENSI!$H$11),OR(ABSENSI!$H$12="",$P768=ABSENSI!$H$12)),MAX($AD$3:AD767)+1,""))</f>
        <v/>
      </c>
      <c r="AE768" s="40" t="str">
        <f aca="false">IF($B768="","",IF(AND(OR(KARTU!$K$6="",$F768=KARTU!$K$6),OR(KARTU!$K$7="",$G768=KARTU!$K$7),OR(KARTU!$K$8="",$P768=KARTU!$K$8)),MAX($AE$3:AE767)+1,""))</f>
        <v/>
      </c>
    </row>
    <row r="769" customFormat="false" ht="15" hidden="false" customHeight="false" outlineLevel="0" collapsed="false">
      <c r="A769" s="35" t="str">
        <f aca="false">IF($B769="","",COUNTA($B$4:$B769))</f>
        <v/>
      </c>
      <c r="B769" s="36"/>
      <c r="C769" s="37"/>
      <c r="D769" s="37"/>
      <c r="E769" s="38"/>
      <c r="F769" s="36"/>
      <c r="G769" s="39"/>
      <c r="H769" s="39"/>
      <c r="I769" s="36"/>
      <c r="J769" s="36"/>
      <c r="K769" s="36"/>
      <c r="L769" s="36"/>
      <c r="M769" s="40" t="str">
        <f aca="false">IF($F769="","",$F769&amp;IF($G769="",""," - RT "&amp;$G769&amp;IF($H769="","","/"&amp;$H769)))</f>
        <v/>
      </c>
      <c r="N769" s="36"/>
      <c r="O769" s="37"/>
      <c r="P769" s="39"/>
      <c r="Q769" s="41"/>
      <c r="R769" s="35" t="str">
        <f aca="true">IF(OR($B769="",$Q769=""),"",DATEDIF($Q769,TODAY(),"Y"))</f>
        <v/>
      </c>
      <c r="S769" s="40" t="str">
        <f aca="false">IF($R769="","",INDEX(usia_label,MATCH($R769,usia_min,1)))</f>
        <v/>
      </c>
      <c r="T769" s="36"/>
      <c r="U769" s="41"/>
      <c r="V769" s="36"/>
      <c r="W769" s="36"/>
      <c r="X769" s="40" t="str">
        <f aca="false">IF($M769="","",$M769&amp;"#"&amp;COUNTIF($M$4:$M769,$M769))</f>
        <v/>
      </c>
      <c r="Y769" s="40" t="str">
        <f aca="false">IF($B769="","",IF($C769="","NIK kosong",IF(LEN($C769)&lt;&gt;16,"NIK bukan 16 digit",IF(COUNTIF($C$4:$C$2003,$C769&amp;"*")&gt;1,"NIK ganda",IF(AND($D769&lt;&gt;"",LEN($D769)&lt;&gt;16),"No. KK bukan 16 digit",IF(AND($F769="",$I769=""),"Alamat kosong",IF($N769="","Jabatan kosong",IF($O769="","No. HP kosong",IF(AND($R769&lt;&gt;"",$R769&lt;17),"Usia di bawah 17","")))))))))</f>
        <v/>
      </c>
      <c r="Z769" s="40" t="str">
        <f aca="false">IF($B769="","",IF(AND(OR(CARI!$C$5="",ISNUMBER(SEARCH(CARI!$C$5,$B769&amp;" "&amp;$C769&amp;" "&amp;$D769&amp;" "&amp;$O769&amp;" "&amp;$I769&amp;" "&amp;$F769&amp;" "&amp;$J769&amp;" "&amp;$K769&amp;" "&amp;$L769&amp;" "&amp;$V769))),OR(CARI!$C$6="",$F769=CARI!$C$6),OR(CARI!$C$7="",$G769=CARI!$C$7),OR(CARI!$C$8="",$T769=CARI!$C$8)),MAX($Z$3:Z768)+1,""))</f>
        <v/>
      </c>
      <c r="AA769" s="40" t="str">
        <f aca="false">IF($Y769="","",MAX($AA$3:AA768)+1)</f>
        <v/>
      </c>
      <c r="AB769" s="40" t="str">
        <f aca="false">IF($F769="","",$F769&amp;"#"&amp;COUNTIF($F$4:$F769,$F769))</f>
        <v/>
      </c>
      <c r="AC769" s="40" t="str">
        <f aca="false">IF($B769="","",IF(AND(OR(CETAK!$J$10="",$F769=CETAK!$J$10),OR(CETAK!$J$11="",$G769=CETAK!$J$11),OR(CETAK!$J$12="",$P769=CETAK!$J$12),OR(CETAK!$J$13="",$N769=CETAK!$J$13),OR(CETAK!$J$14="",$T769=CETAK!$J$14)),MAX($AC$3:AC768)+1,""))</f>
        <v/>
      </c>
      <c r="AD769" s="40" t="str">
        <f aca="false">IF($B769="","",IF(AND(OR(ABSENSI!$H$10="",$F769=ABSENSI!$H$10),OR(ABSENSI!$H$11="",$G769=ABSENSI!$H$11),OR(ABSENSI!$H$12="",$P769=ABSENSI!$H$12)),MAX($AD$3:AD768)+1,""))</f>
        <v/>
      </c>
      <c r="AE769" s="40" t="str">
        <f aca="false">IF($B769="","",IF(AND(OR(KARTU!$K$6="",$F769=KARTU!$K$6),OR(KARTU!$K$7="",$G769=KARTU!$K$7),OR(KARTU!$K$8="",$P769=KARTU!$K$8)),MAX($AE$3:AE768)+1,""))</f>
        <v/>
      </c>
    </row>
    <row r="770" customFormat="false" ht="15" hidden="false" customHeight="false" outlineLevel="0" collapsed="false">
      <c r="A770" s="35" t="str">
        <f aca="false">IF($B770="","",COUNTA($B$4:$B770))</f>
        <v/>
      </c>
      <c r="B770" s="36"/>
      <c r="C770" s="37"/>
      <c r="D770" s="37"/>
      <c r="E770" s="38"/>
      <c r="F770" s="36"/>
      <c r="G770" s="39"/>
      <c r="H770" s="39"/>
      <c r="I770" s="36"/>
      <c r="J770" s="36"/>
      <c r="K770" s="36"/>
      <c r="L770" s="36"/>
      <c r="M770" s="40" t="str">
        <f aca="false">IF($F770="","",$F770&amp;IF($G770="",""," - RT "&amp;$G770&amp;IF($H770="","","/"&amp;$H770)))</f>
        <v/>
      </c>
      <c r="N770" s="36"/>
      <c r="O770" s="37"/>
      <c r="P770" s="39"/>
      <c r="Q770" s="41"/>
      <c r="R770" s="35" t="str">
        <f aca="true">IF(OR($B770="",$Q770=""),"",DATEDIF($Q770,TODAY(),"Y"))</f>
        <v/>
      </c>
      <c r="S770" s="40" t="str">
        <f aca="false">IF($R770="","",INDEX(usia_label,MATCH($R770,usia_min,1)))</f>
        <v/>
      </c>
      <c r="T770" s="36"/>
      <c r="U770" s="41"/>
      <c r="V770" s="36"/>
      <c r="W770" s="36"/>
      <c r="X770" s="40" t="str">
        <f aca="false">IF($M770="","",$M770&amp;"#"&amp;COUNTIF($M$4:$M770,$M770))</f>
        <v/>
      </c>
      <c r="Y770" s="40" t="str">
        <f aca="false">IF($B770="","",IF($C770="","NIK kosong",IF(LEN($C770)&lt;&gt;16,"NIK bukan 16 digit",IF(COUNTIF($C$4:$C$2003,$C770&amp;"*")&gt;1,"NIK ganda",IF(AND($D770&lt;&gt;"",LEN($D770)&lt;&gt;16),"No. KK bukan 16 digit",IF(AND($F770="",$I770=""),"Alamat kosong",IF($N770="","Jabatan kosong",IF($O770="","No. HP kosong",IF(AND($R770&lt;&gt;"",$R770&lt;17),"Usia di bawah 17","")))))))))</f>
        <v/>
      </c>
      <c r="Z770" s="40" t="str">
        <f aca="false">IF($B770="","",IF(AND(OR(CARI!$C$5="",ISNUMBER(SEARCH(CARI!$C$5,$B770&amp;" "&amp;$C770&amp;" "&amp;$D770&amp;" "&amp;$O770&amp;" "&amp;$I770&amp;" "&amp;$F770&amp;" "&amp;$J770&amp;" "&amp;$K770&amp;" "&amp;$L770&amp;" "&amp;$V770))),OR(CARI!$C$6="",$F770=CARI!$C$6),OR(CARI!$C$7="",$G770=CARI!$C$7),OR(CARI!$C$8="",$T770=CARI!$C$8)),MAX($Z$3:Z769)+1,""))</f>
        <v/>
      </c>
      <c r="AA770" s="40" t="str">
        <f aca="false">IF($Y770="","",MAX($AA$3:AA769)+1)</f>
        <v/>
      </c>
      <c r="AB770" s="40" t="str">
        <f aca="false">IF($F770="","",$F770&amp;"#"&amp;COUNTIF($F$4:$F770,$F770))</f>
        <v/>
      </c>
      <c r="AC770" s="40" t="str">
        <f aca="false">IF($B770="","",IF(AND(OR(CETAK!$J$10="",$F770=CETAK!$J$10),OR(CETAK!$J$11="",$G770=CETAK!$J$11),OR(CETAK!$J$12="",$P770=CETAK!$J$12),OR(CETAK!$J$13="",$N770=CETAK!$J$13),OR(CETAK!$J$14="",$T770=CETAK!$J$14)),MAX($AC$3:AC769)+1,""))</f>
        <v/>
      </c>
      <c r="AD770" s="40" t="str">
        <f aca="false">IF($B770="","",IF(AND(OR(ABSENSI!$H$10="",$F770=ABSENSI!$H$10),OR(ABSENSI!$H$11="",$G770=ABSENSI!$H$11),OR(ABSENSI!$H$12="",$P770=ABSENSI!$H$12)),MAX($AD$3:AD769)+1,""))</f>
        <v/>
      </c>
      <c r="AE770" s="40" t="str">
        <f aca="false">IF($B770="","",IF(AND(OR(KARTU!$K$6="",$F770=KARTU!$K$6),OR(KARTU!$K$7="",$G770=KARTU!$K$7),OR(KARTU!$K$8="",$P770=KARTU!$K$8)),MAX($AE$3:AE769)+1,""))</f>
        <v/>
      </c>
    </row>
    <row r="771" customFormat="false" ht="15" hidden="false" customHeight="false" outlineLevel="0" collapsed="false">
      <c r="A771" s="35" t="str">
        <f aca="false">IF($B771="","",COUNTA($B$4:$B771))</f>
        <v/>
      </c>
      <c r="B771" s="36"/>
      <c r="C771" s="37"/>
      <c r="D771" s="37"/>
      <c r="E771" s="38"/>
      <c r="F771" s="36"/>
      <c r="G771" s="39"/>
      <c r="H771" s="39"/>
      <c r="I771" s="36"/>
      <c r="J771" s="36"/>
      <c r="K771" s="36"/>
      <c r="L771" s="36"/>
      <c r="M771" s="40" t="str">
        <f aca="false">IF($F771="","",$F771&amp;IF($G771="",""," - RT "&amp;$G771&amp;IF($H771="","","/"&amp;$H771)))</f>
        <v/>
      </c>
      <c r="N771" s="36"/>
      <c r="O771" s="37"/>
      <c r="P771" s="39"/>
      <c r="Q771" s="41"/>
      <c r="R771" s="35" t="str">
        <f aca="true">IF(OR($B771="",$Q771=""),"",DATEDIF($Q771,TODAY(),"Y"))</f>
        <v/>
      </c>
      <c r="S771" s="40" t="str">
        <f aca="false">IF($R771="","",INDEX(usia_label,MATCH($R771,usia_min,1)))</f>
        <v/>
      </c>
      <c r="T771" s="36"/>
      <c r="U771" s="41"/>
      <c r="V771" s="36"/>
      <c r="W771" s="36"/>
      <c r="X771" s="40" t="str">
        <f aca="false">IF($M771="","",$M771&amp;"#"&amp;COUNTIF($M$4:$M771,$M771))</f>
        <v/>
      </c>
      <c r="Y771" s="40" t="str">
        <f aca="false">IF($B771="","",IF($C771="","NIK kosong",IF(LEN($C771)&lt;&gt;16,"NIK bukan 16 digit",IF(COUNTIF($C$4:$C$2003,$C771&amp;"*")&gt;1,"NIK ganda",IF(AND($D771&lt;&gt;"",LEN($D771)&lt;&gt;16),"No. KK bukan 16 digit",IF(AND($F771="",$I771=""),"Alamat kosong",IF($N771="","Jabatan kosong",IF($O771="","No. HP kosong",IF(AND($R771&lt;&gt;"",$R771&lt;17),"Usia di bawah 17","")))))))))</f>
        <v/>
      </c>
      <c r="Z771" s="40" t="str">
        <f aca="false">IF($B771="","",IF(AND(OR(CARI!$C$5="",ISNUMBER(SEARCH(CARI!$C$5,$B771&amp;" "&amp;$C771&amp;" "&amp;$D771&amp;" "&amp;$O771&amp;" "&amp;$I771&amp;" "&amp;$F771&amp;" "&amp;$J771&amp;" "&amp;$K771&amp;" "&amp;$L771&amp;" "&amp;$V771))),OR(CARI!$C$6="",$F771=CARI!$C$6),OR(CARI!$C$7="",$G771=CARI!$C$7),OR(CARI!$C$8="",$T771=CARI!$C$8)),MAX($Z$3:Z770)+1,""))</f>
        <v/>
      </c>
      <c r="AA771" s="40" t="str">
        <f aca="false">IF($Y771="","",MAX($AA$3:AA770)+1)</f>
        <v/>
      </c>
      <c r="AB771" s="40" t="str">
        <f aca="false">IF($F771="","",$F771&amp;"#"&amp;COUNTIF($F$4:$F771,$F771))</f>
        <v/>
      </c>
      <c r="AC771" s="40" t="str">
        <f aca="false">IF($B771="","",IF(AND(OR(CETAK!$J$10="",$F771=CETAK!$J$10),OR(CETAK!$J$11="",$G771=CETAK!$J$11),OR(CETAK!$J$12="",$P771=CETAK!$J$12),OR(CETAK!$J$13="",$N771=CETAK!$J$13),OR(CETAK!$J$14="",$T771=CETAK!$J$14)),MAX($AC$3:AC770)+1,""))</f>
        <v/>
      </c>
      <c r="AD771" s="40" t="str">
        <f aca="false">IF($B771="","",IF(AND(OR(ABSENSI!$H$10="",$F771=ABSENSI!$H$10),OR(ABSENSI!$H$11="",$G771=ABSENSI!$H$11),OR(ABSENSI!$H$12="",$P771=ABSENSI!$H$12)),MAX($AD$3:AD770)+1,""))</f>
        <v/>
      </c>
      <c r="AE771" s="40" t="str">
        <f aca="false">IF($B771="","",IF(AND(OR(KARTU!$K$6="",$F771=KARTU!$K$6),OR(KARTU!$K$7="",$G771=KARTU!$K$7),OR(KARTU!$K$8="",$P771=KARTU!$K$8)),MAX($AE$3:AE770)+1,""))</f>
        <v/>
      </c>
    </row>
    <row r="772" customFormat="false" ht="15" hidden="false" customHeight="false" outlineLevel="0" collapsed="false">
      <c r="A772" s="35" t="str">
        <f aca="false">IF($B772="","",COUNTA($B$4:$B772))</f>
        <v/>
      </c>
      <c r="B772" s="36"/>
      <c r="C772" s="37"/>
      <c r="D772" s="37"/>
      <c r="E772" s="38"/>
      <c r="F772" s="36"/>
      <c r="G772" s="39"/>
      <c r="H772" s="39"/>
      <c r="I772" s="36"/>
      <c r="J772" s="36"/>
      <c r="K772" s="36"/>
      <c r="L772" s="36"/>
      <c r="M772" s="40" t="str">
        <f aca="false">IF($F772="","",$F772&amp;IF($G772="",""," - RT "&amp;$G772&amp;IF($H772="","","/"&amp;$H772)))</f>
        <v/>
      </c>
      <c r="N772" s="36"/>
      <c r="O772" s="37"/>
      <c r="P772" s="39"/>
      <c r="Q772" s="41"/>
      <c r="R772" s="35" t="str">
        <f aca="true">IF(OR($B772="",$Q772=""),"",DATEDIF($Q772,TODAY(),"Y"))</f>
        <v/>
      </c>
      <c r="S772" s="40" t="str">
        <f aca="false">IF($R772="","",INDEX(usia_label,MATCH($R772,usia_min,1)))</f>
        <v/>
      </c>
      <c r="T772" s="36"/>
      <c r="U772" s="41"/>
      <c r="V772" s="36"/>
      <c r="W772" s="36"/>
      <c r="X772" s="40" t="str">
        <f aca="false">IF($M772="","",$M772&amp;"#"&amp;COUNTIF($M$4:$M772,$M772))</f>
        <v/>
      </c>
      <c r="Y772" s="40" t="str">
        <f aca="false">IF($B772="","",IF($C772="","NIK kosong",IF(LEN($C772)&lt;&gt;16,"NIK bukan 16 digit",IF(COUNTIF($C$4:$C$2003,$C772&amp;"*")&gt;1,"NIK ganda",IF(AND($D772&lt;&gt;"",LEN($D772)&lt;&gt;16),"No. KK bukan 16 digit",IF(AND($F772="",$I772=""),"Alamat kosong",IF($N772="","Jabatan kosong",IF($O772="","No. HP kosong",IF(AND($R772&lt;&gt;"",$R772&lt;17),"Usia di bawah 17","")))))))))</f>
        <v/>
      </c>
      <c r="Z772" s="40" t="str">
        <f aca="false">IF($B772="","",IF(AND(OR(CARI!$C$5="",ISNUMBER(SEARCH(CARI!$C$5,$B772&amp;" "&amp;$C772&amp;" "&amp;$D772&amp;" "&amp;$O772&amp;" "&amp;$I772&amp;" "&amp;$F772&amp;" "&amp;$J772&amp;" "&amp;$K772&amp;" "&amp;$L772&amp;" "&amp;$V772))),OR(CARI!$C$6="",$F772=CARI!$C$6),OR(CARI!$C$7="",$G772=CARI!$C$7),OR(CARI!$C$8="",$T772=CARI!$C$8)),MAX($Z$3:Z771)+1,""))</f>
        <v/>
      </c>
      <c r="AA772" s="40" t="str">
        <f aca="false">IF($Y772="","",MAX($AA$3:AA771)+1)</f>
        <v/>
      </c>
      <c r="AB772" s="40" t="str">
        <f aca="false">IF($F772="","",$F772&amp;"#"&amp;COUNTIF($F$4:$F772,$F772))</f>
        <v/>
      </c>
      <c r="AC772" s="40" t="str">
        <f aca="false">IF($B772="","",IF(AND(OR(CETAK!$J$10="",$F772=CETAK!$J$10),OR(CETAK!$J$11="",$G772=CETAK!$J$11),OR(CETAK!$J$12="",$P772=CETAK!$J$12),OR(CETAK!$J$13="",$N772=CETAK!$J$13),OR(CETAK!$J$14="",$T772=CETAK!$J$14)),MAX($AC$3:AC771)+1,""))</f>
        <v/>
      </c>
      <c r="AD772" s="40" t="str">
        <f aca="false">IF($B772="","",IF(AND(OR(ABSENSI!$H$10="",$F772=ABSENSI!$H$10),OR(ABSENSI!$H$11="",$G772=ABSENSI!$H$11),OR(ABSENSI!$H$12="",$P772=ABSENSI!$H$12)),MAX($AD$3:AD771)+1,""))</f>
        <v/>
      </c>
      <c r="AE772" s="40" t="str">
        <f aca="false">IF($B772="","",IF(AND(OR(KARTU!$K$6="",$F772=KARTU!$K$6),OR(KARTU!$K$7="",$G772=KARTU!$K$7),OR(KARTU!$K$8="",$P772=KARTU!$K$8)),MAX($AE$3:AE771)+1,""))</f>
        <v/>
      </c>
    </row>
    <row r="773" customFormat="false" ht="15" hidden="false" customHeight="false" outlineLevel="0" collapsed="false">
      <c r="A773" s="35" t="str">
        <f aca="false">IF($B773="","",COUNTA($B$4:$B773))</f>
        <v/>
      </c>
      <c r="B773" s="36"/>
      <c r="C773" s="37"/>
      <c r="D773" s="37"/>
      <c r="E773" s="38"/>
      <c r="F773" s="36"/>
      <c r="G773" s="39"/>
      <c r="H773" s="39"/>
      <c r="I773" s="36"/>
      <c r="J773" s="36"/>
      <c r="K773" s="36"/>
      <c r="L773" s="36"/>
      <c r="M773" s="40" t="str">
        <f aca="false">IF($F773="","",$F773&amp;IF($G773="",""," - RT "&amp;$G773&amp;IF($H773="","","/"&amp;$H773)))</f>
        <v/>
      </c>
      <c r="N773" s="36"/>
      <c r="O773" s="37"/>
      <c r="P773" s="39"/>
      <c r="Q773" s="41"/>
      <c r="R773" s="35" t="str">
        <f aca="true">IF(OR($B773="",$Q773=""),"",DATEDIF($Q773,TODAY(),"Y"))</f>
        <v/>
      </c>
      <c r="S773" s="40" t="str">
        <f aca="false">IF($R773="","",INDEX(usia_label,MATCH($R773,usia_min,1)))</f>
        <v/>
      </c>
      <c r="T773" s="36"/>
      <c r="U773" s="41"/>
      <c r="V773" s="36"/>
      <c r="W773" s="36"/>
      <c r="X773" s="40" t="str">
        <f aca="false">IF($M773="","",$M773&amp;"#"&amp;COUNTIF($M$4:$M773,$M773))</f>
        <v/>
      </c>
      <c r="Y773" s="40" t="str">
        <f aca="false">IF($B773="","",IF($C773="","NIK kosong",IF(LEN($C773)&lt;&gt;16,"NIK bukan 16 digit",IF(COUNTIF($C$4:$C$2003,$C773&amp;"*")&gt;1,"NIK ganda",IF(AND($D773&lt;&gt;"",LEN($D773)&lt;&gt;16),"No. KK bukan 16 digit",IF(AND($F773="",$I773=""),"Alamat kosong",IF($N773="","Jabatan kosong",IF($O773="","No. HP kosong",IF(AND($R773&lt;&gt;"",$R773&lt;17),"Usia di bawah 17","")))))))))</f>
        <v/>
      </c>
      <c r="Z773" s="40" t="str">
        <f aca="false">IF($B773="","",IF(AND(OR(CARI!$C$5="",ISNUMBER(SEARCH(CARI!$C$5,$B773&amp;" "&amp;$C773&amp;" "&amp;$D773&amp;" "&amp;$O773&amp;" "&amp;$I773&amp;" "&amp;$F773&amp;" "&amp;$J773&amp;" "&amp;$K773&amp;" "&amp;$L773&amp;" "&amp;$V773))),OR(CARI!$C$6="",$F773=CARI!$C$6),OR(CARI!$C$7="",$G773=CARI!$C$7),OR(CARI!$C$8="",$T773=CARI!$C$8)),MAX($Z$3:Z772)+1,""))</f>
        <v/>
      </c>
      <c r="AA773" s="40" t="str">
        <f aca="false">IF($Y773="","",MAX($AA$3:AA772)+1)</f>
        <v/>
      </c>
      <c r="AB773" s="40" t="str">
        <f aca="false">IF($F773="","",$F773&amp;"#"&amp;COUNTIF($F$4:$F773,$F773))</f>
        <v/>
      </c>
      <c r="AC773" s="40" t="str">
        <f aca="false">IF($B773="","",IF(AND(OR(CETAK!$J$10="",$F773=CETAK!$J$10),OR(CETAK!$J$11="",$G773=CETAK!$J$11),OR(CETAK!$J$12="",$P773=CETAK!$J$12),OR(CETAK!$J$13="",$N773=CETAK!$J$13),OR(CETAK!$J$14="",$T773=CETAK!$J$14)),MAX($AC$3:AC772)+1,""))</f>
        <v/>
      </c>
      <c r="AD773" s="40" t="str">
        <f aca="false">IF($B773="","",IF(AND(OR(ABSENSI!$H$10="",$F773=ABSENSI!$H$10),OR(ABSENSI!$H$11="",$G773=ABSENSI!$H$11),OR(ABSENSI!$H$12="",$P773=ABSENSI!$H$12)),MAX($AD$3:AD772)+1,""))</f>
        <v/>
      </c>
      <c r="AE773" s="40" t="str">
        <f aca="false">IF($B773="","",IF(AND(OR(KARTU!$K$6="",$F773=KARTU!$K$6),OR(KARTU!$K$7="",$G773=KARTU!$K$7),OR(KARTU!$K$8="",$P773=KARTU!$K$8)),MAX($AE$3:AE772)+1,""))</f>
        <v/>
      </c>
    </row>
    <row r="774" customFormat="false" ht="15" hidden="false" customHeight="false" outlineLevel="0" collapsed="false">
      <c r="A774" s="35" t="str">
        <f aca="false">IF($B774="","",COUNTA($B$4:$B774))</f>
        <v/>
      </c>
      <c r="B774" s="36"/>
      <c r="C774" s="37"/>
      <c r="D774" s="37"/>
      <c r="E774" s="38"/>
      <c r="F774" s="36"/>
      <c r="G774" s="39"/>
      <c r="H774" s="39"/>
      <c r="I774" s="36"/>
      <c r="J774" s="36"/>
      <c r="K774" s="36"/>
      <c r="L774" s="36"/>
      <c r="M774" s="40" t="str">
        <f aca="false">IF($F774="","",$F774&amp;IF($G774="",""," - RT "&amp;$G774&amp;IF($H774="","","/"&amp;$H774)))</f>
        <v/>
      </c>
      <c r="N774" s="36"/>
      <c r="O774" s="37"/>
      <c r="P774" s="39"/>
      <c r="Q774" s="41"/>
      <c r="R774" s="35" t="str">
        <f aca="true">IF(OR($B774="",$Q774=""),"",DATEDIF($Q774,TODAY(),"Y"))</f>
        <v/>
      </c>
      <c r="S774" s="40" t="str">
        <f aca="false">IF($R774="","",INDEX(usia_label,MATCH($R774,usia_min,1)))</f>
        <v/>
      </c>
      <c r="T774" s="36"/>
      <c r="U774" s="41"/>
      <c r="V774" s="36"/>
      <c r="W774" s="36"/>
      <c r="X774" s="40" t="str">
        <f aca="false">IF($M774="","",$M774&amp;"#"&amp;COUNTIF($M$4:$M774,$M774))</f>
        <v/>
      </c>
      <c r="Y774" s="40" t="str">
        <f aca="false">IF($B774="","",IF($C774="","NIK kosong",IF(LEN($C774)&lt;&gt;16,"NIK bukan 16 digit",IF(COUNTIF($C$4:$C$2003,$C774&amp;"*")&gt;1,"NIK ganda",IF(AND($D774&lt;&gt;"",LEN($D774)&lt;&gt;16),"No. KK bukan 16 digit",IF(AND($F774="",$I774=""),"Alamat kosong",IF($N774="","Jabatan kosong",IF($O774="","No. HP kosong",IF(AND($R774&lt;&gt;"",$R774&lt;17),"Usia di bawah 17","")))))))))</f>
        <v/>
      </c>
      <c r="Z774" s="40" t="str">
        <f aca="false">IF($B774="","",IF(AND(OR(CARI!$C$5="",ISNUMBER(SEARCH(CARI!$C$5,$B774&amp;" "&amp;$C774&amp;" "&amp;$D774&amp;" "&amp;$O774&amp;" "&amp;$I774&amp;" "&amp;$F774&amp;" "&amp;$J774&amp;" "&amp;$K774&amp;" "&amp;$L774&amp;" "&amp;$V774))),OR(CARI!$C$6="",$F774=CARI!$C$6),OR(CARI!$C$7="",$G774=CARI!$C$7),OR(CARI!$C$8="",$T774=CARI!$C$8)),MAX($Z$3:Z773)+1,""))</f>
        <v/>
      </c>
      <c r="AA774" s="40" t="str">
        <f aca="false">IF($Y774="","",MAX($AA$3:AA773)+1)</f>
        <v/>
      </c>
      <c r="AB774" s="40" t="str">
        <f aca="false">IF($F774="","",$F774&amp;"#"&amp;COUNTIF($F$4:$F774,$F774))</f>
        <v/>
      </c>
      <c r="AC774" s="40" t="str">
        <f aca="false">IF($B774="","",IF(AND(OR(CETAK!$J$10="",$F774=CETAK!$J$10),OR(CETAK!$J$11="",$G774=CETAK!$J$11),OR(CETAK!$J$12="",$P774=CETAK!$J$12),OR(CETAK!$J$13="",$N774=CETAK!$J$13),OR(CETAK!$J$14="",$T774=CETAK!$J$14)),MAX($AC$3:AC773)+1,""))</f>
        <v/>
      </c>
      <c r="AD774" s="40" t="str">
        <f aca="false">IF($B774="","",IF(AND(OR(ABSENSI!$H$10="",$F774=ABSENSI!$H$10),OR(ABSENSI!$H$11="",$G774=ABSENSI!$H$11),OR(ABSENSI!$H$12="",$P774=ABSENSI!$H$12)),MAX($AD$3:AD773)+1,""))</f>
        <v/>
      </c>
      <c r="AE774" s="40" t="str">
        <f aca="false">IF($B774="","",IF(AND(OR(KARTU!$K$6="",$F774=KARTU!$K$6),OR(KARTU!$K$7="",$G774=KARTU!$K$7),OR(KARTU!$K$8="",$P774=KARTU!$K$8)),MAX($AE$3:AE773)+1,""))</f>
        <v/>
      </c>
    </row>
    <row r="775" customFormat="false" ht="15" hidden="false" customHeight="false" outlineLevel="0" collapsed="false">
      <c r="A775" s="35" t="str">
        <f aca="false">IF($B775="","",COUNTA($B$4:$B775))</f>
        <v/>
      </c>
      <c r="B775" s="36"/>
      <c r="C775" s="37"/>
      <c r="D775" s="37"/>
      <c r="E775" s="38"/>
      <c r="F775" s="36"/>
      <c r="G775" s="39"/>
      <c r="H775" s="39"/>
      <c r="I775" s="36"/>
      <c r="J775" s="36"/>
      <c r="K775" s="36"/>
      <c r="L775" s="36"/>
      <c r="M775" s="40" t="str">
        <f aca="false">IF($F775="","",$F775&amp;IF($G775="",""," - RT "&amp;$G775&amp;IF($H775="","","/"&amp;$H775)))</f>
        <v/>
      </c>
      <c r="N775" s="36"/>
      <c r="O775" s="37"/>
      <c r="P775" s="39"/>
      <c r="Q775" s="41"/>
      <c r="R775" s="35" t="str">
        <f aca="true">IF(OR($B775="",$Q775=""),"",DATEDIF($Q775,TODAY(),"Y"))</f>
        <v/>
      </c>
      <c r="S775" s="40" t="str">
        <f aca="false">IF($R775="","",INDEX(usia_label,MATCH($R775,usia_min,1)))</f>
        <v/>
      </c>
      <c r="T775" s="36"/>
      <c r="U775" s="41"/>
      <c r="V775" s="36"/>
      <c r="W775" s="36"/>
      <c r="X775" s="40" t="str">
        <f aca="false">IF($M775="","",$M775&amp;"#"&amp;COUNTIF($M$4:$M775,$M775))</f>
        <v/>
      </c>
      <c r="Y775" s="40" t="str">
        <f aca="false">IF($B775="","",IF($C775="","NIK kosong",IF(LEN($C775)&lt;&gt;16,"NIK bukan 16 digit",IF(COUNTIF($C$4:$C$2003,$C775&amp;"*")&gt;1,"NIK ganda",IF(AND($D775&lt;&gt;"",LEN($D775)&lt;&gt;16),"No. KK bukan 16 digit",IF(AND($F775="",$I775=""),"Alamat kosong",IF($N775="","Jabatan kosong",IF($O775="","No. HP kosong",IF(AND($R775&lt;&gt;"",$R775&lt;17),"Usia di bawah 17","")))))))))</f>
        <v/>
      </c>
      <c r="Z775" s="40" t="str">
        <f aca="false">IF($B775="","",IF(AND(OR(CARI!$C$5="",ISNUMBER(SEARCH(CARI!$C$5,$B775&amp;" "&amp;$C775&amp;" "&amp;$D775&amp;" "&amp;$O775&amp;" "&amp;$I775&amp;" "&amp;$F775&amp;" "&amp;$J775&amp;" "&amp;$K775&amp;" "&amp;$L775&amp;" "&amp;$V775))),OR(CARI!$C$6="",$F775=CARI!$C$6),OR(CARI!$C$7="",$G775=CARI!$C$7),OR(CARI!$C$8="",$T775=CARI!$C$8)),MAX($Z$3:Z774)+1,""))</f>
        <v/>
      </c>
      <c r="AA775" s="40" t="str">
        <f aca="false">IF($Y775="","",MAX($AA$3:AA774)+1)</f>
        <v/>
      </c>
      <c r="AB775" s="40" t="str">
        <f aca="false">IF($F775="","",$F775&amp;"#"&amp;COUNTIF($F$4:$F775,$F775))</f>
        <v/>
      </c>
      <c r="AC775" s="40" t="str">
        <f aca="false">IF($B775="","",IF(AND(OR(CETAK!$J$10="",$F775=CETAK!$J$10),OR(CETAK!$J$11="",$G775=CETAK!$J$11),OR(CETAK!$J$12="",$P775=CETAK!$J$12),OR(CETAK!$J$13="",$N775=CETAK!$J$13),OR(CETAK!$J$14="",$T775=CETAK!$J$14)),MAX($AC$3:AC774)+1,""))</f>
        <v/>
      </c>
      <c r="AD775" s="40" t="str">
        <f aca="false">IF($B775="","",IF(AND(OR(ABSENSI!$H$10="",$F775=ABSENSI!$H$10),OR(ABSENSI!$H$11="",$G775=ABSENSI!$H$11),OR(ABSENSI!$H$12="",$P775=ABSENSI!$H$12)),MAX($AD$3:AD774)+1,""))</f>
        <v/>
      </c>
      <c r="AE775" s="40" t="str">
        <f aca="false">IF($B775="","",IF(AND(OR(KARTU!$K$6="",$F775=KARTU!$K$6),OR(KARTU!$K$7="",$G775=KARTU!$K$7),OR(KARTU!$K$8="",$P775=KARTU!$K$8)),MAX($AE$3:AE774)+1,""))</f>
        <v/>
      </c>
    </row>
    <row r="776" customFormat="false" ht="15" hidden="false" customHeight="false" outlineLevel="0" collapsed="false">
      <c r="A776" s="35" t="str">
        <f aca="false">IF($B776="","",COUNTA($B$4:$B776))</f>
        <v/>
      </c>
      <c r="B776" s="36"/>
      <c r="C776" s="37"/>
      <c r="D776" s="37"/>
      <c r="E776" s="38"/>
      <c r="F776" s="36"/>
      <c r="G776" s="39"/>
      <c r="H776" s="39"/>
      <c r="I776" s="36"/>
      <c r="J776" s="36"/>
      <c r="K776" s="36"/>
      <c r="L776" s="36"/>
      <c r="M776" s="40" t="str">
        <f aca="false">IF($F776="","",$F776&amp;IF($G776="",""," - RT "&amp;$G776&amp;IF($H776="","","/"&amp;$H776)))</f>
        <v/>
      </c>
      <c r="N776" s="36"/>
      <c r="O776" s="37"/>
      <c r="P776" s="39"/>
      <c r="Q776" s="41"/>
      <c r="R776" s="35" t="str">
        <f aca="true">IF(OR($B776="",$Q776=""),"",DATEDIF($Q776,TODAY(),"Y"))</f>
        <v/>
      </c>
      <c r="S776" s="40" t="str">
        <f aca="false">IF($R776="","",INDEX(usia_label,MATCH($R776,usia_min,1)))</f>
        <v/>
      </c>
      <c r="T776" s="36"/>
      <c r="U776" s="41"/>
      <c r="V776" s="36"/>
      <c r="W776" s="36"/>
      <c r="X776" s="40" t="str">
        <f aca="false">IF($M776="","",$M776&amp;"#"&amp;COUNTIF($M$4:$M776,$M776))</f>
        <v/>
      </c>
      <c r="Y776" s="40" t="str">
        <f aca="false">IF($B776="","",IF($C776="","NIK kosong",IF(LEN($C776)&lt;&gt;16,"NIK bukan 16 digit",IF(COUNTIF($C$4:$C$2003,$C776&amp;"*")&gt;1,"NIK ganda",IF(AND($D776&lt;&gt;"",LEN($D776)&lt;&gt;16),"No. KK bukan 16 digit",IF(AND($F776="",$I776=""),"Alamat kosong",IF($N776="","Jabatan kosong",IF($O776="","No. HP kosong",IF(AND($R776&lt;&gt;"",$R776&lt;17),"Usia di bawah 17","")))))))))</f>
        <v/>
      </c>
      <c r="Z776" s="40" t="str">
        <f aca="false">IF($B776="","",IF(AND(OR(CARI!$C$5="",ISNUMBER(SEARCH(CARI!$C$5,$B776&amp;" "&amp;$C776&amp;" "&amp;$D776&amp;" "&amp;$O776&amp;" "&amp;$I776&amp;" "&amp;$F776&amp;" "&amp;$J776&amp;" "&amp;$K776&amp;" "&amp;$L776&amp;" "&amp;$V776))),OR(CARI!$C$6="",$F776=CARI!$C$6),OR(CARI!$C$7="",$G776=CARI!$C$7),OR(CARI!$C$8="",$T776=CARI!$C$8)),MAX($Z$3:Z775)+1,""))</f>
        <v/>
      </c>
      <c r="AA776" s="40" t="str">
        <f aca="false">IF($Y776="","",MAX($AA$3:AA775)+1)</f>
        <v/>
      </c>
      <c r="AB776" s="40" t="str">
        <f aca="false">IF($F776="","",$F776&amp;"#"&amp;COUNTIF($F$4:$F776,$F776))</f>
        <v/>
      </c>
      <c r="AC776" s="40" t="str">
        <f aca="false">IF($B776="","",IF(AND(OR(CETAK!$J$10="",$F776=CETAK!$J$10),OR(CETAK!$J$11="",$G776=CETAK!$J$11),OR(CETAK!$J$12="",$P776=CETAK!$J$12),OR(CETAK!$J$13="",$N776=CETAK!$J$13),OR(CETAK!$J$14="",$T776=CETAK!$J$14)),MAX($AC$3:AC775)+1,""))</f>
        <v/>
      </c>
      <c r="AD776" s="40" t="str">
        <f aca="false">IF($B776="","",IF(AND(OR(ABSENSI!$H$10="",$F776=ABSENSI!$H$10),OR(ABSENSI!$H$11="",$G776=ABSENSI!$H$11),OR(ABSENSI!$H$12="",$P776=ABSENSI!$H$12)),MAX($AD$3:AD775)+1,""))</f>
        <v/>
      </c>
      <c r="AE776" s="40" t="str">
        <f aca="false">IF($B776="","",IF(AND(OR(KARTU!$K$6="",$F776=KARTU!$K$6),OR(KARTU!$K$7="",$G776=KARTU!$K$7),OR(KARTU!$K$8="",$P776=KARTU!$K$8)),MAX($AE$3:AE775)+1,""))</f>
        <v/>
      </c>
    </row>
    <row r="777" customFormat="false" ht="15" hidden="false" customHeight="false" outlineLevel="0" collapsed="false">
      <c r="A777" s="35" t="str">
        <f aca="false">IF($B777="","",COUNTA($B$4:$B777))</f>
        <v/>
      </c>
      <c r="B777" s="36"/>
      <c r="C777" s="37"/>
      <c r="D777" s="37"/>
      <c r="E777" s="38"/>
      <c r="F777" s="36"/>
      <c r="G777" s="39"/>
      <c r="H777" s="39"/>
      <c r="I777" s="36"/>
      <c r="J777" s="36"/>
      <c r="K777" s="36"/>
      <c r="L777" s="36"/>
      <c r="M777" s="40" t="str">
        <f aca="false">IF($F777="","",$F777&amp;IF($G777="",""," - RT "&amp;$G777&amp;IF($H777="","","/"&amp;$H777)))</f>
        <v/>
      </c>
      <c r="N777" s="36"/>
      <c r="O777" s="37"/>
      <c r="P777" s="39"/>
      <c r="Q777" s="41"/>
      <c r="R777" s="35" t="str">
        <f aca="true">IF(OR($B777="",$Q777=""),"",DATEDIF($Q777,TODAY(),"Y"))</f>
        <v/>
      </c>
      <c r="S777" s="40" t="str">
        <f aca="false">IF($R777="","",INDEX(usia_label,MATCH($R777,usia_min,1)))</f>
        <v/>
      </c>
      <c r="T777" s="36"/>
      <c r="U777" s="41"/>
      <c r="V777" s="36"/>
      <c r="W777" s="36"/>
      <c r="X777" s="40" t="str">
        <f aca="false">IF($M777="","",$M777&amp;"#"&amp;COUNTIF($M$4:$M777,$M777))</f>
        <v/>
      </c>
      <c r="Y777" s="40" t="str">
        <f aca="false">IF($B777="","",IF($C777="","NIK kosong",IF(LEN($C777)&lt;&gt;16,"NIK bukan 16 digit",IF(COUNTIF($C$4:$C$2003,$C777&amp;"*")&gt;1,"NIK ganda",IF(AND($D777&lt;&gt;"",LEN($D777)&lt;&gt;16),"No. KK bukan 16 digit",IF(AND($F777="",$I777=""),"Alamat kosong",IF($N777="","Jabatan kosong",IF($O777="","No. HP kosong",IF(AND($R777&lt;&gt;"",$R777&lt;17),"Usia di bawah 17","")))))))))</f>
        <v/>
      </c>
      <c r="Z777" s="40" t="str">
        <f aca="false">IF($B777="","",IF(AND(OR(CARI!$C$5="",ISNUMBER(SEARCH(CARI!$C$5,$B777&amp;" "&amp;$C777&amp;" "&amp;$D777&amp;" "&amp;$O777&amp;" "&amp;$I777&amp;" "&amp;$F777&amp;" "&amp;$J777&amp;" "&amp;$K777&amp;" "&amp;$L777&amp;" "&amp;$V777))),OR(CARI!$C$6="",$F777=CARI!$C$6),OR(CARI!$C$7="",$G777=CARI!$C$7),OR(CARI!$C$8="",$T777=CARI!$C$8)),MAX($Z$3:Z776)+1,""))</f>
        <v/>
      </c>
      <c r="AA777" s="40" t="str">
        <f aca="false">IF($Y777="","",MAX($AA$3:AA776)+1)</f>
        <v/>
      </c>
      <c r="AB777" s="40" t="str">
        <f aca="false">IF($F777="","",$F777&amp;"#"&amp;COUNTIF($F$4:$F777,$F777))</f>
        <v/>
      </c>
      <c r="AC777" s="40" t="str">
        <f aca="false">IF($B777="","",IF(AND(OR(CETAK!$J$10="",$F777=CETAK!$J$10),OR(CETAK!$J$11="",$G777=CETAK!$J$11),OR(CETAK!$J$12="",$P777=CETAK!$J$12),OR(CETAK!$J$13="",$N777=CETAK!$J$13),OR(CETAK!$J$14="",$T777=CETAK!$J$14)),MAX($AC$3:AC776)+1,""))</f>
        <v/>
      </c>
      <c r="AD777" s="40" t="str">
        <f aca="false">IF($B777="","",IF(AND(OR(ABSENSI!$H$10="",$F777=ABSENSI!$H$10),OR(ABSENSI!$H$11="",$G777=ABSENSI!$H$11),OR(ABSENSI!$H$12="",$P777=ABSENSI!$H$12)),MAX($AD$3:AD776)+1,""))</f>
        <v/>
      </c>
      <c r="AE777" s="40" t="str">
        <f aca="false">IF($B777="","",IF(AND(OR(KARTU!$K$6="",$F777=KARTU!$K$6),OR(KARTU!$K$7="",$G777=KARTU!$K$7),OR(KARTU!$K$8="",$P777=KARTU!$K$8)),MAX($AE$3:AE776)+1,""))</f>
        <v/>
      </c>
    </row>
    <row r="778" customFormat="false" ht="15" hidden="false" customHeight="false" outlineLevel="0" collapsed="false">
      <c r="A778" s="35" t="str">
        <f aca="false">IF($B778="","",COUNTA($B$4:$B778))</f>
        <v/>
      </c>
      <c r="B778" s="36"/>
      <c r="C778" s="37"/>
      <c r="D778" s="37"/>
      <c r="E778" s="38"/>
      <c r="F778" s="36"/>
      <c r="G778" s="39"/>
      <c r="H778" s="39"/>
      <c r="I778" s="36"/>
      <c r="J778" s="36"/>
      <c r="K778" s="36"/>
      <c r="L778" s="36"/>
      <c r="M778" s="40" t="str">
        <f aca="false">IF($F778="","",$F778&amp;IF($G778="",""," - RT "&amp;$G778&amp;IF($H778="","","/"&amp;$H778)))</f>
        <v/>
      </c>
      <c r="N778" s="36"/>
      <c r="O778" s="37"/>
      <c r="P778" s="39"/>
      <c r="Q778" s="41"/>
      <c r="R778" s="35" t="str">
        <f aca="true">IF(OR($B778="",$Q778=""),"",DATEDIF($Q778,TODAY(),"Y"))</f>
        <v/>
      </c>
      <c r="S778" s="40" t="str">
        <f aca="false">IF($R778="","",INDEX(usia_label,MATCH($R778,usia_min,1)))</f>
        <v/>
      </c>
      <c r="T778" s="36"/>
      <c r="U778" s="41"/>
      <c r="V778" s="36"/>
      <c r="W778" s="36"/>
      <c r="X778" s="40" t="str">
        <f aca="false">IF($M778="","",$M778&amp;"#"&amp;COUNTIF($M$4:$M778,$M778))</f>
        <v/>
      </c>
      <c r="Y778" s="40" t="str">
        <f aca="false">IF($B778="","",IF($C778="","NIK kosong",IF(LEN($C778)&lt;&gt;16,"NIK bukan 16 digit",IF(COUNTIF($C$4:$C$2003,$C778&amp;"*")&gt;1,"NIK ganda",IF(AND($D778&lt;&gt;"",LEN($D778)&lt;&gt;16),"No. KK bukan 16 digit",IF(AND($F778="",$I778=""),"Alamat kosong",IF($N778="","Jabatan kosong",IF($O778="","No. HP kosong",IF(AND($R778&lt;&gt;"",$R778&lt;17),"Usia di bawah 17","")))))))))</f>
        <v/>
      </c>
      <c r="Z778" s="40" t="str">
        <f aca="false">IF($B778="","",IF(AND(OR(CARI!$C$5="",ISNUMBER(SEARCH(CARI!$C$5,$B778&amp;" "&amp;$C778&amp;" "&amp;$D778&amp;" "&amp;$O778&amp;" "&amp;$I778&amp;" "&amp;$F778&amp;" "&amp;$J778&amp;" "&amp;$K778&amp;" "&amp;$L778&amp;" "&amp;$V778))),OR(CARI!$C$6="",$F778=CARI!$C$6),OR(CARI!$C$7="",$G778=CARI!$C$7),OR(CARI!$C$8="",$T778=CARI!$C$8)),MAX($Z$3:Z777)+1,""))</f>
        <v/>
      </c>
      <c r="AA778" s="40" t="str">
        <f aca="false">IF($Y778="","",MAX($AA$3:AA777)+1)</f>
        <v/>
      </c>
      <c r="AB778" s="40" t="str">
        <f aca="false">IF($F778="","",$F778&amp;"#"&amp;COUNTIF($F$4:$F778,$F778))</f>
        <v/>
      </c>
      <c r="AC778" s="40" t="str">
        <f aca="false">IF($B778="","",IF(AND(OR(CETAK!$J$10="",$F778=CETAK!$J$10),OR(CETAK!$J$11="",$G778=CETAK!$J$11),OR(CETAK!$J$12="",$P778=CETAK!$J$12),OR(CETAK!$J$13="",$N778=CETAK!$J$13),OR(CETAK!$J$14="",$T778=CETAK!$J$14)),MAX($AC$3:AC777)+1,""))</f>
        <v/>
      </c>
      <c r="AD778" s="40" t="str">
        <f aca="false">IF($B778="","",IF(AND(OR(ABSENSI!$H$10="",$F778=ABSENSI!$H$10),OR(ABSENSI!$H$11="",$G778=ABSENSI!$H$11),OR(ABSENSI!$H$12="",$P778=ABSENSI!$H$12)),MAX($AD$3:AD777)+1,""))</f>
        <v/>
      </c>
      <c r="AE778" s="40" t="str">
        <f aca="false">IF($B778="","",IF(AND(OR(KARTU!$K$6="",$F778=KARTU!$K$6),OR(KARTU!$K$7="",$G778=KARTU!$K$7),OR(KARTU!$K$8="",$P778=KARTU!$K$8)),MAX($AE$3:AE777)+1,""))</f>
        <v/>
      </c>
    </row>
    <row r="779" customFormat="false" ht="15" hidden="false" customHeight="false" outlineLevel="0" collapsed="false">
      <c r="A779" s="35" t="str">
        <f aca="false">IF($B779="","",COUNTA($B$4:$B779))</f>
        <v/>
      </c>
      <c r="B779" s="36"/>
      <c r="C779" s="37"/>
      <c r="D779" s="37"/>
      <c r="E779" s="38"/>
      <c r="F779" s="36"/>
      <c r="G779" s="39"/>
      <c r="H779" s="39"/>
      <c r="I779" s="36"/>
      <c r="J779" s="36"/>
      <c r="K779" s="36"/>
      <c r="L779" s="36"/>
      <c r="M779" s="40" t="str">
        <f aca="false">IF($F779="","",$F779&amp;IF($G779="",""," - RT "&amp;$G779&amp;IF($H779="","","/"&amp;$H779)))</f>
        <v/>
      </c>
      <c r="N779" s="36"/>
      <c r="O779" s="37"/>
      <c r="P779" s="39"/>
      <c r="Q779" s="41"/>
      <c r="R779" s="35" t="str">
        <f aca="true">IF(OR($B779="",$Q779=""),"",DATEDIF($Q779,TODAY(),"Y"))</f>
        <v/>
      </c>
      <c r="S779" s="40" t="str">
        <f aca="false">IF($R779="","",INDEX(usia_label,MATCH($R779,usia_min,1)))</f>
        <v/>
      </c>
      <c r="T779" s="36"/>
      <c r="U779" s="41"/>
      <c r="V779" s="36"/>
      <c r="W779" s="36"/>
      <c r="X779" s="40" t="str">
        <f aca="false">IF($M779="","",$M779&amp;"#"&amp;COUNTIF($M$4:$M779,$M779))</f>
        <v/>
      </c>
      <c r="Y779" s="40" t="str">
        <f aca="false">IF($B779="","",IF($C779="","NIK kosong",IF(LEN($C779)&lt;&gt;16,"NIK bukan 16 digit",IF(COUNTIF($C$4:$C$2003,$C779&amp;"*")&gt;1,"NIK ganda",IF(AND($D779&lt;&gt;"",LEN($D779)&lt;&gt;16),"No. KK bukan 16 digit",IF(AND($F779="",$I779=""),"Alamat kosong",IF($N779="","Jabatan kosong",IF($O779="","No. HP kosong",IF(AND($R779&lt;&gt;"",$R779&lt;17),"Usia di bawah 17","")))))))))</f>
        <v/>
      </c>
      <c r="Z779" s="40" t="str">
        <f aca="false">IF($B779="","",IF(AND(OR(CARI!$C$5="",ISNUMBER(SEARCH(CARI!$C$5,$B779&amp;" "&amp;$C779&amp;" "&amp;$D779&amp;" "&amp;$O779&amp;" "&amp;$I779&amp;" "&amp;$F779&amp;" "&amp;$J779&amp;" "&amp;$K779&amp;" "&amp;$L779&amp;" "&amp;$V779))),OR(CARI!$C$6="",$F779=CARI!$C$6),OR(CARI!$C$7="",$G779=CARI!$C$7),OR(CARI!$C$8="",$T779=CARI!$C$8)),MAX($Z$3:Z778)+1,""))</f>
        <v/>
      </c>
      <c r="AA779" s="40" t="str">
        <f aca="false">IF($Y779="","",MAX($AA$3:AA778)+1)</f>
        <v/>
      </c>
      <c r="AB779" s="40" t="str">
        <f aca="false">IF($F779="","",$F779&amp;"#"&amp;COUNTIF($F$4:$F779,$F779))</f>
        <v/>
      </c>
      <c r="AC779" s="40" t="str">
        <f aca="false">IF($B779="","",IF(AND(OR(CETAK!$J$10="",$F779=CETAK!$J$10),OR(CETAK!$J$11="",$G779=CETAK!$J$11),OR(CETAK!$J$12="",$P779=CETAK!$J$12),OR(CETAK!$J$13="",$N779=CETAK!$J$13),OR(CETAK!$J$14="",$T779=CETAK!$J$14)),MAX($AC$3:AC778)+1,""))</f>
        <v/>
      </c>
      <c r="AD779" s="40" t="str">
        <f aca="false">IF($B779="","",IF(AND(OR(ABSENSI!$H$10="",$F779=ABSENSI!$H$10),OR(ABSENSI!$H$11="",$G779=ABSENSI!$H$11),OR(ABSENSI!$H$12="",$P779=ABSENSI!$H$12)),MAX($AD$3:AD778)+1,""))</f>
        <v/>
      </c>
      <c r="AE779" s="40" t="str">
        <f aca="false">IF($B779="","",IF(AND(OR(KARTU!$K$6="",$F779=KARTU!$K$6),OR(KARTU!$K$7="",$G779=KARTU!$K$7),OR(KARTU!$K$8="",$P779=KARTU!$K$8)),MAX($AE$3:AE778)+1,""))</f>
        <v/>
      </c>
    </row>
    <row r="780" customFormat="false" ht="15" hidden="false" customHeight="false" outlineLevel="0" collapsed="false">
      <c r="A780" s="35" t="str">
        <f aca="false">IF($B780="","",COUNTA($B$4:$B780))</f>
        <v/>
      </c>
      <c r="B780" s="36"/>
      <c r="C780" s="37"/>
      <c r="D780" s="37"/>
      <c r="E780" s="38"/>
      <c r="F780" s="36"/>
      <c r="G780" s="39"/>
      <c r="H780" s="39"/>
      <c r="I780" s="36"/>
      <c r="J780" s="36"/>
      <c r="K780" s="36"/>
      <c r="L780" s="36"/>
      <c r="M780" s="40" t="str">
        <f aca="false">IF($F780="","",$F780&amp;IF($G780="",""," - RT "&amp;$G780&amp;IF($H780="","","/"&amp;$H780)))</f>
        <v/>
      </c>
      <c r="N780" s="36"/>
      <c r="O780" s="37"/>
      <c r="P780" s="39"/>
      <c r="Q780" s="41"/>
      <c r="R780" s="35" t="str">
        <f aca="true">IF(OR($B780="",$Q780=""),"",DATEDIF($Q780,TODAY(),"Y"))</f>
        <v/>
      </c>
      <c r="S780" s="40" t="str">
        <f aca="false">IF($R780="","",INDEX(usia_label,MATCH($R780,usia_min,1)))</f>
        <v/>
      </c>
      <c r="T780" s="36"/>
      <c r="U780" s="41"/>
      <c r="V780" s="36"/>
      <c r="W780" s="36"/>
      <c r="X780" s="40" t="str">
        <f aca="false">IF($M780="","",$M780&amp;"#"&amp;COUNTIF($M$4:$M780,$M780))</f>
        <v/>
      </c>
      <c r="Y780" s="40" t="str">
        <f aca="false">IF($B780="","",IF($C780="","NIK kosong",IF(LEN($C780)&lt;&gt;16,"NIK bukan 16 digit",IF(COUNTIF($C$4:$C$2003,$C780&amp;"*")&gt;1,"NIK ganda",IF(AND($D780&lt;&gt;"",LEN($D780)&lt;&gt;16),"No. KK bukan 16 digit",IF(AND($F780="",$I780=""),"Alamat kosong",IF($N780="","Jabatan kosong",IF($O780="","No. HP kosong",IF(AND($R780&lt;&gt;"",$R780&lt;17),"Usia di bawah 17","")))))))))</f>
        <v/>
      </c>
      <c r="Z780" s="40" t="str">
        <f aca="false">IF($B780="","",IF(AND(OR(CARI!$C$5="",ISNUMBER(SEARCH(CARI!$C$5,$B780&amp;" "&amp;$C780&amp;" "&amp;$D780&amp;" "&amp;$O780&amp;" "&amp;$I780&amp;" "&amp;$F780&amp;" "&amp;$J780&amp;" "&amp;$K780&amp;" "&amp;$L780&amp;" "&amp;$V780))),OR(CARI!$C$6="",$F780=CARI!$C$6),OR(CARI!$C$7="",$G780=CARI!$C$7),OR(CARI!$C$8="",$T780=CARI!$C$8)),MAX($Z$3:Z779)+1,""))</f>
        <v/>
      </c>
      <c r="AA780" s="40" t="str">
        <f aca="false">IF($Y780="","",MAX($AA$3:AA779)+1)</f>
        <v/>
      </c>
      <c r="AB780" s="40" t="str">
        <f aca="false">IF($F780="","",$F780&amp;"#"&amp;COUNTIF($F$4:$F780,$F780))</f>
        <v/>
      </c>
      <c r="AC780" s="40" t="str">
        <f aca="false">IF($B780="","",IF(AND(OR(CETAK!$J$10="",$F780=CETAK!$J$10),OR(CETAK!$J$11="",$G780=CETAK!$J$11),OR(CETAK!$J$12="",$P780=CETAK!$J$12),OR(CETAK!$J$13="",$N780=CETAK!$J$13),OR(CETAK!$J$14="",$T780=CETAK!$J$14)),MAX($AC$3:AC779)+1,""))</f>
        <v/>
      </c>
      <c r="AD780" s="40" t="str">
        <f aca="false">IF($B780="","",IF(AND(OR(ABSENSI!$H$10="",$F780=ABSENSI!$H$10),OR(ABSENSI!$H$11="",$G780=ABSENSI!$H$11),OR(ABSENSI!$H$12="",$P780=ABSENSI!$H$12)),MAX($AD$3:AD779)+1,""))</f>
        <v/>
      </c>
      <c r="AE780" s="40" t="str">
        <f aca="false">IF($B780="","",IF(AND(OR(KARTU!$K$6="",$F780=KARTU!$K$6),OR(KARTU!$K$7="",$G780=KARTU!$K$7),OR(KARTU!$K$8="",$P780=KARTU!$K$8)),MAX($AE$3:AE779)+1,""))</f>
        <v/>
      </c>
    </row>
    <row r="781" customFormat="false" ht="15" hidden="false" customHeight="false" outlineLevel="0" collapsed="false">
      <c r="A781" s="35" t="str">
        <f aca="false">IF($B781="","",COUNTA($B$4:$B781))</f>
        <v/>
      </c>
      <c r="B781" s="36"/>
      <c r="C781" s="37"/>
      <c r="D781" s="37"/>
      <c r="E781" s="38"/>
      <c r="F781" s="36"/>
      <c r="G781" s="39"/>
      <c r="H781" s="39"/>
      <c r="I781" s="36"/>
      <c r="J781" s="36"/>
      <c r="K781" s="36"/>
      <c r="L781" s="36"/>
      <c r="M781" s="40" t="str">
        <f aca="false">IF($F781="","",$F781&amp;IF($G781="",""," - RT "&amp;$G781&amp;IF($H781="","","/"&amp;$H781)))</f>
        <v/>
      </c>
      <c r="N781" s="36"/>
      <c r="O781" s="37"/>
      <c r="P781" s="39"/>
      <c r="Q781" s="41"/>
      <c r="R781" s="35" t="str">
        <f aca="true">IF(OR($B781="",$Q781=""),"",DATEDIF($Q781,TODAY(),"Y"))</f>
        <v/>
      </c>
      <c r="S781" s="40" t="str">
        <f aca="false">IF($R781="","",INDEX(usia_label,MATCH($R781,usia_min,1)))</f>
        <v/>
      </c>
      <c r="T781" s="36"/>
      <c r="U781" s="41"/>
      <c r="V781" s="36"/>
      <c r="W781" s="36"/>
      <c r="X781" s="40" t="str">
        <f aca="false">IF($M781="","",$M781&amp;"#"&amp;COUNTIF($M$4:$M781,$M781))</f>
        <v/>
      </c>
      <c r="Y781" s="40" t="str">
        <f aca="false">IF($B781="","",IF($C781="","NIK kosong",IF(LEN($C781)&lt;&gt;16,"NIK bukan 16 digit",IF(COUNTIF($C$4:$C$2003,$C781&amp;"*")&gt;1,"NIK ganda",IF(AND($D781&lt;&gt;"",LEN($D781)&lt;&gt;16),"No. KK bukan 16 digit",IF(AND($F781="",$I781=""),"Alamat kosong",IF($N781="","Jabatan kosong",IF($O781="","No. HP kosong",IF(AND($R781&lt;&gt;"",$R781&lt;17),"Usia di bawah 17","")))))))))</f>
        <v/>
      </c>
      <c r="Z781" s="40" t="str">
        <f aca="false">IF($B781="","",IF(AND(OR(CARI!$C$5="",ISNUMBER(SEARCH(CARI!$C$5,$B781&amp;" "&amp;$C781&amp;" "&amp;$D781&amp;" "&amp;$O781&amp;" "&amp;$I781&amp;" "&amp;$F781&amp;" "&amp;$J781&amp;" "&amp;$K781&amp;" "&amp;$L781&amp;" "&amp;$V781))),OR(CARI!$C$6="",$F781=CARI!$C$6),OR(CARI!$C$7="",$G781=CARI!$C$7),OR(CARI!$C$8="",$T781=CARI!$C$8)),MAX($Z$3:Z780)+1,""))</f>
        <v/>
      </c>
      <c r="AA781" s="40" t="str">
        <f aca="false">IF($Y781="","",MAX($AA$3:AA780)+1)</f>
        <v/>
      </c>
      <c r="AB781" s="40" t="str">
        <f aca="false">IF($F781="","",$F781&amp;"#"&amp;COUNTIF($F$4:$F781,$F781))</f>
        <v/>
      </c>
      <c r="AC781" s="40" t="str">
        <f aca="false">IF($B781="","",IF(AND(OR(CETAK!$J$10="",$F781=CETAK!$J$10),OR(CETAK!$J$11="",$G781=CETAK!$J$11),OR(CETAK!$J$12="",$P781=CETAK!$J$12),OR(CETAK!$J$13="",$N781=CETAK!$J$13),OR(CETAK!$J$14="",$T781=CETAK!$J$14)),MAX($AC$3:AC780)+1,""))</f>
        <v/>
      </c>
      <c r="AD781" s="40" t="str">
        <f aca="false">IF($B781="","",IF(AND(OR(ABSENSI!$H$10="",$F781=ABSENSI!$H$10),OR(ABSENSI!$H$11="",$G781=ABSENSI!$H$11),OR(ABSENSI!$H$12="",$P781=ABSENSI!$H$12)),MAX($AD$3:AD780)+1,""))</f>
        <v/>
      </c>
      <c r="AE781" s="40" t="str">
        <f aca="false">IF($B781="","",IF(AND(OR(KARTU!$K$6="",$F781=KARTU!$K$6),OR(KARTU!$K$7="",$G781=KARTU!$K$7),OR(KARTU!$K$8="",$P781=KARTU!$K$8)),MAX($AE$3:AE780)+1,""))</f>
        <v/>
      </c>
    </row>
    <row r="782" customFormat="false" ht="15" hidden="false" customHeight="false" outlineLevel="0" collapsed="false">
      <c r="A782" s="35" t="str">
        <f aca="false">IF($B782="","",COUNTA($B$4:$B782))</f>
        <v/>
      </c>
      <c r="B782" s="36"/>
      <c r="C782" s="37"/>
      <c r="D782" s="37"/>
      <c r="E782" s="38"/>
      <c r="F782" s="36"/>
      <c r="G782" s="39"/>
      <c r="H782" s="39"/>
      <c r="I782" s="36"/>
      <c r="J782" s="36"/>
      <c r="K782" s="36"/>
      <c r="L782" s="36"/>
      <c r="M782" s="40" t="str">
        <f aca="false">IF($F782="","",$F782&amp;IF($G782="",""," - RT "&amp;$G782&amp;IF($H782="","","/"&amp;$H782)))</f>
        <v/>
      </c>
      <c r="N782" s="36"/>
      <c r="O782" s="37"/>
      <c r="P782" s="39"/>
      <c r="Q782" s="41"/>
      <c r="R782" s="35" t="str">
        <f aca="true">IF(OR($B782="",$Q782=""),"",DATEDIF($Q782,TODAY(),"Y"))</f>
        <v/>
      </c>
      <c r="S782" s="40" t="str">
        <f aca="false">IF($R782="","",INDEX(usia_label,MATCH($R782,usia_min,1)))</f>
        <v/>
      </c>
      <c r="T782" s="36"/>
      <c r="U782" s="41"/>
      <c r="V782" s="36"/>
      <c r="W782" s="36"/>
      <c r="X782" s="40" t="str">
        <f aca="false">IF($M782="","",$M782&amp;"#"&amp;COUNTIF($M$4:$M782,$M782))</f>
        <v/>
      </c>
      <c r="Y782" s="40" t="str">
        <f aca="false">IF($B782="","",IF($C782="","NIK kosong",IF(LEN($C782)&lt;&gt;16,"NIK bukan 16 digit",IF(COUNTIF($C$4:$C$2003,$C782&amp;"*")&gt;1,"NIK ganda",IF(AND($D782&lt;&gt;"",LEN($D782)&lt;&gt;16),"No. KK bukan 16 digit",IF(AND($F782="",$I782=""),"Alamat kosong",IF($N782="","Jabatan kosong",IF($O782="","No. HP kosong",IF(AND($R782&lt;&gt;"",$R782&lt;17),"Usia di bawah 17","")))))))))</f>
        <v/>
      </c>
      <c r="Z782" s="40" t="str">
        <f aca="false">IF($B782="","",IF(AND(OR(CARI!$C$5="",ISNUMBER(SEARCH(CARI!$C$5,$B782&amp;" "&amp;$C782&amp;" "&amp;$D782&amp;" "&amp;$O782&amp;" "&amp;$I782&amp;" "&amp;$F782&amp;" "&amp;$J782&amp;" "&amp;$K782&amp;" "&amp;$L782&amp;" "&amp;$V782))),OR(CARI!$C$6="",$F782=CARI!$C$6),OR(CARI!$C$7="",$G782=CARI!$C$7),OR(CARI!$C$8="",$T782=CARI!$C$8)),MAX($Z$3:Z781)+1,""))</f>
        <v/>
      </c>
      <c r="AA782" s="40" t="str">
        <f aca="false">IF($Y782="","",MAX($AA$3:AA781)+1)</f>
        <v/>
      </c>
      <c r="AB782" s="40" t="str">
        <f aca="false">IF($F782="","",$F782&amp;"#"&amp;COUNTIF($F$4:$F782,$F782))</f>
        <v/>
      </c>
      <c r="AC782" s="40" t="str">
        <f aca="false">IF($B782="","",IF(AND(OR(CETAK!$J$10="",$F782=CETAK!$J$10),OR(CETAK!$J$11="",$G782=CETAK!$J$11),OR(CETAK!$J$12="",$P782=CETAK!$J$12),OR(CETAK!$J$13="",$N782=CETAK!$J$13),OR(CETAK!$J$14="",$T782=CETAK!$J$14)),MAX($AC$3:AC781)+1,""))</f>
        <v/>
      </c>
      <c r="AD782" s="40" t="str">
        <f aca="false">IF($B782="","",IF(AND(OR(ABSENSI!$H$10="",$F782=ABSENSI!$H$10),OR(ABSENSI!$H$11="",$G782=ABSENSI!$H$11),OR(ABSENSI!$H$12="",$P782=ABSENSI!$H$12)),MAX($AD$3:AD781)+1,""))</f>
        <v/>
      </c>
      <c r="AE782" s="40" t="str">
        <f aca="false">IF($B782="","",IF(AND(OR(KARTU!$K$6="",$F782=KARTU!$K$6),OR(KARTU!$K$7="",$G782=KARTU!$K$7),OR(KARTU!$K$8="",$P782=KARTU!$K$8)),MAX($AE$3:AE781)+1,""))</f>
        <v/>
      </c>
    </row>
    <row r="783" customFormat="false" ht="15" hidden="false" customHeight="false" outlineLevel="0" collapsed="false">
      <c r="A783" s="35" t="str">
        <f aca="false">IF($B783="","",COUNTA($B$4:$B783))</f>
        <v/>
      </c>
      <c r="B783" s="36"/>
      <c r="C783" s="37"/>
      <c r="D783" s="37"/>
      <c r="E783" s="38"/>
      <c r="F783" s="36"/>
      <c r="G783" s="39"/>
      <c r="H783" s="39"/>
      <c r="I783" s="36"/>
      <c r="J783" s="36"/>
      <c r="K783" s="36"/>
      <c r="L783" s="36"/>
      <c r="M783" s="40" t="str">
        <f aca="false">IF($F783="","",$F783&amp;IF($G783="",""," - RT "&amp;$G783&amp;IF($H783="","","/"&amp;$H783)))</f>
        <v/>
      </c>
      <c r="N783" s="36"/>
      <c r="O783" s="37"/>
      <c r="P783" s="39"/>
      <c r="Q783" s="41"/>
      <c r="R783" s="35" t="str">
        <f aca="true">IF(OR($B783="",$Q783=""),"",DATEDIF($Q783,TODAY(),"Y"))</f>
        <v/>
      </c>
      <c r="S783" s="40" t="str">
        <f aca="false">IF($R783="","",INDEX(usia_label,MATCH($R783,usia_min,1)))</f>
        <v/>
      </c>
      <c r="T783" s="36"/>
      <c r="U783" s="41"/>
      <c r="V783" s="36"/>
      <c r="W783" s="36"/>
      <c r="X783" s="40" t="str">
        <f aca="false">IF($M783="","",$M783&amp;"#"&amp;COUNTIF($M$4:$M783,$M783))</f>
        <v/>
      </c>
      <c r="Y783" s="40" t="str">
        <f aca="false">IF($B783="","",IF($C783="","NIK kosong",IF(LEN($C783)&lt;&gt;16,"NIK bukan 16 digit",IF(COUNTIF($C$4:$C$2003,$C783&amp;"*")&gt;1,"NIK ganda",IF(AND($D783&lt;&gt;"",LEN($D783)&lt;&gt;16),"No. KK bukan 16 digit",IF(AND($F783="",$I783=""),"Alamat kosong",IF($N783="","Jabatan kosong",IF($O783="","No. HP kosong",IF(AND($R783&lt;&gt;"",$R783&lt;17),"Usia di bawah 17","")))))))))</f>
        <v/>
      </c>
      <c r="Z783" s="40" t="str">
        <f aca="false">IF($B783="","",IF(AND(OR(CARI!$C$5="",ISNUMBER(SEARCH(CARI!$C$5,$B783&amp;" "&amp;$C783&amp;" "&amp;$D783&amp;" "&amp;$O783&amp;" "&amp;$I783&amp;" "&amp;$F783&amp;" "&amp;$J783&amp;" "&amp;$K783&amp;" "&amp;$L783&amp;" "&amp;$V783))),OR(CARI!$C$6="",$F783=CARI!$C$6),OR(CARI!$C$7="",$G783=CARI!$C$7),OR(CARI!$C$8="",$T783=CARI!$C$8)),MAX($Z$3:Z782)+1,""))</f>
        <v/>
      </c>
      <c r="AA783" s="40" t="str">
        <f aca="false">IF($Y783="","",MAX($AA$3:AA782)+1)</f>
        <v/>
      </c>
      <c r="AB783" s="40" t="str">
        <f aca="false">IF($F783="","",$F783&amp;"#"&amp;COUNTIF($F$4:$F783,$F783))</f>
        <v/>
      </c>
      <c r="AC783" s="40" t="str">
        <f aca="false">IF($B783="","",IF(AND(OR(CETAK!$J$10="",$F783=CETAK!$J$10),OR(CETAK!$J$11="",$G783=CETAK!$J$11),OR(CETAK!$J$12="",$P783=CETAK!$J$12),OR(CETAK!$J$13="",$N783=CETAK!$J$13),OR(CETAK!$J$14="",$T783=CETAK!$J$14)),MAX($AC$3:AC782)+1,""))</f>
        <v/>
      </c>
      <c r="AD783" s="40" t="str">
        <f aca="false">IF($B783="","",IF(AND(OR(ABSENSI!$H$10="",$F783=ABSENSI!$H$10),OR(ABSENSI!$H$11="",$G783=ABSENSI!$H$11),OR(ABSENSI!$H$12="",$P783=ABSENSI!$H$12)),MAX($AD$3:AD782)+1,""))</f>
        <v/>
      </c>
      <c r="AE783" s="40" t="str">
        <f aca="false">IF($B783="","",IF(AND(OR(KARTU!$K$6="",$F783=KARTU!$K$6),OR(KARTU!$K$7="",$G783=KARTU!$K$7),OR(KARTU!$K$8="",$P783=KARTU!$K$8)),MAX($AE$3:AE782)+1,""))</f>
        <v/>
      </c>
    </row>
    <row r="784" customFormat="false" ht="15" hidden="false" customHeight="false" outlineLevel="0" collapsed="false">
      <c r="A784" s="35" t="str">
        <f aca="false">IF($B784="","",COUNTA($B$4:$B784))</f>
        <v/>
      </c>
      <c r="B784" s="36"/>
      <c r="C784" s="37"/>
      <c r="D784" s="37"/>
      <c r="E784" s="38"/>
      <c r="F784" s="36"/>
      <c r="G784" s="39"/>
      <c r="H784" s="39"/>
      <c r="I784" s="36"/>
      <c r="J784" s="36"/>
      <c r="K784" s="36"/>
      <c r="L784" s="36"/>
      <c r="M784" s="40" t="str">
        <f aca="false">IF($F784="","",$F784&amp;IF($G784="",""," - RT "&amp;$G784&amp;IF($H784="","","/"&amp;$H784)))</f>
        <v/>
      </c>
      <c r="N784" s="36"/>
      <c r="O784" s="37"/>
      <c r="P784" s="39"/>
      <c r="Q784" s="41"/>
      <c r="R784" s="35" t="str">
        <f aca="true">IF(OR($B784="",$Q784=""),"",DATEDIF($Q784,TODAY(),"Y"))</f>
        <v/>
      </c>
      <c r="S784" s="40" t="str">
        <f aca="false">IF($R784="","",INDEX(usia_label,MATCH($R784,usia_min,1)))</f>
        <v/>
      </c>
      <c r="T784" s="36"/>
      <c r="U784" s="41"/>
      <c r="V784" s="36"/>
      <c r="W784" s="36"/>
      <c r="X784" s="40" t="str">
        <f aca="false">IF($M784="","",$M784&amp;"#"&amp;COUNTIF($M$4:$M784,$M784))</f>
        <v/>
      </c>
      <c r="Y784" s="40" t="str">
        <f aca="false">IF($B784="","",IF($C784="","NIK kosong",IF(LEN($C784)&lt;&gt;16,"NIK bukan 16 digit",IF(COUNTIF($C$4:$C$2003,$C784&amp;"*")&gt;1,"NIK ganda",IF(AND($D784&lt;&gt;"",LEN($D784)&lt;&gt;16),"No. KK bukan 16 digit",IF(AND($F784="",$I784=""),"Alamat kosong",IF($N784="","Jabatan kosong",IF($O784="","No. HP kosong",IF(AND($R784&lt;&gt;"",$R784&lt;17),"Usia di bawah 17","")))))))))</f>
        <v/>
      </c>
      <c r="Z784" s="40" t="str">
        <f aca="false">IF($B784="","",IF(AND(OR(CARI!$C$5="",ISNUMBER(SEARCH(CARI!$C$5,$B784&amp;" "&amp;$C784&amp;" "&amp;$D784&amp;" "&amp;$O784&amp;" "&amp;$I784&amp;" "&amp;$F784&amp;" "&amp;$J784&amp;" "&amp;$K784&amp;" "&amp;$L784&amp;" "&amp;$V784))),OR(CARI!$C$6="",$F784=CARI!$C$6),OR(CARI!$C$7="",$G784=CARI!$C$7),OR(CARI!$C$8="",$T784=CARI!$C$8)),MAX($Z$3:Z783)+1,""))</f>
        <v/>
      </c>
      <c r="AA784" s="40" t="str">
        <f aca="false">IF($Y784="","",MAX($AA$3:AA783)+1)</f>
        <v/>
      </c>
      <c r="AB784" s="40" t="str">
        <f aca="false">IF($F784="","",$F784&amp;"#"&amp;COUNTIF($F$4:$F784,$F784))</f>
        <v/>
      </c>
      <c r="AC784" s="40" t="str">
        <f aca="false">IF($B784="","",IF(AND(OR(CETAK!$J$10="",$F784=CETAK!$J$10),OR(CETAK!$J$11="",$G784=CETAK!$J$11),OR(CETAK!$J$12="",$P784=CETAK!$J$12),OR(CETAK!$J$13="",$N784=CETAK!$J$13),OR(CETAK!$J$14="",$T784=CETAK!$J$14)),MAX($AC$3:AC783)+1,""))</f>
        <v/>
      </c>
      <c r="AD784" s="40" t="str">
        <f aca="false">IF($B784="","",IF(AND(OR(ABSENSI!$H$10="",$F784=ABSENSI!$H$10),OR(ABSENSI!$H$11="",$G784=ABSENSI!$H$11),OR(ABSENSI!$H$12="",$P784=ABSENSI!$H$12)),MAX($AD$3:AD783)+1,""))</f>
        <v/>
      </c>
      <c r="AE784" s="40" t="str">
        <f aca="false">IF($B784="","",IF(AND(OR(KARTU!$K$6="",$F784=KARTU!$K$6),OR(KARTU!$K$7="",$G784=KARTU!$K$7),OR(KARTU!$K$8="",$P784=KARTU!$K$8)),MAX($AE$3:AE783)+1,""))</f>
        <v/>
      </c>
    </row>
    <row r="785" customFormat="false" ht="15" hidden="false" customHeight="false" outlineLevel="0" collapsed="false">
      <c r="A785" s="35" t="str">
        <f aca="false">IF($B785="","",COUNTA($B$4:$B785))</f>
        <v/>
      </c>
      <c r="B785" s="36"/>
      <c r="C785" s="37"/>
      <c r="D785" s="37"/>
      <c r="E785" s="38"/>
      <c r="F785" s="36"/>
      <c r="G785" s="39"/>
      <c r="H785" s="39"/>
      <c r="I785" s="36"/>
      <c r="J785" s="36"/>
      <c r="K785" s="36"/>
      <c r="L785" s="36"/>
      <c r="M785" s="40" t="str">
        <f aca="false">IF($F785="","",$F785&amp;IF($G785="",""," - RT "&amp;$G785&amp;IF($H785="","","/"&amp;$H785)))</f>
        <v/>
      </c>
      <c r="N785" s="36"/>
      <c r="O785" s="37"/>
      <c r="P785" s="39"/>
      <c r="Q785" s="41"/>
      <c r="R785" s="35" t="str">
        <f aca="true">IF(OR($B785="",$Q785=""),"",DATEDIF($Q785,TODAY(),"Y"))</f>
        <v/>
      </c>
      <c r="S785" s="40" t="str">
        <f aca="false">IF($R785="","",INDEX(usia_label,MATCH($R785,usia_min,1)))</f>
        <v/>
      </c>
      <c r="T785" s="36"/>
      <c r="U785" s="41"/>
      <c r="V785" s="36"/>
      <c r="W785" s="36"/>
      <c r="X785" s="40" t="str">
        <f aca="false">IF($M785="","",$M785&amp;"#"&amp;COUNTIF($M$4:$M785,$M785))</f>
        <v/>
      </c>
      <c r="Y785" s="40" t="str">
        <f aca="false">IF($B785="","",IF($C785="","NIK kosong",IF(LEN($C785)&lt;&gt;16,"NIK bukan 16 digit",IF(COUNTIF($C$4:$C$2003,$C785&amp;"*")&gt;1,"NIK ganda",IF(AND($D785&lt;&gt;"",LEN($D785)&lt;&gt;16),"No. KK bukan 16 digit",IF(AND($F785="",$I785=""),"Alamat kosong",IF($N785="","Jabatan kosong",IF($O785="","No. HP kosong",IF(AND($R785&lt;&gt;"",$R785&lt;17),"Usia di bawah 17","")))))))))</f>
        <v/>
      </c>
      <c r="Z785" s="40" t="str">
        <f aca="false">IF($B785="","",IF(AND(OR(CARI!$C$5="",ISNUMBER(SEARCH(CARI!$C$5,$B785&amp;" "&amp;$C785&amp;" "&amp;$D785&amp;" "&amp;$O785&amp;" "&amp;$I785&amp;" "&amp;$F785&amp;" "&amp;$J785&amp;" "&amp;$K785&amp;" "&amp;$L785&amp;" "&amp;$V785))),OR(CARI!$C$6="",$F785=CARI!$C$6),OR(CARI!$C$7="",$G785=CARI!$C$7),OR(CARI!$C$8="",$T785=CARI!$C$8)),MAX($Z$3:Z784)+1,""))</f>
        <v/>
      </c>
      <c r="AA785" s="40" t="str">
        <f aca="false">IF($Y785="","",MAX($AA$3:AA784)+1)</f>
        <v/>
      </c>
      <c r="AB785" s="40" t="str">
        <f aca="false">IF($F785="","",$F785&amp;"#"&amp;COUNTIF($F$4:$F785,$F785))</f>
        <v/>
      </c>
      <c r="AC785" s="40" t="str">
        <f aca="false">IF($B785="","",IF(AND(OR(CETAK!$J$10="",$F785=CETAK!$J$10),OR(CETAK!$J$11="",$G785=CETAK!$J$11),OR(CETAK!$J$12="",$P785=CETAK!$J$12),OR(CETAK!$J$13="",$N785=CETAK!$J$13),OR(CETAK!$J$14="",$T785=CETAK!$J$14)),MAX($AC$3:AC784)+1,""))</f>
        <v/>
      </c>
      <c r="AD785" s="40" t="str">
        <f aca="false">IF($B785="","",IF(AND(OR(ABSENSI!$H$10="",$F785=ABSENSI!$H$10),OR(ABSENSI!$H$11="",$G785=ABSENSI!$H$11),OR(ABSENSI!$H$12="",$P785=ABSENSI!$H$12)),MAX($AD$3:AD784)+1,""))</f>
        <v/>
      </c>
      <c r="AE785" s="40" t="str">
        <f aca="false">IF($B785="","",IF(AND(OR(KARTU!$K$6="",$F785=KARTU!$K$6),OR(KARTU!$K$7="",$G785=KARTU!$K$7),OR(KARTU!$K$8="",$P785=KARTU!$K$8)),MAX($AE$3:AE784)+1,""))</f>
        <v/>
      </c>
    </row>
    <row r="786" customFormat="false" ht="15" hidden="false" customHeight="false" outlineLevel="0" collapsed="false">
      <c r="A786" s="35" t="str">
        <f aca="false">IF($B786="","",COUNTA($B$4:$B786))</f>
        <v/>
      </c>
      <c r="B786" s="36"/>
      <c r="C786" s="37"/>
      <c r="D786" s="37"/>
      <c r="E786" s="38"/>
      <c r="F786" s="36"/>
      <c r="G786" s="39"/>
      <c r="H786" s="39"/>
      <c r="I786" s="36"/>
      <c r="J786" s="36"/>
      <c r="K786" s="36"/>
      <c r="L786" s="36"/>
      <c r="M786" s="40" t="str">
        <f aca="false">IF($F786="","",$F786&amp;IF($G786="",""," - RT "&amp;$G786&amp;IF($H786="","","/"&amp;$H786)))</f>
        <v/>
      </c>
      <c r="N786" s="36"/>
      <c r="O786" s="37"/>
      <c r="P786" s="39"/>
      <c r="Q786" s="41"/>
      <c r="R786" s="35" t="str">
        <f aca="true">IF(OR($B786="",$Q786=""),"",DATEDIF($Q786,TODAY(),"Y"))</f>
        <v/>
      </c>
      <c r="S786" s="40" t="str">
        <f aca="false">IF($R786="","",INDEX(usia_label,MATCH($R786,usia_min,1)))</f>
        <v/>
      </c>
      <c r="T786" s="36"/>
      <c r="U786" s="41"/>
      <c r="V786" s="36"/>
      <c r="W786" s="36"/>
      <c r="X786" s="40" t="str">
        <f aca="false">IF($M786="","",$M786&amp;"#"&amp;COUNTIF($M$4:$M786,$M786))</f>
        <v/>
      </c>
      <c r="Y786" s="40" t="str">
        <f aca="false">IF($B786="","",IF($C786="","NIK kosong",IF(LEN($C786)&lt;&gt;16,"NIK bukan 16 digit",IF(COUNTIF($C$4:$C$2003,$C786&amp;"*")&gt;1,"NIK ganda",IF(AND($D786&lt;&gt;"",LEN($D786)&lt;&gt;16),"No. KK bukan 16 digit",IF(AND($F786="",$I786=""),"Alamat kosong",IF($N786="","Jabatan kosong",IF($O786="","No. HP kosong",IF(AND($R786&lt;&gt;"",$R786&lt;17),"Usia di bawah 17","")))))))))</f>
        <v/>
      </c>
      <c r="Z786" s="40" t="str">
        <f aca="false">IF($B786="","",IF(AND(OR(CARI!$C$5="",ISNUMBER(SEARCH(CARI!$C$5,$B786&amp;" "&amp;$C786&amp;" "&amp;$D786&amp;" "&amp;$O786&amp;" "&amp;$I786&amp;" "&amp;$F786&amp;" "&amp;$J786&amp;" "&amp;$K786&amp;" "&amp;$L786&amp;" "&amp;$V786))),OR(CARI!$C$6="",$F786=CARI!$C$6),OR(CARI!$C$7="",$G786=CARI!$C$7),OR(CARI!$C$8="",$T786=CARI!$C$8)),MAX($Z$3:Z785)+1,""))</f>
        <v/>
      </c>
      <c r="AA786" s="40" t="str">
        <f aca="false">IF($Y786="","",MAX($AA$3:AA785)+1)</f>
        <v/>
      </c>
      <c r="AB786" s="40" t="str">
        <f aca="false">IF($F786="","",$F786&amp;"#"&amp;COUNTIF($F$4:$F786,$F786))</f>
        <v/>
      </c>
      <c r="AC786" s="40" t="str">
        <f aca="false">IF($B786="","",IF(AND(OR(CETAK!$J$10="",$F786=CETAK!$J$10),OR(CETAK!$J$11="",$G786=CETAK!$J$11),OR(CETAK!$J$12="",$P786=CETAK!$J$12),OR(CETAK!$J$13="",$N786=CETAK!$J$13),OR(CETAK!$J$14="",$T786=CETAK!$J$14)),MAX($AC$3:AC785)+1,""))</f>
        <v/>
      </c>
      <c r="AD786" s="40" t="str">
        <f aca="false">IF($B786="","",IF(AND(OR(ABSENSI!$H$10="",$F786=ABSENSI!$H$10),OR(ABSENSI!$H$11="",$G786=ABSENSI!$H$11),OR(ABSENSI!$H$12="",$P786=ABSENSI!$H$12)),MAX($AD$3:AD785)+1,""))</f>
        <v/>
      </c>
      <c r="AE786" s="40" t="str">
        <f aca="false">IF($B786="","",IF(AND(OR(KARTU!$K$6="",$F786=KARTU!$K$6),OR(KARTU!$K$7="",$G786=KARTU!$K$7),OR(KARTU!$K$8="",$P786=KARTU!$K$8)),MAX($AE$3:AE785)+1,""))</f>
        <v/>
      </c>
    </row>
    <row r="787" customFormat="false" ht="15" hidden="false" customHeight="false" outlineLevel="0" collapsed="false">
      <c r="A787" s="35" t="str">
        <f aca="false">IF($B787="","",COUNTA($B$4:$B787))</f>
        <v/>
      </c>
      <c r="B787" s="36"/>
      <c r="C787" s="37"/>
      <c r="D787" s="37"/>
      <c r="E787" s="38"/>
      <c r="F787" s="36"/>
      <c r="G787" s="39"/>
      <c r="H787" s="39"/>
      <c r="I787" s="36"/>
      <c r="J787" s="36"/>
      <c r="K787" s="36"/>
      <c r="L787" s="36"/>
      <c r="M787" s="40" t="str">
        <f aca="false">IF($F787="","",$F787&amp;IF($G787="",""," - RT "&amp;$G787&amp;IF($H787="","","/"&amp;$H787)))</f>
        <v/>
      </c>
      <c r="N787" s="36"/>
      <c r="O787" s="37"/>
      <c r="P787" s="39"/>
      <c r="Q787" s="41"/>
      <c r="R787" s="35" t="str">
        <f aca="true">IF(OR($B787="",$Q787=""),"",DATEDIF($Q787,TODAY(),"Y"))</f>
        <v/>
      </c>
      <c r="S787" s="40" t="str">
        <f aca="false">IF($R787="","",INDEX(usia_label,MATCH($R787,usia_min,1)))</f>
        <v/>
      </c>
      <c r="T787" s="36"/>
      <c r="U787" s="41"/>
      <c r="V787" s="36"/>
      <c r="W787" s="36"/>
      <c r="X787" s="40" t="str">
        <f aca="false">IF($M787="","",$M787&amp;"#"&amp;COUNTIF($M$4:$M787,$M787))</f>
        <v/>
      </c>
      <c r="Y787" s="40" t="str">
        <f aca="false">IF($B787="","",IF($C787="","NIK kosong",IF(LEN($C787)&lt;&gt;16,"NIK bukan 16 digit",IF(COUNTIF($C$4:$C$2003,$C787&amp;"*")&gt;1,"NIK ganda",IF(AND($D787&lt;&gt;"",LEN($D787)&lt;&gt;16),"No. KK bukan 16 digit",IF(AND($F787="",$I787=""),"Alamat kosong",IF($N787="","Jabatan kosong",IF($O787="","No. HP kosong",IF(AND($R787&lt;&gt;"",$R787&lt;17),"Usia di bawah 17","")))))))))</f>
        <v/>
      </c>
      <c r="Z787" s="40" t="str">
        <f aca="false">IF($B787="","",IF(AND(OR(CARI!$C$5="",ISNUMBER(SEARCH(CARI!$C$5,$B787&amp;" "&amp;$C787&amp;" "&amp;$D787&amp;" "&amp;$O787&amp;" "&amp;$I787&amp;" "&amp;$F787&amp;" "&amp;$J787&amp;" "&amp;$K787&amp;" "&amp;$L787&amp;" "&amp;$V787))),OR(CARI!$C$6="",$F787=CARI!$C$6),OR(CARI!$C$7="",$G787=CARI!$C$7),OR(CARI!$C$8="",$T787=CARI!$C$8)),MAX($Z$3:Z786)+1,""))</f>
        <v/>
      </c>
      <c r="AA787" s="40" t="str">
        <f aca="false">IF($Y787="","",MAX($AA$3:AA786)+1)</f>
        <v/>
      </c>
      <c r="AB787" s="40" t="str">
        <f aca="false">IF($F787="","",$F787&amp;"#"&amp;COUNTIF($F$4:$F787,$F787))</f>
        <v/>
      </c>
      <c r="AC787" s="40" t="str">
        <f aca="false">IF($B787="","",IF(AND(OR(CETAK!$J$10="",$F787=CETAK!$J$10),OR(CETAK!$J$11="",$G787=CETAK!$J$11),OR(CETAK!$J$12="",$P787=CETAK!$J$12),OR(CETAK!$J$13="",$N787=CETAK!$J$13),OR(CETAK!$J$14="",$T787=CETAK!$J$14)),MAX($AC$3:AC786)+1,""))</f>
        <v/>
      </c>
      <c r="AD787" s="40" t="str">
        <f aca="false">IF($B787="","",IF(AND(OR(ABSENSI!$H$10="",$F787=ABSENSI!$H$10),OR(ABSENSI!$H$11="",$G787=ABSENSI!$H$11),OR(ABSENSI!$H$12="",$P787=ABSENSI!$H$12)),MAX($AD$3:AD786)+1,""))</f>
        <v/>
      </c>
      <c r="AE787" s="40" t="str">
        <f aca="false">IF($B787="","",IF(AND(OR(KARTU!$K$6="",$F787=KARTU!$K$6),OR(KARTU!$K$7="",$G787=KARTU!$K$7),OR(KARTU!$K$8="",$P787=KARTU!$K$8)),MAX($AE$3:AE786)+1,""))</f>
        <v/>
      </c>
    </row>
    <row r="788" customFormat="false" ht="15" hidden="false" customHeight="false" outlineLevel="0" collapsed="false">
      <c r="A788" s="35" t="str">
        <f aca="false">IF($B788="","",COUNTA($B$4:$B788))</f>
        <v/>
      </c>
      <c r="B788" s="36"/>
      <c r="C788" s="37"/>
      <c r="D788" s="37"/>
      <c r="E788" s="38"/>
      <c r="F788" s="36"/>
      <c r="G788" s="39"/>
      <c r="H788" s="39"/>
      <c r="I788" s="36"/>
      <c r="J788" s="36"/>
      <c r="K788" s="36"/>
      <c r="L788" s="36"/>
      <c r="M788" s="40" t="str">
        <f aca="false">IF($F788="","",$F788&amp;IF($G788="",""," - RT "&amp;$G788&amp;IF($H788="","","/"&amp;$H788)))</f>
        <v/>
      </c>
      <c r="N788" s="36"/>
      <c r="O788" s="37"/>
      <c r="P788" s="39"/>
      <c r="Q788" s="41"/>
      <c r="R788" s="35" t="str">
        <f aca="true">IF(OR($B788="",$Q788=""),"",DATEDIF($Q788,TODAY(),"Y"))</f>
        <v/>
      </c>
      <c r="S788" s="40" t="str">
        <f aca="false">IF($R788="","",INDEX(usia_label,MATCH($R788,usia_min,1)))</f>
        <v/>
      </c>
      <c r="T788" s="36"/>
      <c r="U788" s="41"/>
      <c r="V788" s="36"/>
      <c r="W788" s="36"/>
      <c r="X788" s="40" t="str">
        <f aca="false">IF($M788="","",$M788&amp;"#"&amp;COUNTIF($M$4:$M788,$M788))</f>
        <v/>
      </c>
      <c r="Y788" s="40" t="str">
        <f aca="false">IF($B788="","",IF($C788="","NIK kosong",IF(LEN($C788)&lt;&gt;16,"NIK bukan 16 digit",IF(COUNTIF($C$4:$C$2003,$C788&amp;"*")&gt;1,"NIK ganda",IF(AND($D788&lt;&gt;"",LEN($D788)&lt;&gt;16),"No. KK bukan 16 digit",IF(AND($F788="",$I788=""),"Alamat kosong",IF($N788="","Jabatan kosong",IF($O788="","No. HP kosong",IF(AND($R788&lt;&gt;"",$R788&lt;17),"Usia di bawah 17","")))))))))</f>
        <v/>
      </c>
      <c r="Z788" s="40" t="str">
        <f aca="false">IF($B788="","",IF(AND(OR(CARI!$C$5="",ISNUMBER(SEARCH(CARI!$C$5,$B788&amp;" "&amp;$C788&amp;" "&amp;$D788&amp;" "&amp;$O788&amp;" "&amp;$I788&amp;" "&amp;$F788&amp;" "&amp;$J788&amp;" "&amp;$K788&amp;" "&amp;$L788&amp;" "&amp;$V788))),OR(CARI!$C$6="",$F788=CARI!$C$6),OR(CARI!$C$7="",$G788=CARI!$C$7),OR(CARI!$C$8="",$T788=CARI!$C$8)),MAX($Z$3:Z787)+1,""))</f>
        <v/>
      </c>
      <c r="AA788" s="40" t="str">
        <f aca="false">IF($Y788="","",MAX($AA$3:AA787)+1)</f>
        <v/>
      </c>
      <c r="AB788" s="40" t="str">
        <f aca="false">IF($F788="","",$F788&amp;"#"&amp;COUNTIF($F$4:$F788,$F788))</f>
        <v/>
      </c>
      <c r="AC788" s="40" t="str">
        <f aca="false">IF($B788="","",IF(AND(OR(CETAK!$J$10="",$F788=CETAK!$J$10),OR(CETAK!$J$11="",$G788=CETAK!$J$11),OR(CETAK!$J$12="",$P788=CETAK!$J$12),OR(CETAK!$J$13="",$N788=CETAK!$J$13),OR(CETAK!$J$14="",$T788=CETAK!$J$14)),MAX($AC$3:AC787)+1,""))</f>
        <v/>
      </c>
      <c r="AD788" s="40" t="str">
        <f aca="false">IF($B788="","",IF(AND(OR(ABSENSI!$H$10="",$F788=ABSENSI!$H$10),OR(ABSENSI!$H$11="",$G788=ABSENSI!$H$11),OR(ABSENSI!$H$12="",$P788=ABSENSI!$H$12)),MAX($AD$3:AD787)+1,""))</f>
        <v/>
      </c>
      <c r="AE788" s="40" t="str">
        <f aca="false">IF($B788="","",IF(AND(OR(KARTU!$K$6="",$F788=KARTU!$K$6),OR(KARTU!$K$7="",$G788=KARTU!$K$7),OR(KARTU!$K$8="",$P788=KARTU!$K$8)),MAX($AE$3:AE787)+1,""))</f>
        <v/>
      </c>
    </row>
    <row r="789" customFormat="false" ht="15" hidden="false" customHeight="false" outlineLevel="0" collapsed="false">
      <c r="A789" s="35" t="str">
        <f aca="false">IF($B789="","",COUNTA($B$4:$B789))</f>
        <v/>
      </c>
      <c r="B789" s="36"/>
      <c r="C789" s="37"/>
      <c r="D789" s="37"/>
      <c r="E789" s="38"/>
      <c r="F789" s="36"/>
      <c r="G789" s="39"/>
      <c r="H789" s="39"/>
      <c r="I789" s="36"/>
      <c r="J789" s="36"/>
      <c r="K789" s="36"/>
      <c r="L789" s="36"/>
      <c r="M789" s="40" t="str">
        <f aca="false">IF($F789="","",$F789&amp;IF($G789="",""," - RT "&amp;$G789&amp;IF($H789="","","/"&amp;$H789)))</f>
        <v/>
      </c>
      <c r="N789" s="36"/>
      <c r="O789" s="37"/>
      <c r="P789" s="39"/>
      <c r="Q789" s="41"/>
      <c r="R789" s="35" t="str">
        <f aca="true">IF(OR($B789="",$Q789=""),"",DATEDIF($Q789,TODAY(),"Y"))</f>
        <v/>
      </c>
      <c r="S789" s="40" t="str">
        <f aca="false">IF($R789="","",INDEX(usia_label,MATCH($R789,usia_min,1)))</f>
        <v/>
      </c>
      <c r="T789" s="36"/>
      <c r="U789" s="41"/>
      <c r="V789" s="36"/>
      <c r="W789" s="36"/>
      <c r="X789" s="40" t="str">
        <f aca="false">IF($M789="","",$M789&amp;"#"&amp;COUNTIF($M$4:$M789,$M789))</f>
        <v/>
      </c>
      <c r="Y789" s="40" t="str">
        <f aca="false">IF($B789="","",IF($C789="","NIK kosong",IF(LEN($C789)&lt;&gt;16,"NIK bukan 16 digit",IF(COUNTIF($C$4:$C$2003,$C789&amp;"*")&gt;1,"NIK ganda",IF(AND($D789&lt;&gt;"",LEN($D789)&lt;&gt;16),"No. KK bukan 16 digit",IF(AND($F789="",$I789=""),"Alamat kosong",IF($N789="","Jabatan kosong",IF($O789="","No. HP kosong",IF(AND($R789&lt;&gt;"",$R789&lt;17),"Usia di bawah 17","")))))))))</f>
        <v/>
      </c>
      <c r="Z789" s="40" t="str">
        <f aca="false">IF($B789="","",IF(AND(OR(CARI!$C$5="",ISNUMBER(SEARCH(CARI!$C$5,$B789&amp;" "&amp;$C789&amp;" "&amp;$D789&amp;" "&amp;$O789&amp;" "&amp;$I789&amp;" "&amp;$F789&amp;" "&amp;$J789&amp;" "&amp;$K789&amp;" "&amp;$L789&amp;" "&amp;$V789))),OR(CARI!$C$6="",$F789=CARI!$C$6),OR(CARI!$C$7="",$G789=CARI!$C$7),OR(CARI!$C$8="",$T789=CARI!$C$8)),MAX($Z$3:Z788)+1,""))</f>
        <v/>
      </c>
      <c r="AA789" s="40" t="str">
        <f aca="false">IF($Y789="","",MAX($AA$3:AA788)+1)</f>
        <v/>
      </c>
      <c r="AB789" s="40" t="str">
        <f aca="false">IF($F789="","",$F789&amp;"#"&amp;COUNTIF($F$4:$F789,$F789))</f>
        <v/>
      </c>
      <c r="AC789" s="40" t="str">
        <f aca="false">IF($B789="","",IF(AND(OR(CETAK!$J$10="",$F789=CETAK!$J$10),OR(CETAK!$J$11="",$G789=CETAK!$J$11),OR(CETAK!$J$12="",$P789=CETAK!$J$12),OR(CETAK!$J$13="",$N789=CETAK!$J$13),OR(CETAK!$J$14="",$T789=CETAK!$J$14)),MAX($AC$3:AC788)+1,""))</f>
        <v/>
      </c>
      <c r="AD789" s="40" t="str">
        <f aca="false">IF($B789="","",IF(AND(OR(ABSENSI!$H$10="",$F789=ABSENSI!$H$10),OR(ABSENSI!$H$11="",$G789=ABSENSI!$H$11),OR(ABSENSI!$H$12="",$P789=ABSENSI!$H$12)),MAX($AD$3:AD788)+1,""))</f>
        <v/>
      </c>
      <c r="AE789" s="40" t="str">
        <f aca="false">IF($B789="","",IF(AND(OR(KARTU!$K$6="",$F789=KARTU!$K$6),OR(KARTU!$K$7="",$G789=KARTU!$K$7),OR(KARTU!$K$8="",$P789=KARTU!$K$8)),MAX($AE$3:AE788)+1,""))</f>
        <v/>
      </c>
    </row>
    <row r="790" customFormat="false" ht="15" hidden="false" customHeight="false" outlineLevel="0" collapsed="false">
      <c r="A790" s="35" t="str">
        <f aca="false">IF($B790="","",COUNTA($B$4:$B790))</f>
        <v/>
      </c>
      <c r="B790" s="36"/>
      <c r="C790" s="37"/>
      <c r="D790" s="37"/>
      <c r="E790" s="38"/>
      <c r="F790" s="36"/>
      <c r="G790" s="39"/>
      <c r="H790" s="39"/>
      <c r="I790" s="36"/>
      <c r="J790" s="36"/>
      <c r="K790" s="36"/>
      <c r="L790" s="36"/>
      <c r="M790" s="40" t="str">
        <f aca="false">IF($F790="","",$F790&amp;IF($G790="",""," - RT "&amp;$G790&amp;IF($H790="","","/"&amp;$H790)))</f>
        <v/>
      </c>
      <c r="N790" s="36"/>
      <c r="O790" s="37"/>
      <c r="P790" s="39"/>
      <c r="Q790" s="41"/>
      <c r="R790" s="35" t="str">
        <f aca="true">IF(OR($B790="",$Q790=""),"",DATEDIF($Q790,TODAY(),"Y"))</f>
        <v/>
      </c>
      <c r="S790" s="40" t="str">
        <f aca="false">IF($R790="","",INDEX(usia_label,MATCH($R790,usia_min,1)))</f>
        <v/>
      </c>
      <c r="T790" s="36"/>
      <c r="U790" s="41"/>
      <c r="V790" s="36"/>
      <c r="W790" s="36"/>
      <c r="X790" s="40" t="str">
        <f aca="false">IF($M790="","",$M790&amp;"#"&amp;COUNTIF($M$4:$M790,$M790))</f>
        <v/>
      </c>
      <c r="Y790" s="40" t="str">
        <f aca="false">IF($B790="","",IF($C790="","NIK kosong",IF(LEN($C790)&lt;&gt;16,"NIK bukan 16 digit",IF(COUNTIF($C$4:$C$2003,$C790&amp;"*")&gt;1,"NIK ganda",IF(AND($D790&lt;&gt;"",LEN($D790)&lt;&gt;16),"No. KK bukan 16 digit",IF(AND($F790="",$I790=""),"Alamat kosong",IF($N790="","Jabatan kosong",IF($O790="","No. HP kosong",IF(AND($R790&lt;&gt;"",$R790&lt;17),"Usia di bawah 17","")))))))))</f>
        <v/>
      </c>
      <c r="Z790" s="40" t="str">
        <f aca="false">IF($B790="","",IF(AND(OR(CARI!$C$5="",ISNUMBER(SEARCH(CARI!$C$5,$B790&amp;" "&amp;$C790&amp;" "&amp;$D790&amp;" "&amp;$O790&amp;" "&amp;$I790&amp;" "&amp;$F790&amp;" "&amp;$J790&amp;" "&amp;$K790&amp;" "&amp;$L790&amp;" "&amp;$V790))),OR(CARI!$C$6="",$F790=CARI!$C$6),OR(CARI!$C$7="",$G790=CARI!$C$7),OR(CARI!$C$8="",$T790=CARI!$C$8)),MAX($Z$3:Z789)+1,""))</f>
        <v/>
      </c>
      <c r="AA790" s="40" t="str">
        <f aca="false">IF($Y790="","",MAX($AA$3:AA789)+1)</f>
        <v/>
      </c>
      <c r="AB790" s="40" t="str">
        <f aca="false">IF($F790="","",$F790&amp;"#"&amp;COUNTIF($F$4:$F790,$F790))</f>
        <v/>
      </c>
      <c r="AC790" s="40" t="str">
        <f aca="false">IF($B790="","",IF(AND(OR(CETAK!$J$10="",$F790=CETAK!$J$10),OR(CETAK!$J$11="",$G790=CETAK!$J$11),OR(CETAK!$J$12="",$P790=CETAK!$J$12),OR(CETAK!$J$13="",$N790=CETAK!$J$13),OR(CETAK!$J$14="",$T790=CETAK!$J$14)),MAX($AC$3:AC789)+1,""))</f>
        <v/>
      </c>
      <c r="AD790" s="40" t="str">
        <f aca="false">IF($B790="","",IF(AND(OR(ABSENSI!$H$10="",$F790=ABSENSI!$H$10),OR(ABSENSI!$H$11="",$G790=ABSENSI!$H$11),OR(ABSENSI!$H$12="",$P790=ABSENSI!$H$12)),MAX($AD$3:AD789)+1,""))</f>
        <v/>
      </c>
      <c r="AE790" s="40" t="str">
        <f aca="false">IF($B790="","",IF(AND(OR(KARTU!$K$6="",$F790=KARTU!$K$6),OR(KARTU!$K$7="",$G790=KARTU!$K$7),OR(KARTU!$K$8="",$P790=KARTU!$K$8)),MAX($AE$3:AE789)+1,""))</f>
        <v/>
      </c>
    </row>
    <row r="791" customFormat="false" ht="15" hidden="false" customHeight="false" outlineLevel="0" collapsed="false">
      <c r="A791" s="35" t="str">
        <f aca="false">IF($B791="","",COUNTA($B$4:$B791))</f>
        <v/>
      </c>
      <c r="B791" s="36"/>
      <c r="C791" s="37"/>
      <c r="D791" s="37"/>
      <c r="E791" s="38"/>
      <c r="F791" s="36"/>
      <c r="G791" s="39"/>
      <c r="H791" s="39"/>
      <c r="I791" s="36"/>
      <c r="J791" s="36"/>
      <c r="K791" s="36"/>
      <c r="L791" s="36"/>
      <c r="M791" s="40" t="str">
        <f aca="false">IF($F791="","",$F791&amp;IF($G791="",""," - RT "&amp;$G791&amp;IF($H791="","","/"&amp;$H791)))</f>
        <v/>
      </c>
      <c r="N791" s="36"/>
      <c r="O791" s="37"/>
      <c r="P791" s="39"/>
      <c r="Q791" s="41"/>
      <c r="R791" s="35" t="str">
        <f aca="true">IF(OR($B791="",$Q791=""),"",DATEDIF($Q791,TODAY(),"Y"))</f>
        <v/>
      </c>
      <c r="S791" s="40" t="str">
        <f aca="false">IF($R791="","",INDEX(usia_label,MATCH($R791,usia_min,1)))</f>
        <v/>
      </c>
      <c r="T791" s="36"/>
      <c r="U791" s="41"/>
      <c r="V791" s="36"/>
      <c r="W791" s="36"/>
      <c r="X791" s="40" t="str">
        <f aca="false">IF($M791="","",$M791&amp;"#"&amp;COUNTIF($M$4:$M791,$M791))</f>
        <v/>
      </c>
      <c r="Y791" s="40" t="str">
        <f aca="false">IF($B791="","",IF($C791="","NIK kosong",IF(LEN($C791)&lt;&gt;16,"NIK bukan 16 digit",IF(COUNTIF($C$4:$C$2003,$C791&amp;"*")&gt;1,"NIK ganda",IF(AND($D791&lt;&gt;"",LEN($D791)&lt;&gt;16),"No. KK bukan 16 digit",IF(AND($F791="",$I791=""),"Alamat kosong",IF($N791="","Jabatan kosong",IF($O791="","No. HP kosong",IF(AND($R791&lt;&gt;"",$R791&lt;17),"Usia di bawah 17","")))))))))</f>
        <v/>
      </c>
      <c r="Z791" s="40" t="str">
        <f aca="false">IF($B791="","",IF(AND(OR(CARI!$C$5="",ISNUMBER(SEARCH(CARI!$C$5,$B791&amp;" "&amp;$C791&amp;" "&amp;$D791&amp;" "&amp;$O791&amp;" "&amp;$I791&amp;" "&amp;$F791&amp;" "&amp;$J791&amp;" "&amp;$K791&amp;" "&amp;$L791&amp;" "&amp;$V791))),OR(CARI!$C$6="",$F791=CARI!$C$6),OR(CARI!$C$7="",$G791=CARI!$C$7),OR(CARI!$C$8="",$T791=CARI!$C$8)),MAX($Z$3:Z790)+1,""))</f>
        <v/>
      </c>
      <c r="AA791" s="40" t="str">
        <f aca="false">IF($Y791="","",MAX($AA$3:AA790)+1)</f>
        <v/>
      </c>
      <c r="AB791" s="40" t="str">
        <f aca="false">IF($F791="","",$F791&amp;"#"&amp;COUNTIF($F$4:$F791,$F791))</f>
        <v/>
      </c>
      <c r="AC791" s="40" t="str">
        <f aca="false">IF($B791="","",IF(AND(OR(CETAK!$J$10="",$F791=CETAK!$J$10),OR(CETAK!$J$11="",$G791=CETAK!$J$11),OR(CETAK!$J$12="",$P791=CETAK!$J$12),OR(CETAK!$J$13="",$N791=CETAK!$J$13),OR(CETAK!$J$14="",$T791=CETAK!$J$14)),MAX($AC$3:AC790)+1,""))</f>
        <v/>
      </c>
      <c r="AD791" s="40" t="str">
        <f aca="false">IF($B791="","",IF(AND(OR(ABSENSI!$H$10="",$F791=ABSENSI!$H$10),OR(ABSENSI!$H$11="",$G791=ABSENSI!$H$11),OR(ABSENSI!$H$12="",$P791=ABSENSI!$H$12)),MAX($AD$3:AD790)+1,""))</f>
        <v/>
      </c>
      <c r="AE791" s="40" t="str">
        <f aca="false">IF($B791="","",IF(AND(OR(KARTU!$K$6="",$F791=KARTU!$K$6),OR(KARTU!$K$7="",$G791=KARTU!$K$7),OR(KARTU!$K$8="",$P791=KARTU!$K$8)),MAX($AE$3:AE790)+1,""))</f>
        <v/>
      </c>
    </row>
    <row r="792" customFormat="false" ht="15" hidden="false" customHeight="false" outlineLevel="0" collapsed="false">
      <c r="A792" s="35" t="str">
        <f aca="false">IF($B792="","",COUNTA($B$4:$B792))</f>
        <v/>
      </c>
      <c r="B792" s="36"/>
      <c r="C792" s="37"/>
      <c r="D792" s="37"/>
      <c r="E792" s="38"/>
      <c r="F792" s="36"/>
      <c r="G792" s="39"/>
      <c r="H792" s="39"/>
      <c r="I792" s="36"/>
      <c r="J792" s="36"/>
      <c r="K792" s="36"/>
      <c r="L792" s="36"/>
      <c r="M792" s="40" t="str">
        <f aca="false">IF($F792="","",$F792&amp;IF($G792="",""," - RT "&amp;$G792&amp;IF($H792="","","/"&amp;$H792)))</f>
        <v/>
      </c>
      <c r="N792" s="36"/>
      <c r="O792" s="37"/>
      <c r="P792" s="39"/>
      <c r="Q792" s="41"/>
      <c r="R792" s="35" t="str">
        <f aca="true">IF(OR($B792="",$Q792=""),"",DATEDIF($Q792,TODAY(),"Y"))</f>
        <v/>
      </c>
      <c r="S792" s="40" t="str">
        <f aca="false">IF($R792="","",INDEX(usia_label,MATCH($R792,usia_min,1)))</f>
        <v/>
      </c>
      <c r="T792" s="36"/>
      <c r="U792" s="41"/>
      <c r="V792" s="36"/>
      <c r="W792" s="36"/>
      <c r="X792" s="40" t="str">
        <f aca="false">IF($M792="","",$M792&amp;"#"&amp;COUNTIF($M$4:$M792,$M792))</f>
        <v/>
      </c>
      <c r="Y792" s="40" t="str">
        <f aca="false">IF($B792="","",IF($C792="","NIK kosong",IF(LEN($C792)&lt;&gt;16,"NIK bukan 16 digit",IF(COUNTIF($C$4:$C$2003,$C792&amp;"*")&gt;1,"NIK ganda",IF(AND($D792&lt;&gt;"",LEN($D792)&lt;&gt;16),"No. KK bukan 16 digit",IF(AND($F792="",$I792=""),"Alamat kosong",IF($N792="","Jabatan kosong",IF($O792="","No. HP kosong",IF(AND($R792&lt;&gt;"",$R792&lt;17),"Usia di bawah 17","")))))))))</f>
        <v/>
      </c>
      <c r="Z792" s="40" t="str">
        <f aca="false">IF($B792="","",IF(AND(OR(CARI!$C$5="",ISNUMBER(SEARCH(CARI!$C$5,$B792&amp;" "&amp;$C792&amp;" "&amp;$D792&amp;" "&amp;$O792&amp;" "&amp;$I792&amp;" "&amp;$F792&amp;" "&amp;$J792&amp;" "&amp;$K792&amp;" "&amp;$L792&amp;" "&amp;$V792))),OR(CARI!$C$6="",$F792=CARI!$C$6),OR(CARI!$C$7="",$G792=CARI!$C$7),OR(CARI!$C$8="",$T792=CARI!$C$8)),MAX($Z$3:Z791)+1,""))</f>
        <v/>
      </c>
      <c r="AA792" s="40" t="str">
        <f aca="false">IF($Y792="","",MAX($AA$3:AA791)+1)</f>
        <v/>
      </c>
      <c r="AB792" s="40" t="str">
        <f aca="false">IF($F792="","",$F792&amp;"#"&amp;COUNTIF($F$4:$F792,$F792))</f>
        <v/>
      </c>
      <c r="AC792" s="40" t="str">
        <f aca="false">IF($B792="","",IF(AND(OR(CETAK!$J$10="",$F792=CETAK!$J$10),OR(CETAK!$J$11="",$G792=CETAK!$J$11),OR(CETAK!$J$12="",$P792=CETAK!$J$12),OR(CETAK!$J$13="",$N792=CETAK!$J$13),OR(CETAK!$J$14="",$T792=CETAK!$J$14)),MAX($AC$3:AC791)+1,""))</f>
        <v/>
      </c>
      <c r="AD792" s="40" t="str">
        <f aca="false">IF($B792="","",IF(AND(OR(ABSENSI!$H$10="",$F792=ABSENSI!$H$10),OR(ABSENSI!$H$11="",$G792=ABSENSI!$H$11),OR(ABSENSI!$H$12="",$P792=ABSENSI!$H$12)),MAX($AD$3:AD791)+1,""))</f>
        <v/>
      </c>
      <c r="AE792" s="40" t="str">
        <f aca="false">IF($B792="","",IF(AND(OR(KARTU!$K$6="",$F792=KARTU!$K$6),OR(KARTU!$K$7="",$G792=KARTU!$K$7),OR(KARTU!$K$8="",$P792=KARTU!$K$8)),MAX($AE$3:AE791)+1,""))</f>
        <v/>
      </c>
    </row>
    <row r="793" customFormat="false" ht="15" hidden="false" customHeight="false" outlineLevel="0" collapsed="false">
      <c r="A793" s="35" t="str">
        <f aca="false">IF($B793="","",COUNTA($B$4:$B793))</f>
        <v/>
      </c>
      <c r="B793" s="36"/>
      <c r="C793" s="37"/>
      <c r="D793" s="37"/>
      <c r="E793" s="38"/>
      <c r="F793" s="36"/>
      <c r="G793" s="39"/>
      <c r="H793" s="39"/>
      <c r="I793" s="36"/>
      <c r="J793" s="36"/>
      <c r="K793" s="36"/>
      <c r="L793" s="36"/>
      <c r="M793" s="40" t="str">
        <f aca="false">IF($F793="","",$F793&amp;IF($G793="",""," - RT "&amp;$G793&amp;IF($H793="","","/"&amp;$H793)))</f>
        <v/>
      </c>
      <c r="N793" s="36"/>
      <c r="O793" s="37"/>
      <c r="P793" s="39"/>
      <c r="Q793" s="41"/>
      <c r="R793" s="35" t="str">
        <f aca="true">IF(OR($B793="",$Q793=""),"",DATEDIF($Q793,TODAY(),"Y"))</f>
        <v/>
      </c>
      <c r="S793" s="40" t="str">
        <f aca="false">IF($R793="","",INDEX(usia_label,MATCH($R793,usia_min,1)))</f>
        <v/>
      </c>
      <c r="T793" s="36"/>
      <c r="U793" s="41"/>
      <c r="V793" s="36"/>
      <c r="W793" s="36"/>
      <c r="X793" s="40" t="str">
        <f aca="false">IF($M793="","",$M793&amp;"#"&amp;COUNTIF($M$4:$M793,$M793))</f>
        <v/>
      </c>
      <c r="Y793" s="40" t="str">
        <f aca="false">IF($B793="","",IF($C793="","NIK kosong",IF(LEN($C793)&lt;&gt;16,"NIK bukan 16 digit",IF(COUNTIF($C$4:$C$2003,$C793&amp;"*")&gt;1,"NIK ganda",IF(AND($D793&lt;&gt;"",LEN($D793)&lt;&gt;16),"No. KK bukan 16 digit",IF(AND($F793="",$I793=""),"Alamat kosong",IF($N793="","Jabatan kosong",IF($O793="","No. HP kosong",IF(AND($R793&lt;&gt;"",$R793&lt;17),"Usia di bawah 17","")))))))))</f>
        <v/>
      </c>
      <c r="Z793" s="40" t="str">
        <f aca="false">IF($B793="","",IF(AND(OR(CARI!$C$5="",ISNUMBER(SEARCH(CARI!$C$5,$B793&amp;" "&amp;$C793&amp;" "&amp;$D793&amp;" "&amp;$O793&amp;" "&amp;$I793&amp;" "&amp;$F793&amp;" "&amp;$J793&amp;" "&amp;$K793&amp;" "&amp;$L793&amp;" "&amp;$V793))),OR(CARI!$C$6="",$F793=CARI!$C$6),OR(CARI!$C$7="",$G793=CARI!$C$7),OR(CARI!$C$8="",$T793=CARI!$C$8)),MAX($Z$3:Z792)+1,""))</f>
        <v/>
      </c>
      <c r="AA793" s="40" t="str">
        <f aca="false">IF($Y793="","",MAX($AA$3:AA792)+1)</f>
        <v/>
      </c>
      <c r="AB793" s="40" t="str">
        <f aca="false">IF($F793="","",$F793&amp;"#"&amp;COUNTIF($F$4:$F793,$F793))</f>
        <v/>
      </c>
      <c r="AC793" s="40" t="str">
        <f aca="false">IF($B793="","",IF(AND(OR(CETAK!$J$10="",$F793=CETAK!$J$10),OR(CETAK!$J$11="",$G793=CETAK!$J$11),OR(CETAK!$J$12="",$P793=CETAK!$J$12),OR(CETAK!$J$13="",$N793=CETAK!$J$13),OR(CETAK!$J$14="",$T793=CETAK!$J$14)),MAX($AC$3:AC792)+1,""))</f>
        <v/>
      </c>
      <c r="AD793" s="40" t="str">
        <f aca="false">IF($B793="","",IF(AND(OR(ABSENSI!$H$10="",$F793=ABSENSI!$H$10),OR(ABSENSI!$H$11="",$G793=ABSENSI!$H$11),OR(ABSENSI!$H$12="",$P793=ABSENSI!$H$12)),MAX($AD$3:AD792)+1,""))</f>
        <v/>
      </c>
      <c r="AE793" s="40" t="str">
        <f aca="false">IF($B793="","",IF(AND(OR(KARTU!$K$6="",$F793=KARTU!$K$6),OR(KARTU!$K$7="",$G793=KARTU!$K$7),OR(KARTU!$K$8="",$P793=KARTU!$K$8)),MAX($AE$3:AE792)+1,""))</f>
        <v/>
      </c>
    </row>
    <row r="794" customFormat="false" ht="15" hidden="false" customHeight="false" outlineLevel="0" collapsed="false">
      <c r="A794" s="35" t="str">
        <f aca="false">IF($B794="","",COUNTA($B$4:$B794))</f>
        <v/>
      </c>
      <c r="B794" s="36"/>
      <c r="C794" s="37"/>
      <c r="D794" s="37"/>
      <c r="E794" s="38"/>
      <c r="F794" s="36"/>
      <c r="G794" s="39"/>
      <c r="H794" s="39"/>
      <c r="I794" s="36"/>
      <c r="J794" s="36"/>
      <c r="K794" s="36"/>
      <c r="L794" s="36"/>
      <c r="M794" s="40" t="str">
        <f aca="false">IF($F794="","",$F794&amp;IF($G794="",""," - RT "&amp;$G794&amp;IF($H794="","","/"&amp;$H794)))</f>
        <v/>
      </c>
      <c r="N794" s="36"/>
      <c r="O794" s="37"/>
      <c r="P794" s="39"/>
      <c r="Q794" s="41"/>
      <c r="R794" s="35" t="str">
        <f aca="true">IF(OR($B794="",$Q794=""),"",DATEDIF($Q794,TODAY(),"Y"))</f>
        <v/>
      </c>
      <c r="S794" s="40" t="str">
        <f aca="false">IF($R794="","",INDEX(usia_label,MATCH($R794,usia_min,1)))</f>
        <v/>
      </c>
      <c r="T794" s="36"/>
      <c r="U794" s="41"/>
      <c r="V794" s="36"/>
      <c r="W794" s="36"/>
      <c r="X794" s="40" t="str">
        <f aca="false">IF($M794="","",$M794&amp;"#"&amp;COUNTIF($M$4:$M794,$M794))</f>
        <v/>
      </c>
      <c r="Y794" s="40" t="str">
        <f aca="false">IF($B794="","",IF($C794="","NIK kosong",IF(LEN($C794)&lt;&gt;16,"NIK bukan 16 digit",IF(COUNTIF($C$4:$C$2003,$C794&amp;"*")&gt;1,"NIK ganda",IF(AND($D794&lt;&gt;"",LEN($D794)&lt;&gt;16),"No. KK bukan 16 digit",IF(AND($F794="",$I794=""),"Alamat kosong",IF($N794="","Jabatan kosong",IF($O794="","No. HP kosong",IF(AND($R794&lt;&gt;"",$R794&lt;17),"Usia di bawah 17","")))))))))</f>
        <v/>
      </c>
      <c r="Z794" s="40" t="str">
        <f aca="false">IF($B794="","",IF(AND(OR(CARI!$C$5="",ISNUMBER(SEARCH(CARI!$C$5,$B794&amp;" "&amp;$C794&amp;" "&amp;$D794&amp;" "&amp;$O794&amp;" "&amp;$I794&amp;" "&amp;$F794&amp;" "&amp;$J794&amp;" "&amp;$K794&amp;" "&amp;$L794&amp;" "&amp;$V794))),OR(CARI!$C$6="",$F794=CARI!$C$6),OR(CARI!$C$7="",$G794=CARI!$C$7),OR(CARI!$C$8="",$T794=CARI!$C$8)),MAX($Z$3:Z793)+1,""))</f>
        <v/>
      </c>
      <c r="AA794" s="40" t="str">
        <f aca="false">IF($Y794="","",MAX($AA$3:AA793)+1)</f>
        <v/>
      </c>
      <c r="AB794" s="40" t="str">
        <f aca="false">IF($F794="","",$F794&amp;"#"&amp;COUNTIF($F$4:$F794,$F794))</f>
        <v/>
      </c>
      <c r="AC794" s="40" t="str">
        <f aca="false">IF($B794="","",IF(AND(OR(CETAK!$J$10="",$F794=CETAK!$J$10),OR(CETAK!$J$11="",$G794=CETAK!$J$11),OR(CETAK!$J$12="",$P794=CETAK!$J$12),OR(CETAK!$J$13="",$N794=CETAK!$J$13),OR(CETAK!$J$14="",$T794=CETAK!$J$14)),MAX($AC$3:AC793)+1,""))</f>
        <v/>
      </c>
      <c r="AD794" s="40" t="str">
        <f aca="false">IF($B794="","",IF(AND(OR(ABSENSI!$H$10="",$F794=ABSENSI!$H$10),OR(ABSENSI!$H$11="",$G794=ABSENSI!$H$11),OR(ABSENSI!$H$12="",$P794=ABSENSI!$H$12)),MAX($AD$3:AD793)+1,""))</f>
        <v/>
      </c>
      <c r="AE794" s="40" t="str">
        <f aca="false">IF($B794="","",IF(AND(OR(KARTU!$K$6="",$F794=KARTU!$K$6),OR(KARTU!$K$7="",$G794=KARTU!$K$7),OR(KARTU!$K$8="",$P794=KARTU!$K$8)),MAX($AE$3:AE793)+1,""))</f>
        <v/>
      </c>
    </row>
    <row r="795" customFormat="false" ht="15" hidden="false" customHeight="false" outlineLevel="0" collapsed="false">
      <c r="A795" s="35" t="str">
        <f aca="false">IF($B795="","",COUNTA($B$4:$B795))</f>
        <v/>
      </c>
      <c r="B795" s="36"/>
      <c r="C795" s="37"/>
      <c r="D795" s="37"/>
      <c r="E795" s="38"/>
      <c r="F795" s="36"/>
      <c r="G795" s="39"/>
      <c r="H795" s="39"/>
      <c r="I795" s="36"/>
      <c r="J795" s="36"/>
      <c r="K795" s="36"/>
      <c r="L795" s="36"/>
      <c r="M795" s="40" t="str">
        <f aca="false">IF($F795="","",$F795&amp;IF($G795="",""," - RT "&amp;$G795&amp;IF($H795="","","/"&amp;$H795)))</f>
        <v/>
      </c>
      <c r="N795" s="36"/>
      <c r="O795" s="37"/>
      <c r="P795" s="39"/>
      <c r="Q795" s="41"/>
      <c r="R795" s="35" t="str">
        <f aca="true">IF(OR($B795="",$Q795=""),"",DATEDIF($Q795,TODAY(),"Y"))</f>
        <v/>
      </c>
      <c r="S795" s="40" t="str">
        <f aca="false">IF($R795="","",INDEX(usia_label,MATCH($R795,usia_min,1)))</f>
        <v/>
      </c>
      <c r="T795" s="36"/>
      <c r="U795" s="41"/>
      <c r="V795" s="36"/>
      <c r="W795" s="36"/>
      <c r="X795" s="40" t="str">
        <f aca="false">IF($M795="","",$M795&amp;"#"&amp;COUNTIF($M$4:$M795,$M795))</f>
        <v/>
      </c>
      <c r="Y795" s="40" t="str">
        <f aca="false">IF($B795="","",IF($C795="","NIK kosong",IF(LEN($C795)&lt;&gt;16,"NIK bukan 16 digit",IF(COUNTIF($C$4:$C$2003,$C795&amp;"*")&gt;1,"NIK ganda",IF(AND($D795&lt;&gt;"",LEN($D795)&lt;&gt;16),"No. KK bukan 16 digit",IF(AND($F795="",$I795=""),"Alamat kosong",IF($N795="","Jabatan kosong",IF($O795="","No. HP kosong",IF(AND($R795&lt;&gt;"",$R795&lt;17),"Usia di bawah 17","")))))))))</f>
        <v/>
      </c>
      <c r="Z795" s="40" t="str">
        <f aca="false">IF($B795="","",IF(AND(OR(CARI!$C$5="",ISNUMBER(SEARCH(CARI!$C$5,$B795&amp;" "&amp;$C795&amp;" "&amp;$D795&amp;" "&amp;$O795&amp;" "&amp;$I795&amp;" "&amp;$F795&amp;" "&amp;$J795&amp;" "&amp;$K795&amp;" "&amp;$L795&amp;" "&amp;$V795))),OR(CARI!$C$6="",$F795=CARI!$C$6),OR(CARI!$C$7="",$G795=CARI!$C$7),OR(CARI!$C$8="",$T795=CARI!$C$8)),MAX($Z$3:Z794)+1,""))</f>
        <v/>
      </c>
      <c r="AA795" s="40" t="str">
        <f aca="false">IF($Y795="","",MAX($AA$3:AA794)+1)</f>
        <v/>
      </c>
      <c r="AB795" s="40" t="str">
        <f aca="false">IF($F795="","",$F795&amp;"#"&amp;COUNTIF($F$4:$F795,$F795))</f>
        <v/>
      </c>
      <c r="AC795" s="40" t="str">
        <f aca="false">IF($B795="","",IF(AND(OR(CETAK!$J$10="",$F795=CETAK!$J$10),OR(CETAK!$J$11="",$G795=CETAK!$J$11),OR(CETAK!$J$12="",$P795=CETAK!$J$12),OR(CETAK!$J$13="",$N795=CETAK!$J$13),OR(CETAK!$J$14="",$T795=CETAK!$J$14)),MAX($AC$3:AC794)+1,""))</f>
        <v/>
      </c>
      <c r="AD795" s="40" t="str">
        <f aca="false">IF($B795="","",IF(AND(OR(ABSENSI!$H$10="",$F795=ABSENSI!$H$10),OR(ABSENSI!$H$11="",$G795=ABSENSI!$H$11),OR(ABSENSI!$H$12="",$P795=ABSENSI!$H$12)),MAX($AD$3:AD794)+1,""))</f>
        <v/>
      </c>
      <c r="AE795" s="40" t="str">
        <f aca="false">IF($B795="","",IF(AND(OR(KARTU!$K$6="",$F795=KARTU!$K$6),OR(KARTU!$K$7="",$G795=KARTU!$K$7),OR(KARTU!$K$8="",$P795=KARTU!$K$8)),MAX($AE$3:AE794)+1,""))</f>
        <v/>
      </c>
    </row>
    <row r="796" customFormat="false" ht="15" hidden="false" customHeight="false" outlineLevel="0" collapsed="false">
      <c r="A796" s="35" t="str">
        <f aca="false">IF($B796="","",COUNTA($B$4:$B796))</f>
        <v/>
      </c>
      <c r="B796" s="36"/>
      <c r="C796" s="37"/>
      <c r="D796" s="37"/>
      <c r="E796" s="38"/>
      <c r="F796" s="36"/>
      <c r="G796" s="39"/>
      <c r="H796" s="39"/>
      <c r="I796" s="36"/>
      <c r="J796" s="36"/>
      <c r="K796" s="36"/>
      <c r="L796" s="36"/>
      <c r="M796" s="40" t="str">
        <f aca="false">IF($F796="","",$F796&amp;IF($G796="",""," - RT "&amp;$G796&amp;IF($H796="","","/"&amp;$H796)))</f>
        <v/>
      </c>
      <c r="N796" s="36"/>
      <c r="O796" s="37"/>
      <c r="P796" s="39"/>
      <c r="Q796" s="41"/>
      <c r="R796" s="35" t="str">
        <f aca="true">IF(OR($B796="",$Q796=""),"",DATEDIF($Q796,TODAY(),"Y"))</f>
        <v/>
      </c>
      <c r="S796" s="40" t="str">
        <f aca="false">IF($R796="","",INDEX(usia_label,MATCH($R796,usia_min,1)))</f>
        <v/>
      </c>
      <c r="T796" s="36"/>
      <c r="U796" s="41"/>
      <c r="V796" s="36"/>
      <c r="W796" s="36"/>
      <c r="X796" s="40" t="str">
        <f aca="false">IF($M796="","",$M796&amp;"#"&amp;COUNTIF($M$4:$M796,$M796))</f>
        <v/>
      </c>
      <c r="Y796" s="40" t="str">
        <f aca="false">IF($B796="","",IF($C796="","NIK kosong",IF(LEN($C796)&lt;&gt;16,"NIK bukan 16 digit",IF(COUNTIF($C$4:$C$2003,$C796&amp;"*")&gt;1,"NIK ganda",IF(AND($D796&lt;&gt;"",LEN($D796)&lt;&gt;16),"No. KK bukan 16 digit",IF(AND($F796="",$I796=""),"Alamat kosong",IF($N796="","Jabatan kosong",IF($O796="","No. HP kosong",IF(AND($R796&lt;&gt;"",$R796&lt;17),"Usia di bawah 17","")))))))))</f>
        <v/>
      </c>
      <c r="Z796" s="40" t="str">
        <f aca="false">IF($B796="","",IF(AND(OR(CARI!$C$5="",ISNUMBER(SEARCH(CARI!$C$5,$B796&amp;" "&amp;$C796&amp;" "&amp;$D796&amp;" "&amp;$O796&amp;" "&amp;$I796&amp;" "&amp;$F796&amp;" "&amp;$J796&amp;" "&amp;$K796&amp;" "&amp;$L796&amp;" "&amp;$V796))),OR(CARI!$C$6="",$F796=CARI!$C$6),OR(CARI!$C$7="",$G796=CARI!$C$7),OR(CARI!$C$8="",$T796=CARI!$C$8)),MAX($Z$3:Z795)+1,""))</f>
        <v/>
      </c>
      <c r="AA796" s="40" t="str">
        <f aca="false">IF($Y796="","",MAX($AA$3:AA795)+1)</f>
        <v/>
      </c>
      <c r="AB796" s="40" t="str">
        <f aca="false">IF($F796="","",$F796&amp;"#"&amp;COUNTIF($F$4:$F796,$F796))</f>
        <v/>
      </c>
      <c r="AC796" s="40" t="str">
        <f aca="false">IF($B796="","",IF(AND(OR(CETAK!$J$10="",$F796=CETAK!$J$10),OR(CETAK!$J$11="",$G796=CETAK!$J$11),OR(CETAK!$J$12="",$P796=CETAK!$J$12),OR(CETAK!$J$13="",$N796=CETAK!$J$13),OR(CETAK!$J$14="",$T796=CETAK!$J$14)),MAX($AC$3:AC795)+1,""))</f>
        <v/>
      </c>
      <c r="AD796" s="40" t="str">
        <f aca="false">IF($B796="","",IF(AND(OR(ABSENSI!$H$10="",$F796=ABSENSI!$H$10),OR(ABSENSI!$H$11="",$G796=ABSENSI!$H$11),OR(ABSENSI!$H$12="",$P796=ABSENSI!$H$12)),MAX($AD$3:AD795)+1,""))</f>
        <v/>
      </c>
      <c r="AE796" s="40" t="str">
        <f aca="false">IF($B796="","",IF(AND(OR(KARTU!$K$6="",$F796=KARTU!$K$6),OR(KARTU!$K$7="",$G796=KARTU!$K$7),OR(KARTU!$K$8="",$P796=KARTU!$K$8)),MAX($AE$3:AE795)+1,""))</f>
        <v/>
      </c>
    </row>
    <row r="797" customFormat="false" ht="15" hidden="false" customHeight="false" outlineLevel="0" collapsed="false">
      <c r="A797" s="35" t="str">
        <f aca="false">IF($B797="","",COUNTA($B$4:$B797))</f>
        <v/>
      </c>
      <c r="B797" s="36"/>
      <c r="C797" s="37"/>
      <c r="D797" s="37"/>
      <c r="E797" s="38"/>
      <c r="F797" s="36"/>
      <c r="G797" s="39"/>
      <c r="H797" s="39"/>
      <c r="I797" s="36"/>
      <c r="J797" s="36"/>
      <c r="K797" s="36"/>
      <c r="L797" s="36"/>
      <c r="M797" s="40" t="str">
        <f aca="false">IF($F797="","",$F797&amp;IF($G797="",""," - RT "&amp;$G797&amp;IF($H797="","","/"&amp;$H797)))</f>
        <v/>
      </c>
      <c r="N797" s="36"/>
      <c r="O797" s="37"/>
      <c r="P797" s="39"/>
      <c r="Q797" s="41"/>
      <c r="R797" s="35" t="str">
        <f aca="true">IF(OR($B797="",$Q797=""),"",DATEDIF($Q797,TODAY(),"Y"))</f>
        <v/>
      </c>
      <c r="S797" s="40" t="str">
        <f aca="false">IF($R797="","",INDEX(usia_label,MATCH($R797,usia_min,1)))</f>
        <v/>
      </c>
      <c r="T797" s="36"/>
      <c r="U797" s="41"/>
      <c r="V797" s="36"/>
      <c r="W797" s="36"/>
      <c r="X797" s="40" t="str">
        <f aca="false">IF($M797="","",$M797&amp;"#"&amp;COUNTIF($M$4:$M797,$M797))</f>
        <v/>
      </c>
      <c r="Y797" s="40" t="str">
        <f aca="false">IF($B797="","",IF($C797="","NIK kosong",IF(LEN($C797)&lt;&gt;16,"NIK bukan 16 digit",IF(COUNTIF($C$4:$C$2003,$C797&amp;"*")&gt;1,"NIK ganda",IF(AND($D797&lt;&gt;"",LEN($D797)&lt;&gt;16),"No. KK bukan 16 digit",IF(AND($F797="",$I797=""),"Alamat kosong",IF($N797="","Jabatan kosong",IF($O797="","No. HP kosong",IF(AND($R797&lt;&gt;"",$R797&lt;17),"Usia di bawah 17","")))))))))</f>
        <v/>
      </c>
      <c r="Z797" s="40" t="str">
        <f aca="false">IF($B797="","",IF(AND(OR(CARI!$C$5="",ISNUMBER(SEARCH(CARI!$C$5,$B797&amp;" "&amp;$C797&amp;" "&amp;$D797&amp;" "&amp;$O797&amp;" "&amp;$I797&amp;" "&amp;$F797&amp;" "&amp;$J797&amp;" "&amp;$K797&amp;" "&amp;$L797&amp;" "&amp;$V797))),OR(CARI!$C$6="",$F797=CARI!$C$6),OR(CARI!$C$7="",$G797=CARI!$C$7),OR(CARI!$C$8="",$T797=CARI!$C$8)),MAX($Z$3:Z796)+1,""))</f>
        <v/>
      </c>
      <c r="AA797" s="40" t="str">
        <f aca="false">IF($Y797="","",MAX($AA$3:AA796)+1)</f>
        <v/>
      </c>
      <c r="AB797" s="40" t="str">
        <f aca="false">IF($F797="","",$F797&amp;"#"&amp;COUNTIF($F$4:$F797,$F797))</f>
        <v/>
      </c>
      <c r="AC797" s="40" t="str">
        <f aca="false">IF($B797="","",IF(AND(OR(CETAK!$J$10="",$F797=CETAK!$J$10),OR(CETAK!$J$11="",$G797=CETAK!$J$11),OR(CETAK!$J$12="",$P797=CETAK!$J$12),OR(CETAK!$J$13="",$N797=CETAK!$J$13),OR(CETAK!$J$14="",$T797=CETAK!$J$14)),MAX($AC$3:AC796)+1,""))</f>
        <v/>
      </c>
      <c r="AD797" s="40" t="str">
        <f aca="false">IF($B797="","",IF(AND(OR(ABSENSI!$H$10="",$F797=ABSENSI!$H$10),OR(ABSENSI!$H$11="",$G797=ABSENSI!$H$11),OR(ABSENSI!$H$12="",$P797=ABSENSI!$H$12)),MAX($AD$3:AD796)+1,""))</f>
        <v/>
      </c>
      <c r="AE797" s="40" t="str">
        <f aca="false">IF($B797="","",IF(AND(OR(KARTU!$K$6="",$F797=KARTU!$K$6),OR(KARTU!$K$7="",$G797=KARTU!$K$7),OR(KARTU!$K$8="",$P797=KARTU!$K$8)),MAX($AE$3:AE796)+1,""))</f>
        <v/>
      </c>
    </row>
    <row r="798" customFormat="false" ht="15" hidden="false" customHeight="false" outlineLevel="0" collapsed="false">
      <c r="A798" s="35" t="str">
        <f aca="false">IF($B798="","",COUNTA($B$4:$B798))</f>
        <v/>
      </c>
      <c r="B798" s="36"/>
      <c r="C798" s="37"/>
      <c r="D798" s="37"/>
      <c r="E798" s="38"/>
      <c r="F798" s="36"/>
      <c r="G798" s="39"/>
      <c r="H798" s="39"/>
      <c r="I798" s="36"/>
      <c r="J798" s="36"/>
      <c r="K798" s="36"/>
      <c r="L798" s="36"/>
      <c r="M798" s="40" t="str">
        <f aca="false">IF($F798="","",$F798&amp;IF($G798="",""," - RT "&amp;$G798&amp;IF($H798="","","/"&amp;$H798)))</f>
        <v/>
      </c>
      <c r="N798" s="36"/>
      <c r="O798" s="37"/>
      <c r="P798" s="39"/>
      <c r="Q798" s="41"/>
      <c r="R798" s="35" t="str">
        <f aca="true">IF(OR($B798="",$Q798=""),"",DATEDIF($Q798,TODAY(),"Y"))</f>
        <v/>
      </c>
      <c r="S798" s="40" t="str">
        <f aca="false">IF($R798="","",INDEX(usia_label,MATCH($R798,usia_min,1)))</f>
        <v/>
      </c>
      <c r="T798" s="36"/>
      <c r="U798" s="41"/>
      <c r="V798" s="36"/>
      <c r="W798" s="36"/>
      <c r="X798" s="40" t="str">
        <f aca="false">IF($M798="","",$M798&amp;"#"&amp;COUNTIF($M$4:$M798,$M798))</f>
        <v/>
      </c>
      <c r="Y798" s="40" t="str">
        <f aca="false">IF($B798="","",IF($C798="","NIK kosong",IF(LEN($C798)&lt;&gt;16,"NIK bukan 16 digit",IF(COUNTIF($C$4:$C$2003,$C798&amp;"*")&gt;1,"NIK ganda",IF(AND($D798&lt;&gt;"",LEN($D798)&lt;&gt;16),"No. KK bukan 16 digit",IF(AND($F798="",$I798=""),"Alamat kosong",IF($N798="","Jabatan kosong",IF($O798="","No. HP kosong",IF(AND($R798&lt;&gt;"",$R798&lt;17),"Usia di bawah 17","")))))))))</f>
        <v/>
      </c>
      <c r="Z798" s="40" t="str">
        <f aca="false">IF($B798="","",IF(AND(OR(CARI!$C$5="",ISNUMBER(SEARCH(CARI!$C$5,$B798&amp;" "&amp;$C798&amp;" "&amp;$D798&amp;" "&amp;$O798&amp;" "&amp;$I798&amp;" "&amp;$F798&amp;" "&amp;$J798&amp;" "&amp;$K798&amp;" "&amp;$L798&amp;" "&amp;$V798))),OR(CARI!$C$6="",$F798=CARI!$C$6),OR(CARI!$C$7="",$G798=CARI!$C$7),OR(CARI!$C$8="",$T798=CARI!$C$8)),MAX($Z$3:Z797)+1,""))</f>
        <v/>
      </c>
      <c r="AA798" s="40" t="str">
        <f aca="false">IF($Y798="","",MAX($AA$3:AA797)+1)</f>
        <v/>
      </c>
      <c r="AB798" s="40" t="str">
        <f aca="false">IF($F798="","",$F798&amp;"#"&amp;COUNTIF($F$4:$F798,$F798))</f>
        <v/>
      </c>
      <c r="AC798" s="40" t="str">
        <f aca="false">IF($B798="","",IF(AND(OR(CETAK!$J$10="",$F798=CETAK!$J$10),OR(CETAK!$J$11="",$G798=CETAK!$J$11),OR(CETAK!$J$12="",$P798=CETAK!$J$12),OR(CETAK!$J$13="",$N798=CETAK!$J$13),OR(CETAK!$J$14="",$T798=CETAK!$J$14)),MAX($AC$3:AC797)+1,""))</f>
        <v/>
      </c>
      <c r="AD798" s="40" t="str">
        <f aca="false">IF($B798="","",IF(AND(OR(ABSENSI!$H$10="",$F798=ABSENSI!$H$10),OR(ABSENSI!$H$11="",$G798=ABSENSI!$H$11),OR(ABSENSI!$H$12="",$P798=ABSENSI!$H$12)),MAX($AD$3:AD797)+1,""))</f>
        <v/>
      </c>
      <c r="AE798" s="40" t="str">
        <f aca="false">IF($B798="","",IF(AND(OR(KARTU!$K$6="",$F798=KARTU!$K$6),OR(KARTU!$K$7="",$G798=KARTU!$K$7),OR(KARTU!$K$8="",$P798=KARTU!$K$8)),MAX($AE$3:AE797)+1,""))</f>
        <v/>
      </c>
    </row>
    <row r="799" customFormat="false" ht="15" hidden="false" customHeight="false" outlineLevel="0" collapsed="false">
      <c r="A799" s="35" t="str">
        <f aca="false">IF($B799="","",COUNTA($B$4:$B799))</f>
        <v/>
      </c>
      <c r="B799" s="36"/>
      <c r="C799" s="37"/>
      <c r="D799" s="37"/>
      <c r="E799" s="38"/>
      <c r="F799" s="36"/>
      <c r="G799" s="39"/>
      <c r="H799" s="39"/>
      <c r="I799" s="36"/>
      <c r="J799" s="36"/>
      <c r="K799" s="36"/>
      <c r="L799" s="36"/>
      <c r="M799" s="40" t="str">
        <f aca="false">IF($F799="","",$F799&amp;IF($G799="",""," - RT "&amp;$G799&amp;IF($H799="","","/"&amp;$H799)))</f>
        <v/>
      </c>
      <c r="N799" s="36"/>
      <c r="O799" s="37"/>
      <c r="P799" s="39"/>
      <c r="Q799" s="41"/>
      <c r="R799" s="35" t="str">
        <f aca="true">IF(OR($B799="",$Q799=""),"",DATEDIF($Q799,TODAY(),"Y"))</f>
        <v/>
      </c>
      <c r="S799" s="40" t="str">
        <f aca="false">IF($R799="","",INDEX(usia_label,MATCH($R799,usia_min,1)))</f>
        <v/>
      </c>
      <c r="T799" s="36"/>
      <c r="U799" s="41"/>
      <c r="V799" s="36"/>
      <c r="W799" s="36"/>
      <c r="X799" s="40" t="str">
        <f aca="false">IF($M799="","",$M799&amp;"#"&amp;COUNTIF($M$4:$M799,$M799))</f>
        <v/>
      </c>
      <c r="Y799" s="40" t="str">
        <f aca="false">IF($B799="","",IF($C799="","NIK kosong",IF(LEN($C799)&lt;&gt;16,"NIK bukan 16 digit",IF(COUNTIF($C$4:$C$2003,$C799&amp;"*")&gt;1,"NIK ganda",IF(AND($D799&lt;&gt;"",LEN($D799)&lt;&gt;16),"No. KK bukan 16 digit",IF(AND($F799="",$I799=""),"Alamat kosong",IF($N799="","Jabatan kosong",IF($O799="","No. HP kosong",IF(AND($R799&lt;&gt;"",$R799&lt;17),"Usia di bawah 17","")))))))))</f>
        <v/>
      </c>
      <c r="Z799" s="40" t="str">
        <f aca="false">IF($B799="","",IF(AND(OR(CARI!$C$5="",ISNUMBER(SEARCH(CARI!$C$5,$B799&amp;" "&amp;$C799&amp;" "&amp;$D799&amp;" "&amp;$O799&amp;" "&amp;$I799&amp;" "&amp;$F799&amp;" "&amp;$J799&amp;" "&amp;$K799&amp;" "&amp;$L799&amp;" "&amp;$V799))),OR(CARI!$C$6="",$F799=CARI!$C$6),OR(CARI!$C$7="",$G799=CARI!$C$7),OR(CARI!$C$8="",$T799=CARI!$C$8)),MAX($Z$3:Z798)+1,""))</f>
        <v/>
      </c>
      <c r="AA799" s="40" t="str">
        <f aca="false">IF($Y799="","",MAX($AA$3:AA798)+1)</f>
        <v/>
      </c>
      <c r="AB799" s="40" t="str">
        <f aca="false">IF($F799="","",$F799&amp;"#"&amp;COUNTIF($F$4:$F799,$F799))</f>
        <v/>
      </c>
      <c r="AC799" s="40" t="str">
        <f aca="false">IF($B799="","",IF(AND(OR(CETAK!$J$10="",$F799=CETAK!$J$10),OR(CETAK!$J$11="",$G799=CETAK!$J$11),OR(CETAK!$J$12="",$P799=CETAK!$J$12),OR(CETAK!$J$13="",$N799=CETAK!$J$13),OR(CETAK!$J$14="",$T799=CETAK!$J$14)),MAX($AC$3:AC798)+1,""))</f>
        <v/>
      </c>
      <c r="AD799" s="40" t="str">
        <f aca="false">IF($B799="","",IF(AND(OR(ABSENSI!$H$10="",$F799=ABSENSI!$H$10),OR(ABSENSI!$H$11="",$G799=ABSENSI!$H$11),OR(ABSENSI!$H$12="",$P799=ABSENSI!$H$12)),MAX($AD$3:AD798)+1,""))</f>
        <v/>
      </c>
      <c r="AE799" s="40" t="str">
        <f aca="false">IF($B799="","",IF(AND(OR(KARTU!$K$6="",$F799=KARTU!$K$6),OR(KARTU!$K$7="",$G799=KARTU!$K$7),OR(KARTU!$K$8="",$P799=KARTU!$K$8)),MAX($AE$3:AE798)+1,""))</f>
        <v/>
      </c>
    </row>
    <row r="800" customFormat="false" ht="15" hidden="false" customHeight="false" outlineLevel="0" collapsed="false">
      <c r="A800" s="35" t="str">
        <f aca="false">IF($B800="","",COUNTA($B$4:$B800))</f>
        <v/>
      </c>
      <c r="B800" s="36"/>
      <c r="C800" s="37"/>
      <c r="D800" s="37"/>
      <c r="E800" s="38"/>
      <c r="F800" s="36"/>
      <c r="G800" s="39"/>
      <c r="H800" s="39"/>
      <c r="I800" s="36"/>
      <c r="J800" s="36"/>
      <c r="K800" s="36"/>
      <c r="L800" s="36"/>
      <c r="M800" s="40" t="str">
        <f aca="false">IF($F800="","",$F800&amp;IF($G800="",""," - RT "&amp;$G800&amp;IF($H800="","","/"&amp;$H800)))</f>
        <v/>
      </c>
      <c r="N800" s="36"/>
      <c r="O800" s="37"/>
      <c r="P800" s="39"/>
      <c r="Q800" s="41"/>
      <c r="R800" s="35" t="str">
        <f aca="true">IF(OR($B800="",$Q800=""),"",DATEDIF($Q800,TODAY(),"Y"))</f>
        <v/>
      </c>
      <c r="S800" s="40" t="str">
        <f aca="false">IF($R800="","",INDEX(usia_label,MATCH($R800,usia_min,1)))</f>
        <v/>
      </c>
      <c r="T800" s="36"/>
      <c r="U800" s="41"/>
      <c r="V800" s="36"/>
      <c r="W800" s="36"/>
      <c r="X800" s="40" t="str">
        <f aca="false">IF($M800="","",$M800&amp;"#"&amp;COUNTIF($M$4:$M800,$M800))</f>
        <v/>
      </c>
      <c r="Y800" s="40" t="str">
        <f aca="false">IF($B800="","",IF($C800="","NIK kosong",IF(LEN($C800)&lt;&gt;16,"NIK bukan 16 digit",IF(COUNTIF($C$4:$C$2003,$C800&amp;"*")&gt;1,"NIK ganda",IF(AND($D800&lt;&gt;"",LEN($D800)&lt;&gt;16),"No. KK bukan 16 digit",IF(AND($F800="",$I800=""),"Alamat kosong",IF($N800="","Jabatan kosong",IF($O800="","No. HP kosong",IF(AND($R800&lt;&gt;"",$R800&lt;17),"Usia di bawah 17","")))))))))</f>
        <v/>
      </c>
      <c r="Z800" s="40" t="str">
        <f aca="false">IF($B800="","",IF(AND(OR(CARI!$C$5="",ISNUMBER(SEARCH(CARI!$C$5,$B800&amp;" "&amp;$C800&amp;" "&amp;$D800&amp;" "&amp;$O800&amp;" "&amp;$I800&amp;" "&amp;$F800&amp;" "&amp;$J800&amp;" "&amp;$K800&amp;" "&amp;$L800&amp;" "&amp;$V800))),OR(CARI!$C$6="",$F800=CARI!$C$6),OR(CARI!$C$7="",$G800=CARI!$C$7),OR(CARI!$C$8="",$T800=CARI!$C$8)),MAX($Z$3:Z799)+1,""))</f>
        <v/>
      </c>
      <c r="AA800" s="40" t="str">
        <f aca="false">IF($Y800="","",MAX($AA$3:AA799)+1)</f>
        <v/>
      </c>
      <c r="AB800" s="40" t="str">
        <f aca="false">IF($F800="","",$F800&amp;"#"&amp;COUNTIF($F$4:$F800,$F800))</f>
        <v/>
      </c>
      <c r="AC800" s="40" t="str">
        <f aca="false">IF($B800="","",IF(AND(OR(CETAK!$J$10="",$F800=CETAK!$J$10),OR(CETAK!$J$11="",$G800=CETAK!$J$11),OR(CETAK!$J$12="",$P800=CETAK!$J$12),OR(CETAK!$J$13="",$N800=CETAK!$J$13),OR(CETAK!$J$14="",$T800=CETAK!$J$14)),MAX($AC$3:AC799)+1,""))</f>
        <v/>
      </c>
      <c r="AD800" s="40" t="str">
        <f aca="false">IF($B800="","",IF(AND(OR(ABSENSI!$H$10="",$F800=ABSENSI!$H$10),OR(ABSENSI!$H$11="",$G800=ABSENSI!$H$11),OR(ABSENSI!$H$12="",$P800=ABSENSI!$H$12)),MAX($AD$3:AD799)+1,""))</f>
        <v/>
      </c>
      <c r="AE800" s="40" t="str">
        <f aca="false">IF($B800="","",IF(AND(OR(KARTU!$K$6="",$F800=KARTU!$K$6),OR(KARTU!$K$7="",$G800=KARTU!$K$7),OR(KARTU!$K$8="",$P800=KARTU!$K$8)),MAX($AE$3:AE799)+1,""))</f>
        <v/>
      </c>
    </row>
    <row r="801" customFormat="false" ht="15" hidden="false" customHeight="false" outlineLevel="0" collapsed="false">
      <c r="A801" s="35" t="str">
        <f aca="false">IF($B801="","",COUNTA($B$4:$B801))</f>
        <v/>
      </c>
      <c r="B801" s="36"/>
      <c r="C801" s="37"/>
      <c r="D801" s="37"/>
      <c r="E801" s="38"/>
      <c r="F801" s="36"/>
      <c r="G801" s="39"/>
      <c r="H801" s="39"/>
      <c r="I801" s="36"/>
      <c r="J801" s="36"/>
      <c r="K801" s="36"/>
      <c r="L801" s="36"/>
      <c r="M801" s="40" t="str">
        <f aca="false">IF($F801="","",$F801&amp;IF($G801="",""," - RT "&amp;$G801&amp;IF($H801="","","/"&amp;$H801)))</f>
        <v/>
      </c>
      <c r="N801" s="36"/>
      <c r="O801" s="37"/>
      <c r="P801" s="39"/>
      <c r="Q801" s="41"/>
      <c r="R801" s="35" t="str">
        <f aca="true">IF(OR($B801="",$Q801=""),"",DATEDIF($Q801,TODAY(),"Y"))</f>
        <v/>
      </c>
      <c r="S801" s="40" t="str">
        <f aca="false">IF($R801="","",INDEX(usia_label,MATCH($R801,usia_min,1)))</f>
        <v/>
      </c>
      <c r="T801" s="36"/>
      <c r="U801" s="41"/>
      <c r="V801" s="36"/>
      <c r="W801" s="36"/>
      <c r="X801" s="40" t="str">
        <f aca="false">IF($M801="","",$M801&amp;"#"&amp;COUNTIF($M$4:$M801,$M801))</f>
        <v/>
      </c>
      <c r="Y801" s="40" t="str">
        <f aca="false">IF($B801="","",IF($C801="","NIK kosong",IF(LEN($C801)&lt;&gt;16,"NIK bukan 16 digit",IF(COUNTIF($C$4:$C$2003,$C801&amp;"*")&gt;1,"NIK ganda",IF(AND($D801&lt;&gt;"",LEN($D801)&lt;&gt;16),"No. KK bukan 16 digit",IF(AND($F801="",$I801=""),"Alamat kosong",IF($N801="","Jabatan kosong",IF($O801="","No. HP kosong",IF(AND($R801&lt;&gt;"",$R801&lt;17),"Usia di bawah 17","")))))))))</f>
        <v/>
      </c>
      <c r="Z801" s="40" t="str">
        <f aca="false">IF($B801="","",IF(AND(OR(CARI!$C$5="",ISNUMBER(SEARCH(CARI!$C$5,$B801&amp;" "&amp;$C801&amp;" "&amp;$D801&amp;" "&amp;$O801&amp;" "&amp;$I801&amp;" "&amp;$F801&amp;" "&amp;$J801&amp;" "&amp;$K801&amp;" "&amp;$L801&amp;" "&amp;$V801))),OR(CARI!$C$6="",$F801=CARI!$C$6),OR(CARI!$C$7="",$G801=CARI!$C$7),OR(CARI!$C$8="",$T801=CARI!$C$8)),MAX($Z$3:Z800)+1,""))</f>
        <v/>
      </c>
      <c r="AA801" s="40" t="str">
        <f aca="false">IF($Y801="","",MAX($AA$3:AA800)+1)</f>
        <v/>
      </c>
      <c r="AB801" s="40" t="str">
        <f aca="false">IF($F801="","",$F801&amp;"#"&amp;COUNTIF($F$4:$F801,$F801))</f>
        <v/>
      </c>
      <c r="AC801" s="40" t="str">
        <f aca="false">IF($B801="","",IF(AND(OR(CETAK!$J$10="",$F801=CETAK!$J$10),OR(CETAK!$J$11="",$G801=CETAK!$J$11),OR(CETAK!$J$12="",$P801=CETAK!$J$12),OR(CETAK!$J$13="",$N801=CETAK!$J$13),OR(CETAK!$J$14="",$T801=CETAK!$J$14)),MAX($AC$3:AC800)+1,""))</f>
        <v/>
      </c>
      <c r="AD801" s="40" t="str">
        <f aca="false">IF($B801="","",IF(AND(OR(ABSENSI!$H$10="",$F801=ABSENSI!$H$10),OR(ABSENSI!$H$11="",$G801=ABSENSI!$H$11),OR(ABSENSI!$H$12="",$P801=ABSENSI!$H$12)),MAX($AD$3:AD800)+1,""))</f>
        <v/>
      </c>
      <c r="AE801" s="40" t="str">
        <f aca="false">IF($B801="","",IF(AND(OR(KARTU!$K$6="",$F801=KARTU!$K$6),OR(KARTU!$K$7="",$G801=KARTU!$K$7),OR(KARTU!$K$8="",$P801=KARTU!$K$8)),MAX($AE$3:AE800)+1,""))</f>
        <v/>
      </c>
    </row>
    <row r="802" customFormat="false" ht="15" hidden="false" customHeight="false" outlineLevel="0" collapsed="false">
      <c r="A802" s="35" t="str">
        <f aca="false">IF($B802="","",COUNTA($B$4:$B802))</f>
        <v/>
      </c>
      <c r="B802" s="36"/>
      <c r="C802" s="37"/>
      <c r="D802" s="37"/>
      <c r="E802" s="38"/>
      <c r="F802" s="36"/>
      <c r="G802" s="39"/>
      <c r="H802" s="39"/>
      <c r="I802" s="36"/>
      <c r="J802" s="36"/>
      <c r="K802" s="36"/>
      <c r="L802" s="36"/>
      <c r="M802" s="40" t="str">
        <f aca="false">IF($F802="","",$F802&amp;IF($G802="",""," - RT "&amp;$G802&amp;IF($H802="","","/"&amp;$H802)))</f>
        <v/>
      </c>
      <c r="N802" s="36"/>
      <c r="O802" s="37"/>
      <c r="P802" s="39"/>
      <c r="Q802" s="41"/>
      <c r="R802" s="35" t="str">
        <f aca="true">IF(OR($B802="",$Q802=""),"",DATEDIF($Q802,TODAY(),"Y"))</f>
        <v/>
      </c>
      <c r="S802" s="40" t="str">
        <f aca="false">IF($R802="","",INDEX(usia_label,MATCH($R802,usia_min,1)))</f>
        <v/>
      </c>
      <c r="T802" s="36"/>
      <c r="U802" s="41"/>
      <c r="V802" s="36"/>
      <c r="W802" s="36"/>
      <c r="X802" s="40" t="str">
        <f aca="false">IF($M802="","",$M802&amp;"#"&amp;COUNTIF($M$4:$M802,$M802))</f>
        <v/>
      </c>
      <c r="Y802" s="40" t="str">
        <f aca="false">IF($B802="","",IF($C802="","NIK kosong",IF(LEN($C802)&lt;&gt;16,"NIK bukan 16 digit",IF(COUNTIF($C$4:$C$2003,$C802&amp;"*")&gt;1,"NIK ganda",IF(AND($D802&lt;&gt;"",LEN($D802)&lt;&gt;16),"No. KK bukan 16 digit",IF(AND($F802="",$I802=""),"Alamat kosong",IF($N802="","Jabatan kosong",IF($O802="","No. HP kosong",IF(AND($R802&lt;&gt;"",$R802&lt;17),"Usia di bawah 17","")))))))))</f>
        <v/>
      </c>
      <c r="Z802" s="40" t="str">
        <f aca="false">IF($B802="","",IF(AND(OR(CARI!$C$5="",ISNUMBER(SEARCH(CARI!$C$5,$B802&amp;" "&amp;$C802&amp;" "&amp;$D802&amp;" "&amp;$O802&amp;" "&amp;$I802&amp;" "&amp;$F802&amp;" "&amp;$J802&amp;" "&amp;$K802&amp;" "&amp;$L802&amp;" "&amp;$V802))),OR(CARI!$C$6="",$F802=CARI!$C$6),OR(CARI!$C$7="",$G802=CARI!$C$7),OR(CARI!$C$8="",$T802=CARI!$C$8)),MAX($Z$3:Z801)+1,""))</f>
        <v/>
      </c>
      <c r="AA802" s="40" t="str">
        <f aca="false">IF($Y802="","",MAX($AA$3:AA801)+1)</f>
        <v/>
      </c>
      <c r="AB802" s="40" t="str">
        <f aca="false">IF($F802="","",$F802&amp;"#"&amp;COUNTIF($F$4:$F802,$F802))</f>
        <v/>
      </c>
      <c r="AC802" s="40" t="str">
        <f aca="false">IF($B802="","",IF(AND(OR(CETAK!$J$10="",$F802=CETAK!$J$10),OR(CETAK!$J$11="",$G802=CETAK!$J$11),OR(CETAK!$J$12="",$P802=CETAK!$J$12),OR(CETAK!$J$13="",$N802=CETAK!$J$13),OR(CETAK!$J$14="",$T802=CETAK!$J$14)),MAX($AC$3:AC801)+1,""))</f>
        <v/>
      </c>
      <c r="AD802" s="40" t="str">
        <f aca="false">IF($B802="","",IF(AND(OR(ABSENSI!$H$10="",$F802=ABSENSI!$H$10),OR(ABSENSI!$H$11="",$G802=ABSENSI!$H$11),OR(ABSENSI!$H$12="",$P802=ABSENSI!$H$12)),MAX($AD$3:AD801)+1,""))</f>
        <v/>
      </c>
      <c r="AE802" s="40" t="str">
        <f aca="false">IF($B802="","",IF(AND(OR(KARTU!$K$6="",$F802=KARTU!$K$6),OR(KARTU!$K$7="",$G802=KARTU!$K$7),OR(KARTU!$K$8="",$P802=KARTU!$K$8)),MAX($AE$3:AE801)+1,""))</f>
        <v/>
      </c>
    </row>
    <row r="803" customFormat="false" ht="15" hidden="false" customHeight="false" outlineLevel="0" collapsed="false">
      <c r="A803" s="35" t="str">
        <f aca="false">IF($B803="","",COUNTA($B$4:$B803))</f>
        <v/>
      </c>
      <c r="B803" s="36"/>
      <c r="C803" s="37"/>
      <c r="D803" s="37"/>
      <c r="E803" s="38"/>
      <c r="F803" s="36"/>
      <c r="G803" s="39"/>
      <c r="H803" s="39"/>
      <c r="I803" s="36"/>
      <c r="J803" s="36"/>
      <c r="K803" s="36"/>
      <c r="L803" s="36"/>
      <c r="M803" s="40" t="str">
        <f aca="false">IF($F803="","",$F803&amp;IF($G803="",""," - RT "&amp;$G803&amp;IF($H803="","","/"&amp;$H803)))</f>
        <v/>
      </c>
      <c r="N803" s="36"/>
      <c r="O803" s="37"/>
      <c r="P803" s="39"/>
      <c r="Q803" s="41"/>
      <c r="R803" s="35" t="str">
        <f aca="true">IF(OR($B803="",$Q803=""),"",DATEDIF($Q803,TODAY(),"Y"))</f>
        <v/>
      </c>
      <c r="S803" s="40" t="str">
        <f aca="false">IF($R803="","",INDEX(usia_label,MATCH($R803,usia_min,1)))</f>
        <v/>
      </c>
      <c r="T803" s="36"/>
      <c r="U803" s="41"/>
      <c r="V803" s="36"/>
      <c r="W803" s="36"/>
      <c r="X803" s="40" t="str">
        <f aca="false">IF($M803="","",$M803&amp;"#"&amp;COUNTIF($M$4:$M803,$M803))</f>
        <v/>
      </c>
      <c r="Y803" s="40" t="str">
        <f aca="false">IF($B803="","",IF($C803="","NIK kosong",IF(LEN($C803)&lt;&gt;16,"NIK bukan 16 digit",IF(COUNTIF($C$4:$C$2003,$C803&amp;"*")&gt;1,"NIK ganda",IF(AND($D803&lt;&gt;"",LEN($D803)&lt;&gt;16),"No. KK bukan 16 digit",IF(AND($F803="",$I803=""),"Alamat kosong",IF($N803="","Jabatan kosong",IF($O803="","No. HP kosong",IF(AND($R803&lt;&gt;"",$R803&lt;17),"Usia di bawah 17","")))))))))</f>
        <v/>
      </c>
      <c r="Z803" s="40" t="str">
        <f aca="false">IF($B803="","",IF(AND(OR(CARI!$C$5="",ISNUMBER(SEARCH(CARI!$C$5,$B803&amp;" "&amp;$C803&amp;" "&amp;$D803&amp;" "&amp;$O803&amp;" "&amp;$I803&amp;" "&amp;$F803&amp;" "&amp;$J803&amp;" "&amp;$K803&amp;" "&amp;$L803&amp;" "&amp;$V803))),OR(CARI!$C$6="",$F803=CARI!$C$6),OR(CARI!$C$7="",$G803=CARI!$C$7),OR(CARI!$C$8="",$T803=CARI!$C$8)),MAX($Z$3:Z802)+1,""))</f>
        <v/>
      </c>
      <c r="AA803" s="40" t="str">
        <f aca="false">IF($Y803="","",MAX($AA$3:AA802)+1)</f>
        <v/>
      </c>
      <c r="AB803" s="40" t="str">
        <f aca="false">IF($F803="","",$F803&amp;"#"&amp;COUNTIF($F$4:$F803,$F803))</f>
        <v/>
      </c>
      <c r="AC803" s="40" t="str">
        <f aca="false">IF($B803="","",IF(AND(OR(CETAK!$J$10="",$F803=CETAK!$J$10),OR(CETAK!$J$11="",$G803=CETAK!$J$11),OR(CETAK!$J$12="",$P803=CETAK!$J$12),OR(CETAK!$J$13="",$N803=CETAK!$J$13),OR(CETAK!$J$14="",$T803=CETAK!$J$14)),MAX($AC$3:AC802)+1,""))</f>
        <v/>
      </c>
      <c r="AD803" s="40" t="str">
        <f aca="false">IF($B803="","",IF(AND(OR(ABSENSI!$H$10="",$F803=ABSENSI!$H$10),OR(ABSENSI!$H$11="",$G803=ABSENSI!$H$11),OR(ABSENSI!$H$12="",$P803=ABSENSI!$H$12)),MAX($AD$3:AD802)+1,""))</f>
        <v/>
      </c>
      <c r="AE803" s="40" t="str">
        <f aca="false">IF($B803="","",IF(AND(OR(KARTU!$K$6="",$F803=KARTU!$K$6),OR(KARTU!$K$7="",$G803=KARTU!$K$7),OR(KARTU!$K$8="",$P803=KARTU!$K$8)),MAX($AE$3:AE802)+1,""))</f>
        <v/>
      </c>
    </row>
    <row r="804" customFormat="false" ht="15" hidden="false" customHeight="false" outlineLevel="0" collapsed="false">
      <c r="A804" s="35" t="str">
        <f aca="false">IF($B804="","",COUNTA($B$4:$B804))</f>
        <v/>
      </c>
      <c r="B804" s="36"/>
      <c r="C804" s="37"/>
      <c r="D804" s="37"/>
      <c r="E804" s="38"/>
      <c r="F804" s="36"/>
      <c r="G804" s="39"/>
      <c r="H804" s="39"/>
      <c r="I804" s="36"/>
      <c r="J804" s="36"/>
      <c r="K804" s="36"/>
      <c r="L804" s="36"/>
      <c r="M804" s="40" t="str">
        <f aca="false">IF($F804="","",$F804&amp;IF($G804="",""," - RT "&amp;$G804&amp;IF($H804="","","/"&amp;$H804)))</f>
        <v/>
      </c>
      <c r="N804" s="36"/>
      <c r="O804" s="37"/>
      <c r="P804" s="39"/>
      <c r="Q804" s="41"/>
      <c r="R804" s="35" t="str">
        <f aca="true">IF(OR($B804="",$Q804=""),"",DATEDIF($Q804,TODAY(),"Y"))</f>
        <v/>
      </c>
      <c r="S804" s="40" t="str">
        <f aca="false">IF($R804="","",INDEX(usia_label,MATCH($R804,usia_min,1)))</f>
        <v/>
      </c>
      <c r="T804" s="36"/>
      <c r="U804" s="41"/>
      <c r="V804" s="36"/>
      <c r="W804" s="36"/>
      <c r="X804" s="40" t="str">
        <f aca="false">IF($M804="","",$M804&amp;"#"&amp;COUNTIF($M$4:$M804,$M804))</f>
        <v/>
      </c>
      <c r="Y804" s="40" t="str">
        <f aca="false">IF($B804="","",IF($C804="","NIK kosong",IF(LEN($C804)&lt;&gt;16,"NIK bukan 16 digit",IF(COUNTIF($C$4:$C$2003,$C804&amp;"*")&gt;1,"NIK ganda",IF(AND($D804&lt;&gt;"",LEN($D804)&lt;&gt;16),"No. KK bukan 16 digit",IF(AND($F804="",$I804=""),"Alamat kosong",IF($N804="","Jabatan kosong",IF($O804="","No. HP kosong",IF(AND($R804&lt;&gt;"",$R804&lt;17),"Usia di bawah 17","")))))))))</f>
        <v/>
      </c>
      <c r="Z804" s="40" t="str">
        <f aca="false">IF($B804="","",IF(AND(OR(CARI!$C$5="",ISNUMBER(SEARCH(CARI!$C$5,$B804&amp;" "&amp;$C804&amp;" "&amp;$D804&amp;" "&amp;$O804&amp;" "&amp;$I804&amp;" "&amp;$F804&amp;" "&amp;$J804&amp;" "&amp;$K804&amp;" "&amp;$L804&amp;" "&amp;$V804))),OR(CARI!$C$6="",$F804=CARI!$C$6),OR(CARI!$C$7="",$G804=CARI!$C$7),OR(CARI!$C$8="",$T804=CARI!$C$8)),MAX($Z$3:Z803)+1,""))</f>
        <v/>
      </c>
      <c r="AA804" s="40" t="str">
        <f aca="false">IF($Y804="","",MAX($AA$3:AA803)+1)</f>
        <v/>
      </c>
      <c r="AB804" s="40" t="str">
        <f aca="false">IF($F804="","",$F804&amp;"#"&amp;COUNTIF($F$4:$F804,$F804))</f>
        <v/>
      </c>
      <c r="AC804" s="40" t="str">
        <f aca="false">IF($B804="","",IF(AND(OR(CETAK!$J$10="",$F804=CETAK!$J$10),OR(CETAK!$J$11="",$G804=CETAK!$J$11),OR(CETAK!$J$12="",$P804=CETAK!$J$12),OR(CETAK!$J$13="",$N804=CETAK!$J$13),OR(CETAK!$J$14="",$T804=CETAK!$J$14)),MAX($AC$3:AC803)+1,""))</f>
        <v/>
      </c>
      <c r="AD804" s="40" t="str">
        <f aca="false">IF($B804="","",IF(AND(OR(ABSENSI!$H$10="",$F804=ABSENSI!$H$10),OR(ABSENSI!$H$11="",$G804=ABSENSI!$H$11),OR(ABSENSI!$H$12="",$P804=ABSENSI!$H$12)),MAX($AD$3:AD803)+1,""))</f>
        <v/>
      </c>
      <c r="AE804" s="40" t="str">
        <f aca="false">IF($B804="","",IF(AND(OR(KARTU!$K$6="",$F804=KARTU!$K$6),OR(KARTU!$K$7="",$G804=KARTU!$K$7),OR(KARTU!$K$8="",$P804=KARTU!$K$8)),MAX($AE$3:AE803)+1,""))</f>
        <v/>
      </c>
    </row>
    <row r="805" customFormat="false" ht="15" hidden="false" customHeight="false" outlineLevel="0" collapsed="false">
      <c r="A805" s="35" t="str">
        <f aca="false">IF($B805="","",COUNTA($B$4:$B805))</f>
        <v/>
      </c>
      <c r="B805" s="36"/>
      <c r="C805" s="37"/>
      <c r="D805" s="37"/>
      <c r="E805" s="38"/>
      <c r="F805" s="36"/>
      <c r="G805" s="39"/>
      <c r="H805" s="39"/>
      <c r="I805" s="36"/>
      <c r="J805" s="36"/>
      <c r="K805" s="36"/>
      <c r="L805" s="36"/>
      <c r="M805" s="40" t="str">
        <f aca="false">IF($F805="","",$F805&amp;IF($G805="",""," - RT "&amp;$G805&amp;IF($H805="","","/"&amp;$H805)))</f>
        <v/>
      </c>
      <c r="N805" s="36"/>
      <c r="O805" s="37"/>
      <c r="P805" s="39"/>
      <c r="Q805" s="41"/>
      <c r="R805" s="35" t="str">
        <f aca="true">IF(OR($B805="",$Q805=""),"",DATEDIF($Q805,TODAY(),"Y"))</f>
        <v/>
      </c>
      <c r="S805" s="40" t="str">
        <f aca="false">IF($R805="","",INDEX(usia_label,MATCH($R805,usia_min,1)))</f>
        <v/>
      </c>
      <c r="T805" s="36"/>
      <c r="U805" s="41"/>
      <c r="V805" s="36"/>
      <c r="W805" s="36"/>
      <c r="X805" s="40" t="str">
        <f aca="false">IF($M805="","",$M805&amp;"#"&amp;COUNTIF($M$4:$M805,$M805))</f>
        <v/>
      </c>
      <c r="Y805" s="40" t="str">
        <f aca="false">IF($B805="","",IF($C805="","NIK kosong",IF(LEN($C805)&lt;&gt;16,"NIK bukan 16 digit",IF(COUNTIF($C$4:$C$2003,$C805&amp;"*")&gt;1,"NIK ganda",IF(AND($D805&lt;&gt;"",LEN($D805)&lt;&gt;16),"No. KK bukan 16 digit",IF(AND($F805="",$I805=""),"Alamat kosong",IF($N805="","Jabatan kosong",IF($O805="","No. HP kosong",IF(AND($R805&lt;&gt;"",$R805&lt;17),"Usia di bawah 17","")))))))))</f>
        <v/>
      </c>
      <c r="Z805" s="40" t="str">
        <f aca="false">IF($B805="","",IF(AND(OR(CARI!$C$5="",ISNUMBER(SEARCH(CARI!$C$5,$B805&amp;" "&amp;$C805&amp;" "&amp;$D805&amp;" "&amp;$O805&amp;" "&amp;$I805&amp;" "&amp;$F805&amp;" "&amp;$J805&amp;" "&amp;$K805&amp;" "&amp;$L805&amp;" "&amp;$V805))),OR(CARI!$C$6="",$F805=CARI!$C$6),OR(CARI!$C$7="",$G805=CARI!$C$7),OR(CARI!$C$8="",$T805=CARI!$C$8)),MAX($Z$3:Z804)+1,""))</f>
        <v/>
      </c>
      <c r="AA805" s="40" t="str">
        <f aca="false">IF($Y805="","",MAX($AA$3:AA804)+1)</f>
        <v/>
      </c>
      <c r="AB805" s="40" t="str">
        <f aca="false">IF($F805="","",$F805&amp;"#"&amp;COUNTIF($F$4:$F805,$F805))</f>
        <v/>
      </c>
      <c r="AC805" s="40" t="str">
        <f aca="false">IF($B805="","",IF(AND(OR(CETAK!$J$10="",$F805=CETAK!$J$10),OR(CETAK!$J$11="",$G805=CETAK!$J$11),OR(CETAK!$J$12="",$P805=CETAK!$J$12),OR(CETAK!$J$13="",$N805=CETAK!$J$13),OR(CETAK!$J$14="",$T805=CETAK!$J$14)),MAX($AC$3:AC804)+1,""))</f>
        <v/>
      </c>
      <c r="AD805" s="40" t="str">
        <f aca="false">IF($B805="","",IF(AND(OR(ABSENSI!$H$10="",$F805=ABSENSI!$H$10),OR(ABSENSI!$H$11="",$G805=ABSENSI!$H$11),OR(ABSENSI!$H$12="",$P805=ABSENSI!$H$12)),MAX($AD$3:AD804)+1,""))</f>
        <v/>
      </c>
      <c r="AE805" s="40" t="str">
        <f aca="false">IF($B805="","",IF(AND(OR(KARTU!$K$6="",$F805=KARTU!$K$6),OR(KARTU!$K$7="",$G805=KARTU!$K$7),OR(KARTU!$K$8="",$P805=KARTU!$K$8)),MAX($AE$3:AE804)+1,""))</f>
        <v/>
      </c>
    </row>
    <row r="806" customFormat="false" ht="15" hidden="false" customHeight="false" outlineLevel="0" collapsed="false">
      <c r="A806" s="35" t="str">
        <f aca="false">IF($B806="","",COUNTA($B$4:$B806))</f>
        <v/>
      </c>
      <c r="B806" s="36"/>
      <c r="C806" s="37"/>
      <c r="D806" s="37"/>
      <c r="E806" s="38"/>
      <c r="F806" s="36"/>
      <c r="G806" s="39"/>
      <c r="H806" s="39"/>
      <c r="I806" s="36"/>
      <c r="J806" s="36"/>
      <c r="K806" s="36"/>
      <c r="L806" s="36"/>
      <c r="M806" s="40" t="str">
        <f aca="false">IF($F806="","",$F806&amp;IF($G806="",""," - RT "&amp;$G806&amp;IF($H806="","","/"&amp;$H806)))</f>
        <v/>
      </c>
      <c r="N806" s="36"/>
      <c r="O806" s="37"/>
      <c r="P806" s="39"/>
      <c r="Q806" s="41"/>
      <c r="R806" s="35" t="str">
        <f aca="true">IF(OR($B806="",$Q806=""),"",DATEDIF($Q806,TODAY(),"Y"))</f>
        <v/>
      </c>
      <c r="S806" s="40" t="str">
        <f aca="false">IF($R806="","",INDEX(usia_label,MATCH($R806,usia_min,1)))</f>
        <v/>
      </c>
      <c r="T806" s="36"/>
      <c r="U806" s="41"/>
      <c r="V806" s="36"/>
      <c r="W806" s="36"/>
      <c r="X806" s="40" t="str">
        <f aca="false">IF($M806="","",$M806&amp;"#"&amp;COUNTIF($M$4:$M806,$M806))</f>
        <v/>
      </c>
      <c r="Y806" s="40" t="str">
        <f aca="false">IF($B806="","",IF($C806="","NIK kosong",IF(LEN($C806)&lt;&gt;16,"NIK bukan 16 digit",IF(COUNTIF($C$4:$C$2003,$C806&amp;"*")&gt;1,"NIK ganda",IF(AND($D806&lt;&gt;"",LEN($D806)&lt;&gt;16),"No. KK bukan 16 digit",IF(AND($F806="",$I806=""),"Alamat kosong",IF($N806="","Jabatan kosong",IF($O806="","No. HP kosong",IF(AND($R806&lt;&gt;"",$R806&lt;17),"Usia di bawah 17","")))))))))</f>
        <v/>
      </c>
      <c r="Z806" s="40" t="str">
        <f aca="false">IF($B806="","",IF(AND(OR(CARI!$C$5="",ISNUMBER(SEARCH(CARI!$C$5,$B806&amp;" "&amp;$C806&amp;" "&amp;$D806&amp;" "&amp;$O806&amp;" "&amp;$I806&amp;" "&amp;$F806&amp;" "&amp;$J806&amp;" "&amp;$K806&amp;" "&amp;$L806&amp;" "&amp;$V806))),OR(CARI!$C$6="",$F806=CARI!$C$6),OR(CARI!$C$7="",$G806=CARI!$C$7),OR(CARI!$C$8="",$T806=CARI!$C$8)),MAX($Z$3:Z805)+1,""))</f>
        <v/>
      </c>
      <c r="AA806" s="40" t="str">
        <f aca="false">IF($Y806="","",MAX($AA$3:AA805)+1)</f>
        <v/>
      </c>
      <c r="AB806" s="40" t="str">
        <f aca="false">IF($F806="","",$F806&amp;"#"&amp;COUNTIF($F$4:$F806,$F806))</f>
        <v/>
      </c>
      <c r="AC806" s="40" t="str">
        <f aca="false">IF($B806="","",IF(AND(OR(CETAK!$J$10="",$F806=CETAK!$J$10),OR(CETAK!$J$11="",$G806=CETAK!$J$11),OR(CETAK!$J$12="",$P806=CETAK!$J$12),OR(CETAK!$J$13="",$N806=CETAK!$J$13),OR(CETAK!$J$14="",$T806=CETAK!$J$14)),MAX($AC$3:AC805)+1,""))</f>
        <v/>
      </c>
      <c r="AD806" s="40" t="str">
        <f aca="false">IF($B806="","",IF(AND(OR(ABSENSI!$H$10="",$F806=ABSENSI!$H$10),OR(ABSENSI!$H$11="",$G806=ABSENSI!$H$11),OR(ABSENSI!$H$12="",$P806=ABSENSI!$H$12)),MAX($AD$3:AD805)+1,""))</f>
        <v/>
      </c>
      <c r="AE806" s="40" t="str">
        <f aca="false">IF($B806="","",IF(AND(OR(KARTU!$K$6="",$F806=KARTU!$K$6),OR(KARTU!$K$7="",$G806=KARTU!$K$7),OR(KARTU!$K$8="",$P806=KARTU!$K$8)),MAX($AE$3:AE805)+1,""))</f>
        <v/>
      </c>
    </row>
    <row r="807" customFormat="false" ht="15" hidden="false" customHeight="false" outlineLevel="0" collapsed="false">
      <c r="A807" s="35" t="str">
        <f aca="false">IF($B807="","",COUNTA($B$4:$B807))</f>
        <v/>
      </c>
      <c r="B807" s="36"/>
      <c r="C807" s="37"/>
      <c r="D807" s="37"/>
      <c r="E807" s="38"/>
      <c r="F807" s="36"/>
      <c r="G807" s="39"/>
      <c r="H807" s="39"/>
      <c r="I807" s="36"/>
      <c r="J807" s="36"/>
      <c r="K807" s="36"/>
      <c r="L807" s="36"/>
      <c r="M807" s="40" t="str">
        <f aca="false">IF($F807="","",$F807&amp;IF($G807="",""," - RT "&amp;$G807&amp;IF($H807="","","/"&amp;$H807)))</f>
        <v/>
      </c>
      <c r="N807" s="36"/>
      <c r="O807" s="37"/>
      <c r="P807" s="39"/>
      <c r="Q807" s="41"/>
      <c r="R807" s="35" t="str">
        <f aca="true">IF(OR($B807="",$Q807=""),"",DATEDIF($Q807,TODAY(),"Y"))</f>
        <v/>
      </c>
      <c r="S807" s="40" t="str">
        <f aca="false">IF($R807="","",INDEX(usia_label,MATCH($R807,usia_min,1)))</f>
        <v/>
      </c>
      <c r="T807" s="36"/>
      <c r="U807" s="41"/>
      <c r="V807" s="36"/>
      <c r="W807" s="36"/>
      <c r="X807" s="40" t="str">
        <f aca="false">IF($M807="","",$M807&amp;"#"&amp;COUNTIF($M$4:$M807,$M807))</f>
        <v/>
      </c>
      <c r="Y807" s="40" t="str">
        <f aca="false">IF($B807="","",IF($C807="","NIK kosong",IF(LEN($C807)&lt;&gt;16,"NIK bukan 16 digit",IF(COUNTIF($C$4:$C$2003,$C807&amp;"*")&gt;1,"NIK ganda",IF(AND($D807&lt;&gt;"",LEN($D807)&lt;&gt;16),"No. KK bukan 16 digit",IF(AND($F807="",$I807=""),"Alamat kosong",IF($N807="","Jabatan kosong",IF($O807="","No. HP kosong",IF(AND($R807&lt;&gt;"",$R807&lt;17),"Usia di bawah 17","")))))))))</f>
        <v/>
      </c>
      <c r="Z807" s="40" t="str">
        <f aca="false">IF($B807="","",IF(AND(OR(CARI!$C$5="",ISNUMBER(SEARCH(CARI!$C$5,$B807&amp;" "&amp;$C807&amp;" "&amp;$D807&amp;" "&amp;$O807&amp;" "&amp;$I807&amp;" "&amp;$F807&amp;" "&amp;$J807&amp;" "&amp;$K807&amp;" "&amp;$L807&amp;" "&amp;$V807))),OR(CARI!$C$6="",$F807=CARI!$C$6),OR(CARI!$C$7="",$G807=CARI!$C$7),OR(CARI!$C$8="",$T807=CARI!$C$8)),MAX($Z$3:Z806)+1,""))</f>
        <v/>
      </c>
      <c r="AA807" s="40" t="str">
        <f aca="false">IF($Y807="","",MAX($AA$3:AA806)+1)</f>
        <v/>
      </c>
      <c r="AB807" s="40" t="str">
        <f aca="false">IF($F807="","",$F807&amp;"#"&amp;COUNTIF($F$4:$F807,$F807))</f>
        <v/>
      </c>
      <c r="AC807" s="40" t="str">
        <f aca="false">IF($B807="","",IF(AND(OR(CETAK!$J$10="",$F807=CETAK!$J$10),OR(CETAK!$J$11="",$G807=CETAK!$J$11),OR(CETAK!$J$12="",$P807=CETAK!$J$12),OR(CETAK!$J$13="",$N807=CETAK!$J$13),OR(CETAK!$J$14="",$T807=CETAK!$J$14)),MAX($AC$3:AC806)+1,""))</f>
        <v/>
      </c>
      <c r="AD807" s="40" t="str">
        <f aca="false">IF($B807="","",IF(AND(OR(ABSENSI!$H$10="",$F807=ABSENSI!$H$10),OR(ABSENSI!$H$11="",$G807=ABSENSI!$H$11),OR(ABSENSI!$H$12="",$P807=ABSENSI!$H$12)),MAX($AD$3:AD806)+1,""))</f>
        <v/>
      </c>
      <c r="AE807" s="40" t="str">
        <f aca="false">IF($B807="","",IF(AND(OR(KARTU!$K$6="",$F807=KARTU!$K$6),OR(KARTU!$K$7="",$G807=KARTU!$K$7),OR(KARTU!$K$8="",$P807=KARTU!$K$8)),MAX($AE$3:AE806)+1,""))</f>
        <v/>
      </c>
    </row>
    <row r="808" customFormat="false" ht="15" hidden="false" customHeight="false" outlineLevel="0" collapsed="false">
      <c r="A808" s="35" t="str">
        <f aca="false">IF($B808="","",COUNTA($B$4:$B808))</f>
        <v/>
      </c>
      <c r="B808" s="36"/>
      <c r="C808" s="37"/>
      <c r="D808" s="37"/>
      <c r="E808" s="38"/>
      <c r="F808" s="36"/>
      <c r="G808" s="39"/>
      <c r="H808" s="39"/>
      <c r="I808" s="36"/>
      <c r="J808" s="36"/>
      <c r="K808" s="36"/>
      <c r="L808" s="36"/>
      <c r="M808" s="40" t="str">
        <f aca="false">IF($F808="","",$F808&amp;IF($G808="",""," - RT "&amp;$G808&amp;IF($H808="","","/"&amp;$H808)))</f>
        <v/>
      </c>
      <c r="N808" s="36"/>
      <c r="O808" s="37"/>
      <c r="P808" s="39"/>
      <c r="Q808" s="41"/>
      <c r="R808" s="35" t="str">
        <f aca="true">IF(OR($B808="",$Q808=""),"",DATEDIF($Q808,TODAY(),"Y"))</f>
        <v/>
      </c>
      <c r="S808" s="40" t="str">
        <f aca="false">IF($R808="","",INDEX(usia_label,MATCH($R808,usia_min,1)))</f>
        <v/>
      </c>
      <c r="T808" s="36"/>
      <c r="U808" s="41"/>
      <c r="V808" s="36"/>
      <c r="W808" s="36"/>
      <c r="X808" s="40" t="str">
        <f aca="false">IF($M808="","",$M808&amp;"#"&amp;COUNTIF($M$4:$M808,$M808))</f>
        <v/>
      </c>
      <c r="Y808" s="40" t="str">
        <f aca="false">IF($B808="","",IF($C808="","NIK kosong",IF(LEN($C808)&lt;&gt;16,"NIK bukan 16 digit",IF(COUNTIF($C$4:$C$2003,$C808&amp;"*")&gt;1,"NIK ganda",IF(AND($D808&lt;&gt;"",LEN($D808)&lt;&gt;16),"No. KK bukan 16 digit",IF(AND($F808="",$I808=""),"Alamat kosong",IF($N808="","Jabatan kosong",IF($O808="","No. HP kosong",IF(AND($R808&lt;&gt;"",$R808&lt;17),"Usia di bawah 17","")))))))))</f>
        <v/>
      </c>
      <c r="Z808" s="40" t="str">
        <f aca="false">IF($B808="","",IF(AND(OR(CARI!$C$5="",ISNUMBER(SEARCH(CARI!$C$5,$B808&amp;" "&amp;$C808&amp;" "&amp;$D808&amp;" "&amp;$O808&amp;" "&amp;$I808&amp;" "&amp;$F808&amp;" "&amp;$J808&amp;" "&amp;$K808&amp;" "&amp;$L808&amp;" "&amp;$V808))),OR(CARI!$C$6="",$F808=CARI!$C$6),OR(CARI!$C$7="",$G808=CARI!$C$7),OR(CARI!$C$8="",$T808=CARI!$C$8)),MAX($Z$3:Z807)+1,""))</f>
        <v/>
      </c>
      <c r="AA808" s="40" t="str">
        <f aca="false">IF($Y808="","",MAX($AA$3:AA807)+1)</f>
        <v/>
      </c>
      <c r="AB808" s="40" t="str">
        <f aca="false">IF($F808="","",$F808&amp;"#"&amp;COUNTIF($F$4:$F808,$F808))</f>
        <v/>
      </c>
      <c r="AC808" s="40" t="str">
        <f aca="false">IF($B808="","",IF(AND(OR(CETAK!$J$10="",$F808=CETAK!$J$10),OR(CETAK!$J$11="",$G808=CETAK!$J$11),OR(CETAK!$J$12="",$P808=CETAK!$J$12),OR(CETAK!$J$13="",$N808=CETAK!$J$13),OR(CETAK!$J$14="",$T808=CETAK!$J$14)),MAX($AC$3:AC807)+1,""))</f>
        <v/>
      </c>
      <c r="AD808" s="40" t="str">
        <f aca="false">IF($B808="","",IF(AND(OR(ABSENSI!$H$10="",$F808=ABSENSI!$H$10),OR(ABSENSI!$H$11="",$G808=ABSENSI!$H$11),OR(ABSENSI!$H$12="",$P808=ABSENSI!$H$12)),MAX($AD$3:AD807)+1,""))</f>
        <v/>
      </c>
      <c r="AE808" s="40" t="str">
        <f aca="false">IF($B808="","",IF(AND(OR(KARTU!$K$6="",$F808=KARTU!$K$6),OR(KARTU!$K$7="",$G808=KARTU!$K$7),OR(KARTU!$K$8="",$P808=KARTU!$K$8)),MAX($AE$3:AE807)+1,""))</f>
        <v/>
      </c>
    </row>
    <row r="809" customFormat="false" ht="15" hidden="false" customHeight="false" outlineLevel="0" collapsed="false">
      <c r="A809" s="35" t="str">
        <f aca="false">IF($B809="","",COUNTA($B$4:$B809))</f>
        <v/>
      </c>
      <c r="B809" s="36"/>
      <c r="C809" s="37"/>
      <c r="D809" s="37"/>
      <c r="E809" s="38"/>
      <c r="F809" s="36"/>
      <c r="G809" s="39"/>
      <c r="H809" s="39"/>
      <c r="I809" s="36"/>
      <c r="J809" s="36"/>
      <c r="K809" s="36"/>
      <c r="L809" s="36"/>
      <c r="M809" s="40" t="str">
        <f aca="false">IF($F809="","",$F809&amp;IF($G809="",""," - RT "&amp;$G809&amp;IF($H809="","","/"&amp;$H809)))</f>
        <v/>
      </c>
      <c r="N809" s="36"/>
      <c r="O809" s="37"/>
      <c r="P809" s="39"/>
      <c r="Q809" s="41"/>
      <c r="R809" s="35" t="str">
        <f aca="true">IF(OR($B809="",$Q809=""),"",DATEDIF($Q809,TODAY(),"Y"))</f>
        <v/>
      </c>
      <c r="S809" s="40" t="str">
        <f aca="false">IF($R809="","",INDEX(usia_label,MATCH($R809,usia_min,1)))</f>
        <v/>
      </c>
      <c r="T809" s="36"/>
      <c r="U809" s="41"/>
      <c r="V809" s="36"/>
      <c r="W809" s="36"/>
      <c r="X809" s="40" t="str">
        <f aca="false">IF($M809="","",$M809&amp;"#"&amp;COUNTIF($M$4:$M809,$M809))</f>
        <v/>
      </c>
      <c r="Y809" s="40" t="str">
        <f aca="false">IF($B809="","",IF($C809="","NIK kosong",IF(LEN($C809)&lt;&gt;16,"NIK bukan 16 digit",IF(COUNTIF($C$4:$C$2003,$C809&amp;"*")&gt;1,"NIK ganda",IF(AND($D809&lt;&gt;"",LEN($D809)&lt;&gt;16),"No. KK bukan 16 digit",IF(AND($F809="",$I809=""),"Alamat kosong",IF($N809="","Jabatan kosong",IF($O809="","No. HP kosong",IF(AND($R809&lt;&gt;"",$R809&lt;17),"Usia di bawah 17","")))))))))</f>
        <v/>
      </c>
      <c r="Z809" s="40" t="str">
        <f aca="false">IF($B809="","",IF(AND(OR(CARI!$C$5="",ISNUMBER(SEARCH(CARI!$C$5,$B809&amp;" "&amp;$C809&amp;" "&amp;$D809&amp;" "&amp;$O809&amp;" "&amp;$I809&amp;" "&amp;$F809&amp;" "&amp;$J809&amp;" "&amp;$K809&amp;" "&amp;$L809&amp;" "&amp;$V809))),OR(CARI!$C$6="",$F809=CARI!$C$6),OR(CARI!$C$7="",$G809=CARI!$C$7),OR(CARI!$C$8="",$T809=CARI!$C$8)),MAX($Z$3:Z808)+1,""))</f>
        <v/>
      </c>
      <c r="AA809" s="40" t="str">
        <f aca="false">IF($Y809="","",MAX($AA$3:AA808)+1)</f>
        <v/>
      </c>
      <c r="AB809" s="40" t="str">
        <f aca="false">IF($F809="","",$F809&amp;"#"&amp;COUNTIF($F$4:$F809,$F809))</f>
        <v/>
      </c>
      <c r="AC809" s="40" t="str">
        <f aca="false">IF($B809="","",IF(AND(OR(CETAK!$J$10="",$F809=CETAK!$J$10),OR(CETAK!$J$11="",$G809=CETAK!$J$11),OR(CETAK!$J$12="",$P809=CETAK!$J$12),OR(CETAK!$J$13="",$N809=CETAK!$J$13),OR(CETAK!$J$14="",$T809=CETAK!$J$14)),MAX($AC$3:AC808)+1,""))</f>
        <v/>
      </c>
      <c r="AD809" s="40" t="str">
        <f aca="false">IF($B809="","",IF(AND(OR(ABSENSI!$H$10="",$F809=ABSENSI!$H$10),OR(ABSENSI!$H$11="",$G809=ABSENSI!$H$11),OR(ABSENSI!$H$12="",$P809=ABSENSI!$H$12)),MAX($AD$3:AD808)+1,""))</f>
        <v/>
      </c>
      <c r="AE809" s="40" t="str">
        <f aca="false">IF($B809="","",IF(AND(OR(KARTU!$K$6="",$F809=KARTU!$K$6),OR(KARTU!$K$7="",$G809=KARTU!$K$7),OR(KARTU!$K$8="",$P809=KARTU!$K$8)),MAX($AE$3:AE808)+1,""))</f>
        <v/>
      </c>
    </row>
    <row r="810" customFormat="false" ht="15" hidden="false" customHeight="false" outlineLevel="0" collapsed="false">
      <c r="A810" s="35" t="str">
        <f aca="false">IF($B810="","",COUNTA($B$4:$B810))</f>
        <v/>
      </c>
      <c r="B810" s="36"/>
      <c r="C810" s="37"/>
      <c r="D810" s="37"/>
      <c r="E810" s="38"/>
      <c r="F810" s="36"/>
      <c r="G810" s="39"/>
      <c r="H810" s="39"/>
      <c r="I810" s="36"/>
      <c r="J810" s="36"/>
      <c r="K810" s="36"/>
      <c r="L810" s="36"/>
      <c r="M810" s="40" t="str">
        <f aca="false">IF($F810="","",$F810&amp;IF($G810="",""," - RT "&amp;$G810&amp;IF($H810="","","/"&amp;$H810)))</f>
        <v/>
      </c>
      <c r="N810" s="36"/>
      <c r="O810" s="37"/>
      <c r="P810" s="39"/>
      <c r="Q810" s="41"/>
      <c r="R810" s="35" t="str">
        <f aca="true">IF(OR($B810="",$Q810=""),"",DATEDIF($Q810,TODAY(),"Y"))</f>
        <v/>
      </c>
      <c r="S810" s="40" t="str">
        <f aca="false">IF($R810="","",INDEX(usia_label,MATCH($R810,usia_min,1)))</f>
        <v/>
      </c>
      <c r="T810" s="36"/>
      <c r="U810" s="41"/>
      <c r="V810" s="36"/>
      <c r="W810" s="36"/>
      <c r="X810" s="40" t="str">
        <f aca="false">IF($M810="","",$M810&amp;"#"&amp;COUNTIF($M$4:$M810,$M810))</f>
        <v/>
      </c>
      <c r="Y810" s="40" t="str">
        <f aca="false">IF($B810="","",IF($C810="","NIK kosong",IF(LEN($C810)&lt;&gt;16,"NIK bukan 16 digit",IF(COUNTIF($C$4:$C$2003,$C810&amp;"*")&gt;1,"NIK ganda",IF(AND($D810&lt;&gt;"",LEN($D810)&lt;&gt;16),"No. KK bukan 16 digit",IF(AND($F810="",$I810=""),"Alamat kosong",IF($N810="","Jabatan kosong",IF($O810="","No. HP kosong",IF(AND($R810&lt;&gt;"",$R810&lt;17),"Usia di bawah 17","")))))))))</f>
        <v/>
      </c>
      <c r="Z810" s="40" t="str">
        <f aca="false">IF($B810="","",IF(AND(OR(CARI!$C$5="",ISNUMBER(SEARCH(CARI!$C$5,$B810&amp;" "&amp;$C810&amp;" "&amp;$D810&amp;" "&amp;$O810&amp;" "&amp;$I810&amp;" "&amp;$F810&amp;" "&amp;$J810&amp;" "&amp;$K810&amp;" "&amp;$L810&amp;" "&amp;$V810))),OR(CARI!$C$6="",$F810=CARI!$C$6),OR(CARI!$C$7="",$G810=CARI!$C$7),OR(CARI!$C$8="",$T810=CARI!$C$8)),MAX($Z$3:Z809)+1,""))</f>
        <v/>
      </c>
      <c r="AA810" s="40" t="str">
        <f aca="false">IF($Y810="","",MAX($AA$3:AA809)+1)</f>
        <v/>
      </c>
      <c r="AB810" s="40" t="str">
        <f aca="false">IF($F810="","",$F810&amp;"#"&amp;COUNTIF($F$4:$F810,$F810))</f>
        <v/>
      </c>
      <c r="AC810" s="40" t="str">
        <f aca="false">IF($B810="","",IF(AND(OR(CETAK!$J$10="",$F810=CETAK!$J$10),OR(CETAK!$J$11="",$G810=CETAK!$J$11),OR(CETAK!$J$12="",$P810=CETAK!$J$12),OR(CETAK!$J$13="",$N810=CETAK!$J$13),OR(CETAK!$J$14="",$T810=CETAK!$J$14)),MAX($AC$3:AC809)+1,""))</f>
        <v/>
      </c>
      <c r="AD810" s="40" t="str">
        <f aca="false">IF($B810="","",IF(AND(OR(ABSENSI!$H$10="",$F810=ABSENSI!$H$10),OR(ABSENSI!$H$11="",$G810=ABSENSI!$H$11),OR(ABSENSI!$H$12="",$P810=ABSENSI!$H$12)),MAX($AD$3:AD809)+1,""))</f>
        <v/>
      </c>
      <c r="AE810" s="40" t="str">
        <f aca="false">IF($B810="","",IF(AND(OR(KARTU!$K$6="",$F810=KARTU!$K$6),OR(KARTU!$K$7="",$G810=KARTU!$K$7),OR(KARTU!$K$8="",$P810=KARTU!$K$8)),MAX($AE$3:AE809)+1,""))</f>
        <v/>
      </c>
    </row>
    <row r="811" customFormat="false" ht="15" hidden="false" customHeight="false" outlineLevel="0" collapsed="false">
      <c r="A811" s="35" t="str">
        <f aca="false">IF($B811="","",COUNTA($B$4:$B811))</f>
        <v/>
      </c>
      <c r="B811" s="36"/>
      <c r="C811" s="37"/>
      <c r="D811" s="37"/>
      <c r="E811" s="38"/>
      <c r="F811" s="36"/>
      <c r="G811" s="39"/>
      <c r="H811" s="39"/>
      <c r="I811" s="36"/>
      <c r="J811" s="36"/>
      <c r="K811" s="36"/>
      <c r="L811" s="36"/>
      <c r="M811" s="40" t="str">
        <f aca="false">IF($F811="","",$F811&amp;IF($G811="",""," - RT "&amp;$G811&amp;IF($H811="","","/"&amp;$H811)))</f>
        <v/>
      </c>
      <c r="N811" s="36"/>
      <c r="O811" s="37"/>
      <c r="P811" s="39"/>
      <c r="Q811" s="41"/>
      <c r="R811" s="35" t="str">
        <f aca="true">IF(OR($B811="",$Q811=""),"",DATEDIF($Q811,TODAY(),"Y"))</f>
        <v/>
      </c>
      <c r="S811" s="40" t="str">
        <f aca="false">IF($R811="","",INDEX(usia_label,MATCH($R811,usia_min,1)))</f>
        <v/>
      </c>
      <c r="T811" s="36"/>
      <c r="U811" s="41"/>
      <c r="V811" s="36"/>
      <c r="W811" s="36"/>
      <c r="X811" s="40" t="str">
        <f aca="false">IF($M811="","",$M811&amp;"#"&amp;COUNTIF($M$4:$M811,$M811))</f>
        <v/>
      </c>
      <c r="Y811" s="40" t="str">
        <f aca="false">IF($B811="","",IF($C811="","NIK kosong",IF(LEN($C811)&lt;&gt;16,"NIK bukan 16 digit",IF(COUNTIF($C$4:$C$2003,$C811&amp;"*")&gt;1,"NIK ganda",IF(AND($D811&lt;&gt;"",LEN($D811)&lt;&gt;16),"No. KK bukan 16 digit",IF(AND($F811="",$I811=""),"Alamat kosong",IF($N811="","Jabatan kosong",IF($O811="","No. HP kosong",IF(AND($R811&lt;&gt;"",$R811&lt;17),"Usia di bawah 17","")))))))))</f>
        <v/>
      </c>
      <c r="Z811" s="40" t="str">
        <f aca="false">IF($B811="","",IF(AND(OR(CARI!$C$5="",ISNUMBER(SEARCH(CARI!$C$5,$B811&amp;" "&amp;$C811&amp;" "&amp;$D811&amp;" "&amp;$O811&amp;" "&amp;$I811&amp;" "&amp;$F811&amp;" "&amp;$J811&amp;" "&amp;$K811&amp;" "&amp;$L811&amp;" "&amp;$V811))),OR(CARI!$C$6="",$F811=CARI!$C$6),OR(CARI!$C$7="",$G811=CARI!$C$7),OR(CARI!$C$8="",$T811=CARI!$C$8)),MAX($Z$3:Z810)+1,""))</f>
        <v/>
      </c>
      <c r="AA811" s="40" t="str">
        <f aca="false">IF($Y811="","",MAX($AA$3:AA810)+1)</f>
        <v/>
      </c>
      <c r="AB811" s="40" t="str">
        <f aca="false">IF($F811="","",$F811&amp;"#"&amp;COUNTIF($F$4:$F811,$F811))</f>
        <v/>
      </c>
      <c r="AC811" s="40" t="str">
        <f aca="false">IF($B811="","",IF(AND(OR(CETAK!$J$10="",$F811=CETAK!$J$10),OR(CETAK!$J$11="",$G811=CETAK!$J$11),OR(CETAK!$J$12="",$P811=CETAK!$J$12),OR(CETAK!$J$13="",$N811=CETAK!$J$13),OR(CETAK!$J$14="",$T811=CETAK!$J$14)),MAX($AC$3:AC810)+1,""))</f>
        <v/>
      </c>
      <c r="AD811" s="40" t="str">
        <f aca="false">IF($B811="","",IF(AND(OR(ABSENSI!$H$10="",$F811=ABSENSI!$H$10),OR(ABSENSI!$H$11="",$G811=ABSENSI!$H$11),OR(ABSENSI!$H$12="",$P811=ABSENSI!$H$12)),MAX($AD$3:AD810)+1,""))</f>
        <v/>
      </c>
      <c r="AE811" s="40" t="str">
        <f aca="false">IF($B811="","",IF(AND(OR(KARTU!$K$6="",$F811=KARTU!$K$6),OR(KARTU!$K$7="",$G811=KARTU!$K$7),OR(KARTU!$K$8="",$P811=KARTU!$K$8)),MAX($AE$3:AE810)+1,""))</f>
        <v/>
      </c>
    </row>
    <row r="812" customFormat="false" ht="15" hidden="false" customHeight="false" outlineLevel="0" collapsed="false">
      <c r="A812" s="35" t="str">
        <f aca="false">IF($B812="","",COUNTA($B$4:$B812))</f>
        <v/>
      </c>
      <c r="B812" s="36"/>
      <c r="C812" s="37"/>
      <c r="D812" s="37"/>
      <c r="E812" s="38"/>
      <c r="F812" s="36"/>
      <c r="G812" s="39"/>
      <c r="H812" s="39"/>
      <c r="I812" s="36"/>
      <c r="J812" s="36"/>
      <c r="K812" s="36"/>
      <c r="L812" s="36"/>
      <c r="M812" s="40" t="str">
        <f aca="false">IF($F812="","",$F812&amp;IF($G812="",""," - RT "&amp;$G812&amp;IF($H812="","","/"&amp;$H812)))</f>
        <v/>
      </c>
      <c r="N812" s="36"/>
      <c r="O812" s="37"/>
      <c r="P812" s="39"/>
      <c r="Q812" s="41"/>
      <c r="R812" s="35" t="str">
        <f aca="true">IF(OR($B812="",$Q812=""),"",DATEDIF($Q812,TODAY(),"Y"))</f>
        <v/>
      </c>
      <c r="S812" s="40" t="str">
        <f aca="false">IF($R812="","",INDEX(usia_label,MATCH($R812,usia_min,1)))</f>
        <v/>
      </c>
      <c r="T812" s="36"/>
      <c r="U812" s="41"/>
      <c r="V812" s="36"/>
      <c r="W812" s="36"/>
      <c r="X812" s="40" t="str">
        <f aca="false">IF($M812="","",$M812&amp;"#"&amp;COUNTIF($M$4:$M812,$M812))</f>
        <v/>
      </c>
      <c r="Y812" s="40" t="str">
        <f aca="false">IF($B812="","",IF($C812="","NIK kosong",IF(LEN($C812)&lt;&gt;16,"NIK bukan 16 digit",IF(COUNTIF($C$4:$C$2003,$C812&amp;"*")&gt;1,"NIK ganda",IF(AND($D812&lt;&gt;"",LEN($D812)&lt;&gt;16),"No. KK bukan 16 digit",IF(AND($F812="",$I812=""),"Alamat kosong",IF($N812="","Jabatan kosong",IF($O812="","No. HP kosong",IF(AND($R812&lt;&gt;"",$R812&lt;17),"Usia di bawah 17","")))))))))</f>
        <v/>
      </c>
      <c r="Z812" s="40" t="str">
        <f aca="false">IF($B812="","",IF(AND(OR(CARI!$C$5="",ISNUMBER(SEARCH(CARI!$C$5,$B812&amp;" "&amp;$C812&amp;" "&amp;$D812&amp;" "&amp;$O812&amp;" "&amp;$I812&amp;" "&amp;$F812&amp;" "&amp;$J812&amp;" "&amp;$K812&amp;" "&amp;$L812&amp;" "&amp;$V812))),OR(CARI!$C$6="",$F812=CARI!$C$6),OR(CARI!$C$7="",$G812=CARI!$C$7),OR(CARI!$C$8="",$T812=CARI!$C$8)),MAX($Z$3:Z811)+1,""))</f>
        <v/>
      </c>
      <c r="AA812" s="40" t="str">
        <f aca="false">IF($Y812="","",MAX($AA$3:AA811)+1)</f>
        <v/>
      </c>
      <c r="AB812" s="40" t="str">
        <f aca="false">IF($F812="","",$F812&amp;"#"&amp;COUNTIF($F$4:$F812,$F812))</f>
        <v/>
      </c>
      <c r="AC812" s="40" t="str">
        <f aca="false">IF($B812="","",IF(AND(OR(CETAK!$J$10="",$F812=CETAK!$J$10),OR(CETAK!$J$11="",$G812=CETAK!$J$11),OR(CETAK!$J$12="",$P812=CETAK!$J$12),OR(CETAK!$J$13="",$N812=CETAK!$J$13),OR(CETAK!$J$14="",$T812=CETAK!$J$14)),MAX($AC$3:AC811)+1,""))</f>
        <v/>
      </c>
      <c r="AD812" s="40" t="str">
        <f aca="false">IF($B812="","",IF(AND(OR(ABSENSI!$H$10="",$F812=ABSENSI!$H$10),OR(ABSENSI!$H$11="",$G812=ABSENSI!$H$11),OR(ABSENSI!$H$12="",$P812=ABSENSI!$H$12)),MAX($AD$3:AD811)+1,""))</f>
        <v/>
      </c>
      <c r="AE812" s="40" t="str">
        <f aca="false">IF($B812="","",IF(AND(OR(KARTU!$K$6="",$F812=KARTU!$K$6),OR(KARTU!$K$7="",$G812=KARTU!$K$7),OR(KARTU!$K$8="",$P812=KARTU!$K$8)),MAX($AE$3:AE811)+1,""))</f>
        <v/>
      </c>
    </row>
    <row r="813" customFormat="false" ht="15" hidden="false" customHeight="false" outlineLevel="0" collapsed="false">
      <c r="A813" s="35" t="str">
        <f aca="false">IF($B813="","",COUNTA($B$4:$B813))</f>
        <v/>
      </c>
      <c r="B813" s="36"/>
      <c r="C813" s="37"/>
      <c r="D813" s="37"/>
      <c r="E813" s="38"/>
      <c r="F813" s="36"/>
      <c r="G813" s="39"/>
      <c r="H813" s="39"/>
      <c r="I813" s="36"/>
      <c r="J813" s="36"/>
      <c r="K813" s="36"/>
      <c r="L813" s="36"/>
      <c r="M813" s="40" t="str">
        <f aca="false">IF($F813="","",$F813&amp;IF($G813="",""," - RT "&amp;$G813&amp;IF($H813="","","/"&amp;$H813)))</f>
        <v/>
      </c>
      <c r="N813" s="36"/>
      <c r="O813" s="37"/>
      <c r="P813" s="39"/>
      <c r="Q813" s="41"/>
      <c r="R813" s="35" t="str">
        <f aca="true">IF(OR($B813="",$Q813=""),"",DATEDIF($Q813,TODAY(),"Y"))</f>
        <v/>
      </c>
      <c r="S813" s="40" t="str">
        <f aca="false">IF($R813="","",INDEX(usia_label,MATCH($R813,usia_min,1)))</f>
        <v/>
      </c>
      <c r="T813" s="36"/>
      <c r="U813" s="41"/>
      <c r="V813" s="36"/>
      <c r="W813" s="36"/>
      <c r="X813" s="40" t="str">
        <f aca="false">IF($M813="","",$M813&amp;"#"&amp;COUNTIF($M$4:$M813,$M813))</f>
        <v/>
      </c>
      <c r="Y813" s="40" t="str">
        <f aca="false">IF($B813="","",IF($C813="","NIK kosong",IF(LEN($C813)&lt;&gt;16,"NIK bukan 16 digit",IF(COUNTIF($C$4:$C$2003,$C813&amp;"*")&gt;1,"NIK ganda",IF(AND($D813&lt;&gt;"",LEN($D813)&lt;&gt;16),"No. KK bukan 16 digit",IF(AND($F813="",$I813=""),"Alamat kosong",IF($N813="","Jabatan kosong",IF($O813="","No. HP kosong",IF(AND($R813&lt;&gt;"",$R813&lt;17),"Usia di bawah 17","")))))))))</f>
        <v/>
      </c>
      <c r="Z813" s="40" t="str">
        <f aca="false">IF($B813="","",IF(AND(OR(CARI!$C$5="",ISNUMBER(SEARCH(CARI!$C$5,$B813&amp;" "&amp;$C813&amp;" "&amp;$D813&amp;" "&amp;$O813&amp;" "&amp;$I813&amp;" "&amp;$F813&amp;" "&amp;$J813&amp;" "&amp;$K813&amp;" "&amp;$L813&amp;" "&amp;$V813))),OR(CARI!$C$6="",$F813=CARI!$C$6),OR(CARI!$C$7="",$G813=CARI!$C$7),OR(CARI!$C$8="",$T813=CARI!$C$8)),MAX($Z$3:Z812)+1,""))</f>
        <v/>
      </c>
      <c r="AA813" s="40" t="str">
        <f aca="false">IF($Y813="","",MAX($AA$3:AA812)+1)</f>
        <v/>
      </c>
      <c r="AB813" s="40" t="str">
        <f aca="false">IF($F813="","",$F813&amp;"#"&amp;COUNTIF($F$4:$F813,$F813))</f>
        <v/>
      </c>
      <c r="AC813" s="40" t="str">
        <f aca="false">IF($B813="","",IF(AND(OR(CETAK!$J$10="",$F813=CETAK!$J$10),OR(CETAK!$J$11="",$G813=CETAK!$J$11),OR(CETAK!$J$12="",$P813=CETAK!$J$12),OR(CETAK!$J$13="",$N813=CETAK!$J$13),OR(CETAK!$J$14="",$T813=CETAK!$J$14)),MAX($AC$3:AC812)+1,""))</f>
        <v/>
      </c>
      <c r="AD813" s="40" t="str">
        <f aca="false">IF($B813="","",IF(AND(OR(ABSENSI!$H$10="",$F813=ABSENSI!$H$10),OR(ABSENSI!$H$11="",$G813=ABSENSI!$H$11),OR(ABSENSI!$H$12="",$P813=ABSENSI!$H$12)),MAX($AD$3:AD812)+1,""))</f>
        <v/>
      </c>
      <c r="AE813" s="40" t="str">
        <f aca="false">IF($B813="","",IF(AND(OR(KARTU!$K$6="",$F813=KARTU!$K$6),OR(KARTU!$K$7="",$G813=KARTU!$K$7),OR(KARTU!$K$8="",$P813=KARTU!$K$8)),MAX($AE$3:AE812)+1,""))</f>
        <v/>
      </c>
    </row>
    <row r="814" customFormat="false" ht="15" hidden="false" customHeight="false" outlineLevel="0" collapsed="false">
      <c r="A814" s="35" t="str">
        <f aca="false">IF($B814="","",COUNTA($B$4:$B814))</f>
        <v/>
      </c>
      <c r="B814" s="36"/>
      <c r="C814" s="37"/>
      <c r="D814" s="37"/>
      <c r="E814" s="38"/>
      <c r="F814" s="36"/>
      <c r="G814" s="39"/>
      <c r="H814" s="39"/>
      <c r="I814" s="36"/>
      <c r="J814" s="36"/>
      <c r="K814" s="36"/>
      <c r="L814" s="36"/>
      <c r="M814" s="40" t="str">
        <f aca="false">IF($F814="","",$F814&amp;IF($G814="",""," - RT "&amp;$G814&amp;IF($H814="","","/"&amp;$H814)))</f>
        <v/>
      </c>
      <c r="N814" s="36"/>
      <c r="O814" s="37"/>
      <c r="P814" s="39"/>
      <c r="Q814" s="41"/>
      <c r="R814" s="35" t="str">
        <f aca="true">IF(OR($B814="",$Q814=""),"",DATEDIF($Q814,TODAY(),"Y"))</f>
        <v/>
      </c>
      <c r="S814" s="40" t="str">
        <f aca="false">IF($R814="","",INDEX(usia_label,MATCH($R814,usia_min,1)))</f>
        <v/>
      </c>
      <c r="T814" s="36"/>
      <c r="U814" s="41"/>
      <c r="V814" s="36"/>
      <c r="W814" s="36"/>
      <c r="X814" s="40" t="str">
        <f aca="false">IF($M814="","",$M814&amp;"#"&amp;COUNTIF($M$4:$M814,$M814))</f>
        <v/>
      </c>
      <c r="Y814" s="40" t="str">
        <f aca="false">IF($B814="","",IF($C814="","NIK kosong",IF(LEN($C814)&lt;&gt;16,"NIK bukan 16 digit",IF(COUNTIF($C$4:$C$2003,$C814&amp;"*")&gt;1,"NIK ganda",IF(AND($D814&lt;&gt;"",LEN($D814)&lt;&gt;16),"No. KK bukan 16 digit",IF(AND($F814="",$I814=""),"Alamat kosong",IF($N814="","Jabatan kosong",IF($O814="","No. HP kosong",IF(AND($R814&lt;&gt;"",$R814&lt;17),"Usia di bawah 17","")))))))))</f>
        <v/>
      </c>
      <c r="Z814" s="40" t="str">
        <f aca="false">IF($B814="","",IF(AND(OR(CARI!$C$5="",ISNUMBER(SEARCH(CARI!$C$5,$B814&amp;" "&amp;$C814&amp;" "&amp;$D814&amp;" "&amp;$O814&amp;" "&amp;$I814&amp;" "&amp;$F814&amp;" "&amp;$J814&amp;" "&amp;$K814&amp;" "&amp;$L814&amp;" "&amp;$V814))),OR(CARI!$C$6="",$F814=CARI!$C$6),OR(CARI!$C$7="",$G814=CARI!$C$7),OR(CARI!$C$8="",$T814=CARI!$C$8)),MAX($Z$3:Z813)+1,""))</f>
        <v/>
      </c>
      <c r="AA814" s="40" t="str">
        <f aca="false">IF($Y814="","",MAX($AA$3:AA813)+1)</f>
        <v/>
      </c>
      <c r="AB814" s="40" t="str">
        <f aca="false">IF($F814="","",$F814&amp;"#"&amp;COUNTIF($F$4:$F814,$F814))</f>
        <v/>
      </c>
      <c r="AC814" s="40" t="str">
        <f aca="false">IF($B814="","",IF(AND(OR(CETAK!$J$10="",$F814=CETAK!$J$10),OR(CETAK!$J$11="",$G814=CETAK!$J$11),OR(CETAK!$J$12="",$P814=CETAK!$J$12),OR(CETAK!$J$13="",$N814=CETAK!$J$13),OR(CETAK!$J$14="",$T814=CETAK!$J$14)),MAX($AC$3:AC813)+1,""))</f>
        <v/>
      </c>
      <c r="AD814" s="40" t="str">
        <f aca="false">IF($B814="","",IF(AND(OR(ABSENSI!$H$10="",$F814=ABSENSI!$H$10),OR(ABSENSI!$H$11="",$G814=ABSENSI!$H$11),OR(ABSENSI!$H$12="",$P814=ABSENSI!$H$12)),MAX($AD$3:AD813)+1,""))</f>
        <v/>
      </c>
      <c r="AE814" s="40" t="str">
        <f aca="false">IF($B814="","",IF(AND(OR(KARTU!$K$6="",$F814=KARTU!$K$6),OR(KARTU!$K$7="",$G814=KARTU!$K$7),OR(KARTU!$K$8="",$P814=KARTU!$K$8)),MAX($AE$3:AE813)+1,""))</f>
        <v/>
      </c>
    </row>
    <row r="815" customFormat="false" ht="15" hidden="false" customHeight="false" outlineLevel="0" collapsed="false">
      <c r="A815" s="35" t="str">
        <f aca="false">IF($B815="","",COUNTA($B$4:$B815))</f>
        <v/>
      </c>
      <c r="B815" s="36"/>
      <c r="C815" s="37"/>
      <c r="D815" s="37"/>
      <c r="E815" s="38"/>
      <c r="F815" s="36"/>
      <c r="G815" s="39"/>
      <c r="H815" s="39"/>
      <c r="I815" s="36"/>
      <c r="J815" s="36"/>
      <c r="K815" s="36"/>
      <c r="L815" s="36"/>
      <c r="M815" s="40" t="str">
        <f aca="false">IF($F815="","",$F815&amp;IF($G815="",""," - RT "&amp;$G815&amp;IF($H815="","","/"&amp;$H815)))</f>
        <v/>
      </c>
      <c r="N815" s="36"/>
      <c r="O815" s="37"/>
      <c r="P815" s="39"/>
      <c r="Q815" s="41"/>
      <c r="R815" s="35" t="str">
        <f aca="true">IF(OR($B815="",$Q815=""),"",DATEDIF($Q815,TODAY(),"Y"))</f>
        <v/>
      </c>
      <c r="S815" s="40" t="str">
        <f aca="false">IF($R815="","",INDEX(usia_label,MATCH($R815,usia_min,1)))</f>
        <v/>
      </c>
      <c r="T815" s="36"/>
      <c r="U815" s="41"/>
      <c r="V815" s="36"/>
      <c r="W815" s="36"/>
      <c r="X815" s="40" t="str">
        <f aca="false">IF($M815="","",$M815&amp;"#"&amp;COUNTIF($M$4:$M815,$M815))</f>
        <v/>
      </c>
      <c r="Y815" s="40" t="str">
        <f aca="false">IF($B815="","",IF($C815="","NIK kosong",IF(LEN($C815)&lt;&gt;16,"NIK bukan 16 digit",IF(COUNTIF($C$4:$C$2003,$C815&amp;"*")&gt;1,"NIK ganda",IF(AND($D815&lt;&gt;"",LEN($D815)&lt;&gt;16),"No. KK bukan 16 digit",IF(AND($F815="",$I815=""),"Alamat kosong",IF($N815="","Jabatan kosong",IF($O815="","No. HP kosong",IF(AND($R815&lt;&gt;"",$R815&lt;17),"Usia di bawah 17","")))))))))</f>
        <v/>
      </c>
      <c r="Z815" s="40" t="str">
        <f aca="false">IF($B815="","",IF(AND(OR(CARI!$C$5="",ISNUMBER(SEARCH(CARI!$C$5,$B815&amp;" "&amp;$C815&amp;" "&amp;$D815&amp;" "&amp;$O815&amp;" "&amp;$I815&amp;" "&amp;$F815&amp;" "&amp;$J815&amp;" "&amp;$K815&amp;" "&amp;$L815&amp;" "&amp;$V815))),OR(CARI!$C$6="",$F815=CARI!$C$6),OR(CARI!$C$7="",$G815=CARI!$C$7),OR(CARI!$C$8="",$T815=CARI!$C$8)),MAX($Z$3:Z814)+1,""))</f>
        <v/>
      </c>
      <c r="AA815" s="40" t="str">
        <f aca="false">IF($Y815="","",MAX($AA$3:AA814)+1)</f>
        <v/>
      </c>
      <c r="AB815" s="40" t="str">
        <f aca="false">IF($F815="","",$F815&amp;"#"&amp;COUNTIF($F$4:$F815,$F815))</f>
        <v/>
      </c>
      <c r="AC815" s="40" t="str">
        <f aca="false">IF($B815="","",IF(AND(OR(CETAK!$J$10="",$F815=CETAK!$J$10),OR(CETAK!$J$11="",$G815=CETAK!$J$11),OR(CETAK!$J$12="",$P815=CETAK!$J$12),OR(CETAK!$J$13="",$N815=CETAK!$J$13),OR(CETAK!$J$14="",$T815=CETAK!$J$14)),MAX($AC$3:AC814)+1,""))</f>
        <v/>
      </c>
      <c r="AD815" s="40" t="str">
        <f aca="false">IF($B815="","",IF(AND(OR(ABSENSI!$H$10="",$F815=ABSENSI!$H$10),OR(ABSENSI!$H$11="",$G815=ABSENSI!$H$11),OR(ABSENSI!$H$12="",$P815=ABSENSI!$H$12)),MAX($AD$3:AD814)+1,""))</f>
        <v/>
      </c>
      <c r="AE815" s="40" t="str">
        <f aca="false">IF($B815="","",IF(AND(OR(KARTU!$K$6="",$F815=KARTU!$K$6),OR(KARTU!$K$7="",$G815=KARTU!$K$7),OR(KARTU!$K$8="",$P815=KARTU!$K$8)),MAX($AE$3:AE814)+1,""))</f>
        <v/>
      </c>
    </row>
    <row r="816" customFormat="false" ht="15" hidden="false" customHeight="false" outlineLevel="0" collapsed="false">
      <c r="A816" s="35" t="str">
        <f aca="false">IF($B816="","",COUNTA($B$4:$B816))</f>
        <v/>
      </c>
      <c r="B816" s="36"/>
      <c r="C816" s="37"/>
      <c r="D816" s="37"/>
      <c r="E816" s="38"/>
      <c r="F816" s="36"/>
      <c r="G816" s="39"/>
      <c r="H816" s="39"/>
      <c r="I816" s="36"/>
      <c r="J816" s="36"/>
      <c r="K816" s="36"/>
      <c r="L816" s="36"/>
      <c r="M816" s="40" t="str">
        <f aca="false">IF($F816="","",$F816&amp;IF($G816="",""," - RT "&amp;$G816&amp;IF($H816="","","/"&amp;$H816)))</f>
        <v/>
      </c>
      <c r="N816" s="36"/>
      <c r="O816" s="37"/>
      <c r="P816" s="39"/>
      <c r="Q816" s="41"/>
      <c r="R816" s="35" t="str">
        <f aca="true">IF(OR($B816="",$Q816=""),"",DATEDIF($Q816,TODAY(),"Y"))</f>
        <v/>
      </c>
      <c r="S816" s="40" t="str">
        <f aca="false">IF($R816="","",INDEX(usia_label,MATCH($R816,usia_min,1)))</f>
        <v/>
      </c>
      <c r="T816" s="36"/>
      <c r="U816" s="41"/>
      <c r="V816" s="36"/>
      <c r="W816" s="36"/>
      <c r="X816" s="40" t="str">
        <f aca="false">IF($M816="","",$M816&amp;"#"&amp;COUNTIF($M$4:$M816,$M816))</f>
        <v/>
      </c>
      <c r="Y816" s="40" t="str">
        <f aca="false">IF($B816="","",IF($C816="","NIK kosong",IF(LEN($C816)&lt;&gt;16,"NIK bukan 16 digit",IF(COUNTIF($C$4:$C$2003,$C816&amp;"*")&gt;1,"NIK ganda",IF(AND($D816&lt;&gt;"",LEN($D816)&lt;&gt;16),"No. KK bukan 16 digit",IF(AND($F816="",$I816=""),"Alamat kosong",IF($N816="","Jabatan kosong",IF($O816="","No. HP kosong",IF(AND($R816&lt;&gt;"",$R816&lt;17),"Usia di bawah 17","")))))))))</f>
        <v/>
      </c>
      <c r="Z816" s="40" t="str">
        <f aca="false">IF($B816="","",IF(AND(OR(CARI!$C$5="",ISNUMBER(SEARCH(CARI!$C$5,$B816&amp;" "&amp;$C816&amp;" "&amp;$D816&amp;" "&amp;$O816&amp;" "&amp;$I816&amp;" "&amp;$F816&amp;" "&amp;$J816&amp;" "&amp;$K816&amp;" "&amp;$L816&amp;" "&amp;$V816))),OR(CARI!$C$6="",$F816=CARI!$C$6),OR(CARI!$C$7="",$G816=CARI!$C$7),OR(CARI!$C$8="",$T816=CARI!$C$8)),MAX($Z$3:Z815)+1,""))</f>
        <v/>
      </c>
      <c r="AA816" s="40" t="str">
        <f aca="false">IF($Y816="","",MAX($AA$3:AA815)+1)</f>
        <v/>
      </c>
      <c r="AB816" s="40" t="str">
        <f aca="false">IF($F816="","",$F816&amp;"#"&amp;COUNTIF($F$4:$F816,$F816))</f>
        <v/>
      </c>
      <c r="AC816" s="40" t="str">
        <f aca="false">IF($B816="","",IF(AND(OR(CETAK!$J$10="",$F816=CETAK!$J$10),OR(CETAK!$J$11="",$G816=CETAK!$J$11),OR(CETAK!$J$12="",$P816=CETAK!$J$12),OR(CETAK!$J$13="",$N816=CETAK!$J$13),OR(CETAK!$J$14="",$T816=CETAK!$J$14)),MAX($AC$3:AC815)+1,""))</f>
        <v/>
      </c>
      <c r="AD816" s="40" t="str">
        <f aca="false">IF($B816="","",IF(AND(OR(ABSENSI!$H$10="",$F816=ABSENSI!$H$10),OR(ABSENSI!$H$11="",$G816=ABSENSI!$H$11),OR(ABSENSI!$H$12="",$P816=ABSENSI!$H$12)),MAX($AD$3:AD815)+1,""))</f>
        <v/>
      </c>
      <c r="AE816" s="40" t="str">
        <f aca="false">IF($B816="","",IF(AND(OR(KARTU!$K$6="",$F816=KARTU!$K$6),OR(KARTU!$K$7="",$G816=KARTU!$K$7),OR(KARTU!$K$8="",$P816=KARTU!$K$8)),MAX($AE$3:AE815)+1,""))</f>
        <v/>
      </c>
    </row>
    <row r="817" customFormat="false" ht="15" hidden="false" customHeight="false" outlineLevel="0" collapsed="false">
      <c r="A817" s="35" t="str">
        <f aca="false">IF($B817="","",COUNTA($B$4:$B817))</f>
        <v/>
      </c>
      <c r="B817" s="36"/>
      <c r="C817" s="37"/>
      <c r="D817" s="37"/>
      <c r="E817" s="38"/>
      <c r="F817" s="36"/>
      <c r="G817" s="39"/>
      <c r="H817" s="39"/>
      <c r="I817" s="36"/>
      <c r="J817" s="36"/>
      <c r="K817" s="36"/>
      <c r="L817" s="36"/>
      <c r="M817" s="40" t="str">
        <f aca="false">IF($F817="","",$F817&amp;IF($G817="",""," - RT "&amp;$G817&amp;IF($H817="","","/"&amp;$H817)))</f>
        <v/>
      </c>
      <c r="N817" s="36"/>
      <c r="O817" s="37"/>
      <c r="P817" s="39"/>
      <c r="Q817" s="41"/>
      <c r="R817" s="35" t="str">
        <f aca="true">IF(OR($B817="",$Q817=""),"",DATEDIF($Q817,TODAY(),"Y"))</f>
        <v/>
      </c>
      <c r="S817" s="40" t="str">
        <f aca="false">IF($R817="","",INDEX(usia_label,MATCH($R817,usia_min,1)))</f>
        <v/>
      </c>
      <c r="T817" s="36"/>
      <c r="U817" s="41"/>
      <c r="V817" s="36"/>
      <c r="W817" s="36"/>
      <c r="X817" s="40" t="str">
        <f aca="false">IF($M817="","",$M817&amp;"#"&amp;COUNTIF($M$4:$M817,$M817))</f>
        <v/>
      </c>
      <c r="Y817" s="40" t="str">
        <f aca="false">IF($B817="","",IF($C817="","NIK kosong",IF(LEN($C817)&lt;&gt;16,"NIK bukan 16 digit",IF(COUNTIF($C$4:$C$2003,$C817&amp;"*")&gt;1,"NIK ganda",IF(AND($D817&lt;&gt;"",LEN($D817)&lt;&gt;16),"No. KK bukan 16 digit",IF(AND($F817="",$I817=""),"Alamat kosong",IF($N817="","Jabatan kosong",IF($O817="","No. HP kosong",IF(AND($R817&lt;&gt;"",$R817&lt;17),"Usia di bawah 17","")))))))))</f>
        <v/>
      </c>
      <c r="Z817" s="40" t="str">
        <f aca="false">IF($B817="","",IF(AND(OR(CARI!$C$5="",ISNUMBER(SEARCH(CARI!$C$5,$B817&amp;" "&amp;$C817&amp;" "&amp;$D817&amp;" "&amp;$O817&amp;" "&amp;$I817&amp;" "&amp;$F817&amp;" "&amp;$J817&amp;" "&amp;$K817&amp;" "&amp;$L817&amp;" "&amp;$V817))),OR(CARI!$C$6="",$F817=CARI!$C$6),OR(CARI!$C$7="",$G817=CARI!$C$7),OR(CARI!$C$8="",$T817=CARI!$C$8)),MAX($Z$3:Z816)+1,""))</f>
        <v/>
      </c>
      <c r="AA817" s="40" t="str">
        <f aca="false">IF($Y817="","",MAX($AA$3:AA816)+1)</f>
        <v/>
      </c>
      <c r="AB817" s="40" t="str">
        <f aca="false">IF($F817="","",$F817&amp;"#"&amp;COUNTIF($F$4:$F817,$F817))</f>
        <v/>
      </c>
      <c r="AC817" s="40" t="str">
        <f aca="false">IF($B817="","",IF(AND(OR(CETAK!$J$10="",$F817=CETAK!$J$10),OR(CETAK!$J$11="",$G817=CETAK!$J$11),OR(CETAK!$J$12="",$P817=CETAK!$J$12),OR(CETAK!$J$13="",$N817=CETAK!$J$13),OR(CETAK!$J$14="",$T817=CETAK!$J$14)),MAX($AC$3:AC816)+1,""))</f>
        <v/>
      </c>
      <c r="AD817" s="40" t="str">
        <f aca="false">IF($B817="","",IF(AND(OR(ABSENSI!$H$10="",$F817=ABSENSI!$H$10),OR(ABSENSI!$H$11="",$G817=ABSENSI!$H$11),OR(ABSENSI!$H$12="",$P817=ABSENSI!$H$12)),MAX($AD$3:AD816)+1,""))</f>
        <v/>
      </c>
      <c r="AE817" s="40" t="str">
        <f aca="false">IF($B817="","",IF(AND(OR(KARTU!$K$6="",$F817=KARTU!$K$6),OR(KARTU!$K$7="",$G817=KARTU!$K$7),OR(KARTU!$K$8="",$P817=KARTU!$K$8)),MAX($AE$3:AE816)+1,""))</f>
        <v/>
      </c>
    </row>
    <row r="818" customFormat="false" ht="15" hidden="false" customHeight="false" outlineLevel="0" collapsed="false">
      <c r="A818" s="35" t="str">
        <f aca="false">IF($B818="","",COUNTA($B$4:$B818))</f>
        <v/>
      </c>
      <c r="B818" s="36"/>
      <c r="C818" s="37"/>
      <c r="D818" s="37"/>
      <c r="E818" s="38"/>
      <c r="F818" s="36"/>
      <c r="G818" s="39"/>
      <c r="H818" s="39"/>
      <c r="I818" s="36"/>
      <c r="J818" s="36"/>
      <c r="K818" s="36"/>
      <c r="L818" s="36"/>
      <c r="M818" s="40" t="str">
        <f aca="false">IF($F818="","",$F818&amp;IF($G818="",""," - RT "&amp;$G818&amp;IF($H818="","","/"&amp;$H818)))</f>
        <v/>
      </c>
      <c r="N818" s="36"/>
      <c r="O818" s="37"/>
      <c r="P818" s="39"/>
      <c r="Q818" s="41"/>
      <c r="R818" s="35" t="str">
        <f aca="true">IF(OR($B818="",$Q818=""),"",DATEDIF($Q818,TODAY(),"Y"))</f>
        <v/>
      </c>
      <c r="S818" s="40" t="str">
        <f aca="false">IF($R818="","",INDEX(usia_label,MATCH($R818,usia_min,1)))</f>
        <v/>
      </c>
      <c r="T818" s="36"/>
      <c r="U818" s="41"/>
      <c r="V818" s="36"/>
      <c r="W818" s="36"/>
      <c r="X818" s="40" t="str">
        <f aca="false">IF($M818="","",$M818&amp;"#"&amp;COUNTIF($M$4:$M818,$M818))</f>
        <v/>
      </c>
      <c r="Y818" s="40" t="str">
        <f aca="false">IF($B818="","",IF($C818="","NIK kosong",IF(LEN($C818)&lt;&gt;16,"NIK bukan 16 digit",IF(COUNTIF($C$4:$C$2003,$C818&amp;"*")&gt;1,"NIK ganda",IF(AND($D818&lt;&gt;"",LEN($D818)&lt;&gt;16),"No. KK bukan 16 digit",IF(AND($F818="",$I818=""),"Alamat kosong",IF($N818="","Jabatan kosong",IF($O818="","No. HP kosong",IF(AND($R818&lt;&gt;"",$R818&lt;17),"Usia di bawah 17","")))))))))</f>
        <v/>
      </c>
      <c r="Z818" s="40" t="str">
        <f aca="false">IF($B818="","",IF(AND(OR(CARI!$C$5="",ISNUMBER(SEARCH(CARI!$C$5,$B818&amp;" "&amp;$C818&amp;" "&amp;$D818&amp;" "&amp;$O818&amp;" "&amp;$I818&amp;" "&amp;$F818&amp;" "&amp;$J818&amp;" "&amp;$K818&amp;" "&amp;$L818&amp;" "&amp;$V818))),OR(CARI!$C$6="",$F818=CARI!$C$6),OR(CARI!$C$7="",$G818=CARI!$C$7),OR(CARI!$C$8="",$T818=CARI!$C$8)),MAX($Z$3:Z817)+1,""))</f>
        <v/>
      </c>
      <c r="AA818" s="40" t="str">
        <f aca="false">IF($Y818="","",MAX($AA$3:AA817)+1)</f>
        <v/>
      </c>
      <c r="AB818" s="40" t="str">
        <f aca="false">IF($F818="","",$F818&amp;"#"&amp;COUNTIF($F$4:$F818,$F818))</f>
        <v/>
      </c>
      <c r="AC818" s="40" t="str">
        <f aca="false">IF($B818="","",IF(AND(OR(CETAK!$J$10="",$F818=CETAK!$J$10),OR(CETAK!$J$11="",$G818=CETAK!$J$11),OR(CETAK!$J$12="",$P818=CETAK!$J$12),OR(CETAK!$J$13="",$N818=CETAK!$J$13),OR(CETAK!$J$14="",$T818=CETAK!$J$14)),MAX($AC$3:AC817)+1,""))</f>
        <v/>
      </c>
      <c r="AD818" s="40" t="str">
        <f aca="false">IF($B818="","",IF(AND(OR(ABSENSI!$H$10="",$F818=ABSENSI!$H$10),OR(ABSENSI!$H$11="",$G818=ABSENSI!$H$11),OR(ABSENSI!$H$12="",$P818=ABSENSI!$H$12)),MAX($AD$3:AD817)+1,""))</f>
        <v/>
      </c>
      <c r="AE818" s="40" t="str">
        <f aca="false">IF($B818="","",IF(AND(OR(KARTU!$K$6="",$F818=KARTU!$K$6),OR(KARTU!$K$7="",$G818=KARTU!$K$7),OR(KARTU!$K$8="",$P818=KARTU!$K$8)),MAX($AE$3:AE817)+1,""))</f>
        <v/>
      </c>
    </row>
    <row r="819" customFormat="false" ht="15" hidden="false" customHeight="false" outlineLevel="0" collapsed="false">
      <c r="A819" s="35" t="str">
        <f aca="false">IF($B819="","",COUNTA($B$4:$B819))</f>
        <v/>
      </c>
      <c r="B819" s="36"/>
      <c r="C819" s="37"/>
      <c r="D819" s="37"/>
      <c r="E819" s="38"/>
      <c r="F819" s="36"/>
      <c r="G819" s="39"/>
      <c r="H819" s="39"/>
      <c r="I819" s="36"/>
      <c r="J819" s="36"/>
      <c r="K819" s="36"/>
      <c r="L819" s="36"/>
      <c r="M819" s="40" t="str">
        <f aca="false">IF($F819="","",$F819&amp;IF($G819="",""," - RT "&amp;$G819&amp;IF($H819="","","/"&amp;$H819)))</f>
        <v/>
      </c>
      <c r="N819" s="36"/>
      <c r="O819" s="37"/>
      <c r="P819" s="39"/>
      <c r="Q819" s="41"/>
      <c r="R819" s="35" t="str">
        <f aca="true">IF(OR($B819="",$Q819=""),"",DATEDIF($Q819,TODAY(),"Y"))</f>
        <v/>
      </c>
      <c r="S819" s="40" t="str">
        <f aca="false">IF($R819="","",INDEX(usia_label,MATCH($R819,usia_min,1)))</f>
        <v/>
      </c>
      <c r="T819" s="36"/>
      <c r="U819" s="41"/>
      <c r="V819" s="36"/>
      <c r="W819" s="36"/>
      <c r="X819" s="40" t="str">
        <f aca="false">IF($M819="","",$M819&amp;"#"&amp;COUNTIF($M$4:$M819,$M819))</f>
        <v/>
      </c>
      <c r="Y819" s="40" t="str">
        <f aca="false">IF($B819="","",IF($C819="","NIK kosong",IF(LEN($C819)&lt;&gt;16,"NIK bukan 16 digit",IF(COUNTIF($C$4:$C$2003,$C819&amp;"*")&gt;1,"NIK ganda",IF(AND($D819&lt;&gt;"",LEN($D819)&lt;&gt;16),"No. KK bukan 16 digit",IF(AND($F819="",$I819=""),"Alamat kosong",IF($N819="","Jabatan kosong",IF($O819="","No. HP kosong",IF(AND($R819&lt;&gt;"",$R819&lt;17),"Usia di bawah 17","")))))))))</f>
        <v/>
      </c>
      <c r="Z819" s="40" t="str">
        <f aca="false">IF($B819="","",IF(AND(OR(CARI!$C$5="",ISNUMBER(SEARCH(CARI!$C$5,$B819&amp;" "&amp;$C819&amp;" "&amp;$D819&amp;" "&amp;$O819&amp;" "&amp;$I819&amp;" "&amp;$F819&amp;" "&amp;$J819&amp;" "&amp;$K819&amp;" "&amp;$L819&amp;" "&amp;$V819))),OR(CARI!$C$6="",$F819=CARI!$C$6),OR(CARI!$C$7="",$G819=CARI!$C$7),OR(CARI!$C$8="",$T819=CARI!$C$8)),MAX($Z$3:Z818)+1,""))</f>
        <v/>
      </c>
      <c r="AA819" s="40" t="str">
        <f aca="false">IF($Y819="","",MAX($AA$3:AA818)+1)</f>
        <v/>
      </c>
      <c r="AB819" s="40" t="str">
        <f aca="false">IF($F819="","",$F819&amp;"#"&amp;COUNTIF($F$4:$F819,$F819))</f>
        <v/>
      </c>
      <c r="AC819" s="40" t="str">
        <f aca="false">IF($B819="","",IF(AND(OR(CETAK!$J$10="",$F819=CETAK!$J$10),OR(CETAK!$J$11="",$G819=CETAK!$J$11),OR(CETAK!$J$12="",$P819=CETAK!$J$12),OR(CETAK!$J$13="",$N819=CETAK!$J$13),OR(CETAK!$J$14="",$T819=CETAK!$J$14)),MAX($AC$3:AC818)+1,""))</f>
        <v/>
      </c>
      <c r="AD819" s="40" t="str">
        <f aca="false">IF($B819="","",IF(AND(OR(ABSENSI!$H$10="",$F819=ABSENSI!$H$10),OR(ABSENSI!$H$11="",$G819=ABSENSI!$H$11),OR(ABSENSI!$H$12="",$P819=ABSENSI!$H$12)),MAX($AD$3:AD818)+1,""))</f>
        <v/>
      </c>
      <c r="AE819" s="40" t="str">
        <f aca="false">IF($B819="","",IF(AND(OR(KARTU!$K$6="",$F819=KARTU!$K$6),OR(KARTU!$K$7="",$G819=KARTU!$K$7),OR(KARTU!$K$8="",$P819=KARTU!$K$8)),MAX($AE$3:AE818)+1,""))</f>
        <v/>
      </c>
    </row>
    <row r="820" customFormat="false" ht="15" hidden="false" customHeight="false" outlineLevel="0" collapsed="false">
      <c r="A820" s="35" t="str">
        <f aca="false">IF($B820="","",COUNTA($B$4:$B820))</f>
        <v/>
      </c>
      <c r="B820" s="36"/>
      <c r="C820" s="37"/>
      <c r="D820" s="37"/>
      <c r="E820" s="38"/>
      <c r="F820" s="36"/>
      <c r="G820" s="39"/>
      <c r="H820" s="39"/>
      <c r="I820" s="36"/>
      <c r="J820" s="36"/>
      <c r="K820" s="36"/>
      <c r="L820" s="36"/>
      <c r="M820" s="40" t="str">
        <f aca="false">IF($F820="","",$F820&amp;IF($G820="",""," - RT "&amp;$G820&amp;IF($H820="","","/"&amp;$H820)))</f>
        <v/>
      </c>
      <c r="N820" s="36"/>
      <c r="O820" s="37"/>
      <c r="P820" s="39"/>
      <c r="Q820" s="41"/>
      <c r="R820" s="35" t="str">
        <f aca="true">IF(OR($B820="",$Q820=""),"",DATEDIF($Q820,TODAY(),"Y"))</f>
        <v/>
      </c>
      <c r="S820" s="40" t="str">
        <f aca="false">IF($R820="","",INDEX(usia_label,MATCH($R820,usia_min,1)))</f>
        <v/>
      </c>
      <c r="T820" s="36"/>
      <c r="U820" s="41"/>
      <c r="V820" s="36"/>
      <c r="W820" s="36"/>
      <c r="X820" s="40" t="str">
        <f aca="false">IF($M820="","",$M820&amp;"#"&amp;COUNTIF($M$4:$M820,$M820))</f>
        <v/>
      </c>
      <c r="Y820" s="40" t="str">
        <f aca="false">IF($B820="","",IF($C820="","NIK kosong",IF(LEN($C820)&lt;&gt;16,"NIK bukan 16 digit",IF(COUNTIF($C$4:$C$2003,$C820&amp;"*")&gt;1,"NIK ganda",IF(AND($D820&lt;&gt;"",LEN($D820)&lt;&gt;16),"No. KK bukan 16 digit",IF(AND($F820="",$I820=""),"Alamat kosong",IF($N820="","Jabatan kosong",IF($O820="","No. HP kosong",IF(AND($R820&lt;&gt;"",$R820&lt;17),"Usia di bawah 17","")))))))))</f>
        <v/>
      </c>
      <c r="Z820" s="40" t="str">
        <f aca="false">IF($B820="","",IF(AND(OR(CARI!$C$5="",ISNUMBER(SEARCH(CARI!$C$5,$B820&amp;" "&amp;$C820&amp;" "&amp;$D820&amp;" "&amp;$O820&amp;" "&amp;$I820&amp;" "&amp;$F820&amp;" "&amp;$J820&amp;" "&amp;$K820&amp;" "&amp;$L820&amp;" "&amp;$V820))),OR(CARI!$C$6="",$F820=CARI!$C$6),OR(CARI!$C$7="",$G820=CARI!$C$7),OR(CARI!$C$8="",$T820=CARI!$C$8)),MAX($Z$3:Z819)+1,""))</f>
        <v/>
      </c>
      <c r="AA820" s="40" t="str">
        <f aca="false">IF($Y820="","",MAX($AA$3:AA819)+1)</f>
        <v/>
      </c>
      <c r="AB820" s="40" t="str">
        <f aca="false">IF($F820="","",$F820&amp;"#"&amp;COUNTIF($F$4:$F820,$F820))</f>
        <v/>
      </c>
      <c r="AC820" s="40" t="str">
        <f aca="false">IF($B820="","",IF(AND(OR(CETAK!$J$10="",$F820=CETAK!$J$10),OR(CETAK!$J$11="",$G820=CETAK!$J$11),OR(CETAK!$J$12="",$P820=CETAK!$J$12),OR(CETAK!$J$13="",$N820=CETAK!$J$13),OR(CETAK!$J$14="",$T820=CETAK!$J$14)),MAX($AC$3:AC819)+1,""))</f>
        <v/>
      </c>
      <c r="AD820" s="40" t="str">
        <f aca="false">IF($B820="","",IF(AND(OR(ABSENSI!$H$10="",$F820=ABSENSI!$H$10),OR(ABSENSI!$H$11="",$G820=ABSENSI!$H$11),OR(ABSENSI!$H$12="",$P820=ABSENSI!$H$12)),MAX($AD$3:AD819)+1,""))</f>
        <v/>
      </c>
      <c r="AE820" s="40" t="str">
        <f aca="false">IF($B820="","",IF(AND(OR(KARTU!$K$6="",$F820=KARTU!$K$6),OR(KARTU!$K$7="",$G820=KARTU!$K$7),OR(KARTU!$K$8="",$P820=KARTU!$K$8)),MAX($AE$3:AE819)+1,""))</f>
        <v/>
      </c>
    </row>
    <row r="821" customFormat="false" ht="15" hidden="false" customHeight="false" outlineLevel="0" collapsed="false">
      <c r="A821" s="35" t="str">
        <f aca="false">IF($B821="","",COUNTA($B$4:$B821))</f>
        <v/>
      </c>
      <c r="B821" s="36"/>
      <c r="C821" s="37"/>
      <c r="D821" s="37"/>
      <c r="E821" s="38"/>
      <c r="F821" s="36"/>
      <c r="G821" s="39"/>
      <c r="H821" s="39"/>
      <c r="I821" s="36"/>
      <c r="J821" s="36"/>
      <c r="K821" s="36"/>
      <c r="L821" s="36"/>
      <c r="M821" s="40" t="str">
        <f aca="false">IF($F821="","",$F821&amp;IF($G821="",""," - RT "&amp;$G821&amp;IF($H821="","","/"&amp;$H821)))</f>
        <v/>
      </c>
      <c r="N821" s="36"/>
      <c r="O821" s="37"/>
      <c r="P821" s="39"/>
      <c r="Q821" s="41"/>
      <c r="R821" s="35" t="str">
        <f aca="true">IF(OR($B821="",$Q821=""),"",DATEDIF($Q821,TODAY(),"Y"))</f>
        <v/>
      </c>
      <c r="S821" s="40" t="str">
        <f aca="false">IF($R821="","",INDEX(usia_label,MATCH($R821,usia_min,1)))</f>
        <v/>
      </c>
      <c r="T821" s="36"/>
      <c r="U821" s="41"/>
      <c r="V821" s="36"/>
      <c r="W821" s="36"/>
      <c r="X821" s="40" t="str">
        <f aca="false">IF($M821="","",$M821&amp;"#"&amp;COUNTIF($M$4:$M821,$M821))</f>
        <v/>
      </c>
      <c r="Y821" s="40" t="str">
        <f aca="false">IF($B821="","",IF($C821="","NIK kosong",IF(LEN($C821)&lt;&gt;16,"NIK bukan 16 digit",IF(COUNTIF($C$4:$C$2003,$C821&amp;"*")&gt;1,"NIK ganda",IF(AND($D821&lt;&gt;"",LEN($D821)&lt;&gt;16),"No. KK bukan 16 digit",IF(AND($F821="",$I821=""),"Alamat kosong",IF($N821="","Jabatan kosong",IF($O821="","No. HP kosong",IF(AND($R821&lt;&gt;"",$R821&lt;17),"Usia di bawah 17","")))))))))</f>
        <v/>
      </c>
      <c r="Z821" s="40" t="str">
        <f aca="false">IF($B821="","",IF(AND(OR(CARI!$C$5="",ISNUMBER(SEARCH(CARI!$C$5,$B821&amp;" "&amp;$C821&amp;" "&amp;$D821&amp;" "&amp;$O821&amp;" "&amp;$I821&amp;" "&amp;$F821&amp;" "&amp;$J821&amp;" "&amp;$K821&amp;" "&amp;$L821&amp;" "&amp;$V821))),OR(CARI!$C$6="",$F821=CARI!$C$6),OR(CARI!$C$7="",$G821=CARI!$C$7),OR(CARI!$C$8="",$T821=CARI!$C$8)),MAX($Z$3:Z820)+1,""))</f>
        <v/>
      </c>
      <c r="AA821" s="40" t="str">
        <f aca="false">IF($Y821="","",MAX($AA$3:AA820)+1)</f>
        <v/>
      </c>
      <c r="AB821" s="40" t="str">
        <f aca="false">IF($F821="","",$F821&amp;"#"&amp;COUNTIF($F$4:$F821,$F821))</f>
        <v/>
      </c>
      <c r="AC821" s="40" t="str">
        <f aca="false">IF($B821="","",IF(AND(OR(CETAK!$J$10="",$F821=CETAK!$J$10),OR(CETAK!$J$11="",$G821=CETAK!$J$11),OR(CETAK!$J$12="",$P821=CETAK!$J$12),OR(CETAK!$J$13="",$N821=CETAK!$J$13),OR(CETAK!$J$14="",$T821=CETAK!$J$14)),MAX($AC$3:AC820)+1,""))</f>
        <v/>
      </c>
      <c r="AD821" s="40" t="str">
        <f aca="false">IF($B821="","",IF(AND(OR(ABSENSI!$H$10="",$F821=ABSENSI!$H$10),OR(ABSENSI!$H$11="",$G821=ABSENSI!$H$11),OR(ABSENSI!$H$12="",$P821=ABSENSI!$H$12)),MAX($AD$3:AD820)+1,""))</f>
        <v/>
      </c>
      <c r="AE821" s="40" t="str">
        <f aca="false">IF($B821="","",IF(AND(OR(KARTU!$K$6="",$F821=KARTU!$K$6),OR(KARTU!$K$7="",$G821=KARTU!$K$7),OR(KARTU!$K$8="",$P821=KARTU!$K$8)),MAX($AE$3:AE820)+1,""))</f>
        <v/>
      </c>
    </row>
    <row r="822" customFormat="false" ht="15" hidden="false" customHeight="false" outlineLevel="0" collapsed="false">
      <c r="A822" s="35" t="str">
        <f aca="false">IF($B822="","",COUNTA($B$4:$B822))</f>
        <v/>
      </c>
      <c r="B822" s="36"/>
      <c r="C822" s="37"/>
      <c r="D822" s="37"/>
      <c r="E822" s="38"/>
      <c r="F822" s="36"/>
      <c r="G822" s="39"/>
      <c r="H822" s="39"/>
      <c r="I822" s="36"/>
      <c r="J822" s="36"/>
      <c r="K822" s="36"/>
      <c r="L822" s="36"/>
      <c r="M822" s="40" t="str">
        <f aca="false">IF($F822="","",$F822&amp;IF($G822="",""," - RT "&amp;$G822&amp;IF($H822="","","/"&amp;$H822)))</f>
        <v/>
      </c>
      <c r="N822" s="36"/>
      <c r="O822" s="37"/>
      <c r="P822" s="39"/>
      <c r="Q822" s="41"/>
      <c r="R822" s="35" t="str">
        <f aca="true">IF(OR($B822="",$Q822=""),"",DATEDIF($Q822,TODAY(),"Y"))</f>
        <v/>
      </c>
      <c r="S822" s="40" t="str">
        <f aca="false">IF($R822="","",INDEX(usia_label,MATCH($R822,usia_min,1)))</f>
        <v/>
      </c>
      <c r="T822" s="36"/>
      <c r="U822" s="41"/>
      <c r="V822" s="36"/>
      <c r="W822" s="36"/>
      <c r="X822" s="40" t="str">
        <f aca="false">IF($M822="","",$M822&amp;"#"&amp;COUNTIF($M$4:$M822,$M822))</f>
        <v/>
      </c>
      <c r="Y822" s="40" t="str">
        <f aca="false">IF($B822="","",IF($C822="","NIK kosong",IF(LEN($C822)&lt;&gt;16,"NIK bukan 16 digit",IF(COUNTIF($C$4:$C$2003,$C822&amp;"*")&gt;1,"NIK ganda",IF(AND($D822&lt;&gt;"",LEN($D822)&lt;&gt;16),"No. KK bukan 16 digit",IF(AND($F822="",$I822=""),"Alamat kosong",IF($N822="","Jabatan kosong",IF($O822="","No. HP kosong",IF(AND($R822&lt;&gt;"",$R822&lt;17),"Usia di bawah 17","")))))))))</f>
        <v/>
      </c>
      <c r="Z822" s="40" t="str">
        <f aca="false">IF($B822="","",IF(AND(OR(CARI!$C$5="",ISNUMBER(SEARCH(CARI!$C$5,$B822&amp;" "&amp;$C822&amp;" "&amp;$D822&amp;" "&amp;$O822&amp;" "&amp;$I822&amp;" "&amp;$F822&amp;" "&amp;$J822&amp;" "&amp;$K822&amp;" "&amp;$L822&amp;" "&amp;$V822))),OR(CARI!$C$6="",$F822=CARI!$C$6),OR(CARI!$C$7="",$G822=CARI!$C$7),OR(CARI!$C$8="",$T822=CARI!$C$8)),MAX($Z$3:Z821)+1,""))</f>
        <v/>
      </c>
      <c r="AA822" s="40" t="str">
        <f aca="false">IF($Y822="","",MAX($AA$3:AA821)+1)</f>
        <v/>
      </c>
      <c r="AB822" s="40" t="str">
        <f aca="false">IF($F822="","",$F822&amp;"#"&amp;COUNTIF($F$4:$F822,$F822))</f>
        <v/>
      </c>
      <c r="AC822" s="40" t="str">
        <f aca="false">IF($B822="","",IF(AND(OR(CETAK!$J$10="",$F822=CETAK!$J$10),OR(CETAK!$J$11="",$G822=CETAK!$J$11),OR(CETAK!$J$12="",$P822=CETAK!$J$12),OR(CETAK!$J$13="",$N822=CETAK!$J$13),OR(CETAK!$J$14="",$T822=CETAK!$J$14)),MAX($AC$3:AC821)+1,""))</f>
        <v/>
      </c>
      <c r="AD822" s="40" t="str">
        <f aca="false">IF($B822="","",IF(AND(OR(ABSENSI!$H$10="",$F822=ABSENSI!$H$10),OR(ABSENSI!$H$11="",$G822=ABSENSI!$H$11),OR(ABSENSI!$H$12="",$P822=ABSENSI!$H$12)),MAX($AD$3:AD821)+1,""))</f>
        <v/>
      </c>
      <c r="AE822" s="40" t="str">
        <f aca="false">IF($B822="","",IF(AND(OR(KARTU!$K$6="",$F822=KARTU!$K$6),OR(KARTU!$K$7="",$G822=KARTU!$K$7),OR(KARTU!$K$8="",$P822=KARTU!$K$8)),MAX($AE$3:AE821)+1,""))</f>
        <v/>
      </c>
    </row>
    <row r="823" customFormat="false" ht="15" hidden="false" customHeight="false" outlineLevel="0" collapsed="false">
      <c r="A823" s="35" t="str">
        <f aca="false">IF($B823="","",COUNTA($B$4:$B823))</f>
        <v/>
      </c>
      <c r="B823" s="36"/>
      <c r="C823" s="37"/>
      <c r="D823" s="37"/>
      <c r="E823" s="38"/>
      <c r="F823" s="36"/>
      <c r="G823" s="39"/>
      <c r="H823" s="39"/>
      <c r="I823" s="36"/>
      <c r="J823" s="36"/>
      <c r="K823" s="36"/>
      <c r="L823" s="36"/>
      <c r="M823" s="40" t="str">
        <f aca="false">IF($F823="","",$F823&amp;IF($G823="",""," - RT "&amp;$G823&amp;IF($H823="","","/"&amp;$H823)))</f>
        <v/>
      </c>
      <c r="N823" s="36"/>
      <c r="O823" s="37"/>
      <c r="P823" s="39"/>
      <c r="Q823" s="41"/>
      <c r="R823" s="35" t="str">
        <f aca="true">IF(OR($B823="",$Q823=""),"",DATEDIF($Q823,TODAY(),"Y"))</f>
        <v/>
      </c>
      <c r="S823" s="40" t="str">
        <f aca="false">IF($R823="","",INDEX(usia_label,MATCH($R823,usia_min,1)))</f>
        <v/>
      </c>
      <c r="T823" s="36"/>
      <c r="U823" s="41"/>
      <c r="V823" s="36"/>
      <c r="W823" s="36"/>
      <c r="X823" s="40" t="str">
        <f aca="false">IF($M823="","",$M823&amp;"#"&amp;COUNTIF($M$4:$M823,$M823))</f>
        <v/>
      </c>
      <c r="Y823" s="40" t="str">
        <f aca="false">IF($B823="","",IF($C823="","NIK kosong",IF(LEN($C823)&lt;&gt;16,"NIK bukan 16 digit",IF(COUNTIF($C$4:$C$2003,$C823&amp;"*")&gt;1,"NIK ganda",IF(AND($D823&lt;&gt;"",LEN($D823)&lt;&gt;16),"No. KK bukan 16 digit",IF(AND($F823="",$I823=""),"Alamat kosong",IF($N823="","Jabatan kosong",IF($O823="","No. HP kosong",IF(AND($R823&lt;&gt;"",$R823&lt;17),"Usia di bawah 17","")))))))))</f>
        <v/>
      </c>
      <c r="Z823" s="40" t="str">
        <f aca="false">IF($B823="","",IF(AND(OR(CARI!$C$5="",ISNUMBER(SEARCH(CARI!$C$5,$B823&amp;" "&amp;$C823&amp;" "&amp;$D823&amp;" "&amp;$O823&amp;" "&amp;$I823&amp;" "&amp;$F823&amp;" "&amp;$J823&amp;" "&amp;$K823&amp;" "&amp;$L823&amp;" "&amp;$V823))),OR(CARI!$C$6="",$F823=CARI!$C$6),OR(CARI!$C$7="",$G823=CARI!$C$7),OR(CARI!$C$8="",$T823=CARI!$C$8)),MAX($Z$3:Z822)+1,""))</f>
        <v/>
      </c>
      <c r="AA823" s="40" t="str">
        <f aca="false">IF($Y823="","",MAX($AA$3:AA822)+1)</f>
        <v/>
      </c>
      <c r="AB823" s="40" t="str">
        <f aca="false">IF($F823="","",$F823&amp;"#"&amp;COUNTIF($F$4:$F823,$F823))</f>
        <v/>
      </c>
      <c r="AC823" s="40" t="str">
        <f aca="false">IF($B823="","",IF(AND(OR(CETAK!$J$10="",$F823=CETAK!$J$10),OR(CETAK!$J$11="",$G823=CETAK!$J$11),OR(CETAK!$J$12="",$P823=CETAK!$J$12),OR(CETAK!$J$13="",$N823=CETAK!$J$13),OR(CETAK!$J$14="",$T823=CETAK!$J$14)),MAX($AC$3:AC822)+1,""))</f>
        <v/>
      </c>
      <c r="AD823" s="40" t="str">
        <f aca="false">IF($B823="","",IF(AND(OR(ABSENSI!$H$10="",$F823=ABSENSI!$H$10),OR(ABSENSI!$H$11="",$G823=ABSENSI!$H$11),OR(ABSENSI!$H$12="",$P823=ABSENSI!$H$12)),MAX($AD$3:AD822)+1,""))</f>
        <v/>
      </c>
      <c r="AE823" s="40" t="str">
        <f aca="false">IF($B823="","",IF(AND(OR(KARTU!$K$6="",$F823=KARTU!$K$6),OR(KARTU!$K$7="",$G823=KARTU!$K$7),OR(KARTU!$K$8="",$P823=KARTU!$K$8)),MAX($AE$3:AE822)+1,""))</f>
        <v/>
      </c>
    </row>
    <row r="824" customFormat="false" ht="15" hidden="false" customHeight="false" outlineLevel="0" collapsed="false">
      <c r="A824" s="35" t="str">
        <f aca="false">IF($B824="","",COUNTA($B$4:$B824))</f>
        <v/>
      </c>
      <c r="B824" s="36"/>
      <c r="C824" s="37"/>
      <c r="D824" s="37"/>
      <c r="E824" s="38"/>
      <c r="F824" s="36"/>
      <c r="G824" s="39"/>
      <c r="H824" s="39"/>
      <c r="I824" s="36"/>
      <c r="J824" s="36"/>
      <c r="K824" s="36"/>
      <c r="L824" s="36"/>
      <c r="M824" s="40" t="str">
        <f aca="false">IF($F824="","",$F824&amp;IF($G824="",""," - RT "&amp;$G824&amp;IF($H824="","","/"&amp;$H824)))</f>
        <v/>
      </c>
      <c r="N824" s="36"/>
      <c r="O824" s="37"/>
      <c r="P824" s="39"/>
      <c r="Q824" s="41"/>
      <c r="R824" s="35" t="str">
        <f aca="true">IF(OR($B824="",$Q824=""),"",DATEDIF($Q824,TODAY(),"Y"))</f>
        <v/>
      </c>
      <c r="S824" s="40" t="str">
        <f aca="false">IF($R824="","",INDEX(usia_label,MATCH($R824,usia_min,1)))</f>
        <v/>
      </c>
      <c r="T824" s="36"/>
      <c r="U824" s="41"/>
      <c r="V824" s="36"/>
      <c r="W824" s="36"/>
      <c r="X824" s="40" t="str">
        <f aca="false">IF($M824="","",$M824&amp;"#"&amp;COUNTIF($M$4:$M824,$M824))</f>
        <v/>
      </c>
      <c r="Y824" s="40" t="str">
        <f aca="false">IF($B824="","",IF($C824="","NIK kosong",IF(LEN($C824)&lt;&gt;16,"NIK bukan 16 digit",IF(COUNTIF($C$4:$C$2003,$C824&amp;"*")&gt;1,"NIK ganda",IF(AND($D824&lt;&gt;"",LEN($D824)&lt;&gt;16),"No. KK bukan 16 digit",IF(AND($F824="",$I824=""),"Alamat kosong",IF($N824="","Jabatan kosong",IF($O824="","No. HP kosong",IF(AND($R824&lt;&gt;"",$R824&lt;17),"Usia di bawah 17","")))))))))</f>
        <v/>
      </c>
      <c r="Z824" s="40" t="str">
        <f aca="false">IF($B824="","",IF(AND(OR(CARI!$C$5="",ISNUMBER(SEARCH(CARI!$C$5,$B824&amp;" "&amp;$C824&amp;" "&amp;$D824&amp;" "&amp;$O824&amp;" "&amp;$I824&amp;" "&amp;$F824&amp;" "&amp;$J824&amp;" "&amp;$K824&amp;" "&amp;$L824&amp;" "&amp;$V824))),OR(CARI!$C$6="",$F824=CARI!$C$6),OR(CARI!$C$7="",$G824=CARI!$C$7),OR(CARI!$C$8="",$T824=CARI!$C$8)),MAX($Z$3:Z823)+1,""))</f>
        <v/>
      </c>
      <c r="AA824" s="40" t="str">
        <f aca="false">IF($Y824="","",MAX($AA$3:AA823)+1)</f>
        <v/>
      </c>
      <c r="AB824" s="40" t="str">
        <f aca="false">IF($F824="","",$F824&amp;"#"&amp;COUNTIF($F$4:$F824,$F824))</f>
        <v/>
      </c>
      <c r="AC824" s="40" t="str">
        <f aca="false">IF($B824="","",IF(AND(OR(CETAK!$J$10="",$F824=CETAK!$J$10),OR(CETAK!$J$11="",$G824=CETAK!$J$11),OR(CETAK!$J$12="",$P824=CETAK!$J$12),OR(CETAK!$J$13="",$N824=CETAK!$J$13),OR(CETAK!$J$14="",$T824=CETAK!$J$14)),MAX($AC$3:AC823)+1,""))</f>
        <v/>
      </c>
      <c r="AD824" s="40" t="str">
        <f aca="false">IF($B824="","",IF(AND(OR(ABSENSI!$H$10="",$F824=ABSENSI!$H$10),OR(ABSENSI!$H$11="",$G824=ABSENSI!$H$11),OR(ABSENSI!$H$12="",$P824=ABSENSI!$H$12)),MAX($AD$3:AD823)+1,""))</f>
        <v/>
      </c>
      <c r="AE824" s="40" t="str">
        <f aca="false">IF($B824="","",IF(AND(OR(KARTU!$K$6="",$F824=KARTU!$K$6),OR(KARTU!$K$7="",$G824=KARTU!$K$7),OR(KARTU!$K$8="",$P824=KARTU!$K$8)),MAX($AE$3:AE823)+1,""))</f>
        <v/>
      </c>
    </row>
    <row r="825" customFormat="false" ht="15" hidden="false" customHeight="false" outlineLevel="0" collapsed="false">
      <c r="A825" s="35" t="str">
        <f aca="false">IF($B825="","",COUNTA($B$4:$B825))</f>
        <v/>
      </c>
      <c r="B825" s="36"/>
      <c r="C825" s="37"/>
      <c r="D825" s="37"/>
      <c r="E825" s="38"/>
      <c r="F825" s="36"/>
      <c r="G825" s="39"/>
      <c r="H825" s="39"/>
      <c r="I825" s="36"/>
      <c r="J825" s="36"/>
      <c r="K825" s="36"/>
      <c r="L825" s="36"/>
      <c r="M825" s="40" t="str">
        <f aca="false">IF($F825="","",$F825&amp;IF($G825="",""," - RT "&amp;$G825&amp;IF($H825="","","/"&amp;$H825)))</f>
        <v/>
      </c>
      <c r="N825" s="36"/>
      <c r="O825" s="37"/>
      <c r="P825" s="39"/>
      <c r="Q825" s="41"/>
      <c r="R825" s="35" t="str">
        <f aca="true">IF(OR($B825="",$Q825=""),"",DATEDIF($Q825,TODAY(),"Y"))</f>
        <v/>
      </c>
      <c r="S825" s="40" t="str">
        <f aca="false">IF($R825="","",INDEX(usia_label,MATCH($R825,usia_min,1)))</f>
        <v/>
      </c>
      <c r="T825" s="36"/>
      <c r="U825" s="41"/>
      <c r="V825" s="36"/>
      <c r="W825" s="36"/>
      <c r="X825" s="40" t="str">
        <f aca="false">IF($M825="","",$M825&amp;"#"&amp;COUNTIF($M$4:$M825,$M825))</f>
        <v/>
      </c>
      <c r="Y825" s="40" t="str">
        <f aca="false">IF($B825="","",IF($C825="","NIK kosong",IF(LEN($C825)&lt;&gt;16,"NIK bukan 16 digit",IF(COUNTIF($C$4:$C$2003,$C825&amp;"*")&gt;1,"NIK ganda",IF(AND($D825&lt;&gt;"",LEN($D825)&lt;&gt;16),"No. KK bukan 16 digit",IF(AND($F825="",$I825=""),"Alamat kosong",IF($N825="","Jabatan kosong",IF($O825="","No. HP kosong",IF(AND($R825&lt;&gt;"",$R825&lt;17),"Usia di bawah 17","")))))))))</f>
        <v/>
      </c>
      <c r="Z825" s="40" t="str">
        <f aca="false">IF($B825="","",IF(AND(OR(CARI!$C$5="",ISNUMBER(SEARCH(CARI!$C$5,$B825&amp;" "&amp;$C825&amp;" "&amp;$D825&amp;" "&amp;$O825&amp;" "&amp;$I825&amp;" "&amp;$F825&amp;" "&amp;$J825&amp;" "&amp;$K825&amp;" "&amp;$L825&amp;" "&amp;$V825))),OR(CARI!$C$6="",$F825=CARI!$C$6),OR(CARI!$C$7="",$G825=CARI!$C$7),OR(CARI!$C$8="",$T825=CARI!$C$8)),MAX($Z$3:Z824)+1,""))</f>
        <v/>
      </c>
      <c r="AA825" s="40" t="str">
        <f aca="false">IF($Y825="","",MAX($AA$3:AA824)+1)</f>
        <v/>
      </c>
      <c r="AB825" s="40" t="str">
        <f aca="false">IF($F825="","",$F825&amp;"#"&amp;COUNTIF($F$4:$F825,$F825))</f>
        <v/>
      </c>
      <c r="AC825" s="40" t="str">
        <f aca="false">IF($B825="","",IF(AND(OR(CETAK!$J$10="",$F825=CETAK!$J$10),OR(CETAK!$J$11="",$G825=CETAK!$J$11),OR(CETAK!$J$12="",$P825=CETAK!$J$12),OR(CETAK!$J$13="",$N825=CETAK!$J$13),OR(CETAK!$J$14="",$T825=CETAK!$J$14)),MAX($AC$3:AC824)+1,""))</f>
        <v/>
      </c>
      <c r="AD825" s="40" t="str">
        <f aca="false">IF($B825="","",IF(AND(OR(ABSENSI!$H$10="",$F825=ABSENSI!$H$10),OR(ABSENSI!$H$11="",$G825=ABSENSI!$H$11),OR(ABSENSI!$H$12="",$P825=ABSENSI!$H$12)),MAX($AD$3:AD824)+1,""))</f>
        <v/>
      </c>
      <c r="AE825" s="40" t="str">
        <f aca="false">IF($B825="","",IF(AND(OR(KARTU!$K$6="",$F825=KARTU!$K$6),OR(KARTU!$K$7="",$G825=KARTU!$K$7),OR(KARTU!$K$8="",$P825=KARTU!$K$8)),MAX($AE$3:AE824)+1,""))</f>
        <v/>
      </c>
    </row>
    <row r="826" customFormat="false" ht="15" hidden="false" customHeight="false" outlineLevel="0" collapsed="false">
      <c r="A826" s="35" t="str">
        <f aca="false">IF($B826="","",COUNTA($B$4:$B826))</f>
        <v/>
      </c>
      <c r="B826" s="36"/>
      <c r="C826" s="37"/>
      <c r="D826" s="37"/>
      <c r="E826" s="38"/>
      <c r="F826" s="36"/>
      <c r="G826" s="39"/>
      <c r="H826" s="39"/>
      <c r="I826" s="36"/>
      <c r="J826" s="36"/>
      <c r="K826" s="36"/>
      <c r="L826" s="36"/>
      <c r="M826" s="40" t="str">
        <f aca="false">IF($F826="","",$F826&amp;IF($G826="",""," - RT "&amp;$G826&amp;IF($H826="","","/"&amp;$H826)))</f>
        <v/>
      </c>
      <c r="N826" s="36"/>
      <c r="O826" s="37"/>
      <c r="P826" s="39"/>
      <c r="Q826" s="41"/>
      <c r="R826" s="35" t="str">
        <f aca="true">IF(OR($B826="",$Q826=""),"",DATEDIF($Q826,TODAY(),"Y"))</f>
        <v/>
      </c>
      <c r="S826" s="40" t="str">
        <f aca="false">IF($R826="","",INDEX(usia_label,MATCH($R826,usia_min,1)))</f>
        <v/>
      </c>
      <c r="T826" s="36"/>
      <c r="U826" s="41"/>
      <c r="V826" s="36"/>
      <c r="W826" s="36"/>
      <c r="X826" s="40" t="str">
        <f aca="false">IF($M826="","",$M826&amp;"#"&amp;COUNTIF($M$4:$M826,$M826))</f>
        <v/>
      </c>
      <c r="Y826" s="40" t="str">
        <f aca="false">IF($B826="","",IF($C826="","NIK kosong",IF(LEN($C826)&lt;&gt;16,"NIK bukan 16 digit",IF(COUNTIF($C$4:$C$2003,$C826&amp;"*")&gt;1,"NIK ganda",IF(AND($D826&lt;&gt;"",LEN($D826)&lt;&gt;16),"No. KK bukan 16 digit",IF(AND($F826="",$I826=""),"Alamat kosong",IF($N826="","Jabatan kosong",IF($O826="","No. HP kosong",IF(AND($R826&lt;&gt;"",$R826&lt;17),"Usia di bawah 17","")))))))))</f>
        <v/>
      </c>
      <c r="Z826" s="40" t="str">
        <f aca="false">IF($B826="","",IF(AND(OR(CARI!$C$5="",ISNUMBER(SEARCH(CARI!$C$5,$B826&amp;" "&amp;$C826&amp;" "&amp;$D826&amp;" "&amp;$O826&amp;" "&amp;$I826&amp;" "&amp;$F826&amp;" "&amp;$J826&amp;" "&amp;$K826&amp;" "&amp;$L826&amp;" "&amp;$V826))),OR(CARI!$C$6="",$F826=CARI!$C$6),OR(CARI!$C$7="",$G826=CARI!$C$7),OR(CARI!$C$8="",$T826=CARI!$C$8)),MAX($Z$3:Z825)+1,""))</f>
        <v/>
      </c>
      <c r="AA826" s="40" t="str">
        <f aca="false">IF($Y826="","",MAX($AA$3:AA825)+1)</f>
        <v/>
      </c>
      <c r="AB826" s="40" t="str">
        <f aca="false">IF($F826="","",$F826&amp;"#"&amp;COUNTIF($F$4:$F826,$F826))</f>
        <v/>
      </c>
      <c r="AC826" s="40" t="str">
        <f aca="false">IF($B826="","",IF(AND(OR(CETAK!$J$10="",$F826=CETAK!$J$10),OR(CETAK!$J$11="",$G826=CETAK!$J$11),OR(CETAK!$J$12="",$P826=CETAK!$J$12),OR(CETAK!$J$13="",$N826=CETAK!$J$13),OR(CETAK!$J$14="",$T826=CETAK!$J$14)),MAX($AC$3:AC825)+1,""))</f>
        <v/>
      </c>
      <c r="AD826" s="40" t="str">
        <f aca="false">IF($B826="","",IF(AND(OR(ABSENSI!$H$10="",$F826=ABSENSI!$H$10),OR(ABSENSI!$H$11="",$G826=ABSENSI!$H$11),OR(ABSENSI!$H$12="",$P826=ABSENSI!$H$12)),MAX($AD$3:AD825)+1,""))</f>
        <v/>
      </c>
      <c r="AE826" s="40" t="str">
        <f aca="false">IF($B826="","",IF(AND(OR(KARTU!$K$6="",$F826=KARTU!$K$6),OR(KARTU!$K$7="",$G826=KARTU!$K$7),OR(KARTU!$K$8="",$P826=KARTU!$K$8)),MAX($AE$3:AE825)+1,""))</f>
        <v/>
      </c>
    </row>
    <row r="827" customFormat="false" ht="15" hidden="false" customHeight="false" outlineLevel="0" collapsed="false">
      <c r="A827" s="35" t="str">
        <f aca="false">IF($B827="","",COUNTA($B$4:$B827))</f>
        <v/>
      </c>
      <c r="B827" s="36"/>
      <c r="C827" s="37"/>
      <c r="D827" s="37"/>
      <c r="E827" s="38"/>
      <c r="F827" s="36"/>
      <c r="G827" s="39"/>
      <c r="H827" s="39"/>
      <c r="I827" s="36"/>
      <c r="J827" s="36"/>
      <c r="K827" s="36"/>
      <c r="L827" s="36"/>
      <c r="M827" s="40" t="str">
        <f aca="false">IF($F827="","",$F827&amp;IF($G827="",""," - RT "&amp;$G827&amp;IF($H827="","","/"&amp;$H827)))</f>
        <v/>
      </c>
      <c r="N827" s="36"/>
      <c r="O827" s="37"/>
      <c r="P827" s="39"/>
      <c r="Q827" s="41"/>
      <c r="R827" s="35" t="str">
        <f aca="true">IF(OR($B827="",$Q827=""),"",DATEDIF($Q827,TODAY(),"Y"))</f>
        <v/>
      </c>
      <c r="S827" s="40" t="str">
        <f aca="false">IF($R827="","",INDEX(usia_label,MATCH($R827,usia_min,1)))</f>
        <v/>
      </c>
      <c r="T827" s="36"/>
      <c r="U827" s="41"/>
      <c r="V827" s="36"/>
      <c r="W827" s="36"/>
      <c r="X827" s="40" t="str">
        <f aca="false">IF($M827="","",$M827&amp;"#"&amp;COUNTIF($M$4:$M827,$M827))</f>
        <v/>
      </c>
      <c r="Y827" s="40" t="str">
        <f aca="false">IF($B827="","",IF($C827="","NIK kosong",IF(LEN($C827)&lt;&gt;16,"NIK bukan 16 digit",IF(COUNTIF($C$4:$C$2003,$C827&amp;"*")&gt;1,"NIK ganda",IF(AND($D827&lt;&gt;"",LEN($D827)&lt;&gt;16),"No. KK bukan 16 digit",IF(AND($F827="",$I827=""),"Alamat kosong",IF($N827="","Jabatan kosong",IF($O827="","No. HP kosong",IF(AND($R827&lt;&gt;"",$R827&lt;17),"Usia di bawah 17","")))))))))</f>
        <v/>
      </c>
      <c r="Z827" s="40" t="str">
        <f aca="false">IF($B827="","",IF(AND(OR(CARI!$C$5="",ISNUMBER(SEARCH(CARI!$C$5,$B827&amp;" "&amp;$C827&amp;" "&amp;$D827&amp;" "&amp;$O827&amp;" "&amp;$I827&amp;" "&amp;$F827&amp;" "&amp;$J827&amp;" "&amp;$K827&amp;" "&amp;$L827&amp;" "&amp;$V827))),OR(CARI!$C$6="",$F827=CARI!$C$6),OR(CARI!$C$7="",$G827=CARI!$C$7),OR(CARI!$C$8="",$T827=CARI!$C$8)),MAX($Z$3:Z826)+1,""))</f>
        <v/>
      </c>
      <c r="AA827" s="40" t="str">
        <f aca="false">IF($Y827="","",MAX($AA$3:AA826)+1)</f>
        <v/>
      </c>
      <c r="AB827" s="40" t="str">
        <f aca="false">IF($F827="","",$F827&amp;"#"&amp;COUNTIF($F$4:$F827,$F827))</f>
        <v/>
      </c>
      <c r="AC827" s="40" t="str">
        <f aca="false">IF($B827="","",IF(AND(OR(CETAK!$J$10="",$F827=CETAK!$J$10),OR(CETAK!$J$11="",$G827=CETAK!$J$11),OR(CETAK!$J$12="",$P827=CETAK!$J$12),OR(CETAK!$J$13="",$N827=CETAK!$J$13),OR(CETAK!$J$14="",$T827=CETAK!$J$14)),MAX($AC$3:AC826)+1,""))</f>
        <v/>
      </c>
      <c r="AD827" s="40" t="str">
        <f aca="false">IF($B827="","",IF(AND(OR(ABSENSI!$H$10="",$F827=ABSENSI!$H$10),OR(ABSENSI!$H$11="",$G827=ABSENSI!$H$11),OR(ABSENSI!$H$12="",$P827=ABSENSI!$H$12)),MAX($AD$3:AD826)+1,""))</f>
        <v/>
      </c>
      <c r="AE827" s="40" t="str">
        <f aca="false">IF($B827="","",IF(AND(OR(KARTU!$K$6="",$F827=KARTU!$K$6),OR(KARTU!$K$7="",$G827=KARTU!$K$7),OR(KARTU!$K$8="",$P827=KARTU!$K$8)),MAX($AE$3:AE826)+1,""))</f>
        <v/>
      </c>
    </row>
    <row r="828" customFormat="false" ht="15" hidden="false" customHeight="false" outlineLevel="0" collapsed="false">
      <c r="A828" s="35" t="str">
        <f aca="false">IF($B828="","",COUNTA($B$4:$B828))</f>
        <v/>
      </c>
      <c r="B828" s="36"/>
      <c r="C828" s="37"/>
      <c r="D828" s="37"/>
      <c r="E828" s="38"/>
      <c r="F828" s="36"/>
      <c r="G828" s="39"/>
      <c r="H828" s="39"/>
      <c r="I828" s="36"/>
      <c r="J828" s="36"/>
      <c r="K828" s="36"/>
      <c r="L828" s="36"/>
      <c r="M828" s="40" t="str">
        <f aca="false">IF($F828="","",$F828&amp;IF($G828="",""," - RT "&amp;$G828&amp;IF($H828="","","/"&amp;$H828)))</f>
        <v/>
      </c>
      <c r="N828" s="36"/>
      <c r="O828" s="37"/>
      <c r="P828" s="39"/>
      <c r="Q828" s="41"/>
      <c r="R828" s="35" t="str">
        <f aca="true">IF(OR($B828="",$Q828=""),"",DATEDIF($Q828,TODAY(),"Y"))</f>
        <v/>
      </c>
      <c r="S828" s="40" t="str">
        <f aca="false">IF($R828="","",INDEX(usia_label,MATCH($R828,usia_min,1)))</f>
        <v/>
      </c>
      <c r="T828" s="36"/>
      <c r="U828" s="41"/>
      <c r="V828" s="36"/>
      <c r="W828" s="36"/>
      <c r="X828" s="40" t="str">
        <f aca="false">IF($M828="","",$M828&amp;"#"&amp;COUNTIF($M$4:$M828,$M828))</f>
        <v/>
      </c>
      <c r="Y828" s="40" t="str">
        <f aca="false">IF($B828="","",IF($C828="","NIK kosong",IF(LEN($C828)&lt;&gt;16,"NIK bukan 16 digit",IF(COUNTIF($C$4:$C$2003,$C828&amp;"*")&gt;1,"NIK ganda",IF(AND($D828&lt;&gt;"",LEN($D828)&lt;&gt;16),"No. KK bukan 16 digit",IF(AND($F828="",$I828=""),"Alamat kosong",IF($N828="","Jabatan kosong",IF($O828="","No. HP kosong",IF(AND($R828&lt;&gt;"",$R828&lt;17),"Usia di bawah 17","")))))))))</f>
        <v/>
      </c>
      <c r="Z828" s="40" t="str">
        <f aca="false">IF($B828="","",IF(AND(OR(CARI!$C$5="",ISNUMBER(SEARCH(CARI!$C$5,$B828&amp;" "&amp;$C828&amp;" "&amp;$D828&amp;" "&amp;$O828&amp;" "&amp;$I828&amp;" "&amp;$F828&amp;" "&amp;$J828&amp;" "&amp;$K828&amp;" "&amp;$L828&amp;" "&amp;$V828))),OR(CARI!$C$6="",$F828=CARI!$C$6),OR(CARI!$C$7="",$G828=CARI!$C$7),OR(CARI!$C$8="",$T828=CARI!$C$8)),MAX($Z$3:Z827)+1,""))</f>
        <v/>
      </c>
      <c r="AA828" s="40" t="str">
        <f aca="false">IF($Y828="","",MAX($AA$3:AA827)+1)</f>
        <v/>
      </c>
      <c r="AB828" s="40" t="str">
        <f aca="false">IF($F828="","",$F828&amp;"#"&amp;COUNTIF($F$4:$F828,$F828))</f>
        <v/>
      </c>
      <c r="AC828" s="40" t="str">
        <f aca="false">IF($B828="","",IF(AND(OR(CETAK!$J$10="",$F828=CETAK!$J$10),OR(CETAK!$J$11="",$G828=CETAK!$J$11),OR(CETAK!$J$12="",$P828=CETAK!$J$12),OR(CETAK!$J$13="",$N828=CETAK!$J$13),OR(CETAK!$J$14="",$T828=CETAK!$J$14)),MAX($AC$3:AC827)+1,""))</f>
        <v/>
      </c>
      <c r="AD828" s="40" t="str">
        <f aca="false">IF($B828="","",IF(AND(OR(ABSENSI!$H$10="",$F828=ABSENSI!$H$10),OR(ABSENSI!$H$11="",$G828=ABSENSI!$H$11),OR(ABSENSI!$H$12="",$P828=ABSENSI!$H$12)),MAX($AD$3:AD827)+1,""))</f>
        <v/>
      </c>
      <c r="AE828" s="40" t="str">
        <f aca="false">IF($B828="","",IF(AND(OR(KARTU!$K$6="",$F828=KARTU!$K$6),OR(KARTU!$K$7="",$G828=KARTU!$K$7),OR(KARTU!$K$8="",$P828=KARTU!$K$8)),MAX($AE$3:AE827)+1,""))</f>
        <v/>
      </c>
    </row>
    <row r="829" customFormat="false" ht="15" hidden="false" customHeight="false" outlineLevel="0" collapsed="false">
      <c r="A829" s="35" t="str">
        <f aca="false">IF($B829="","",COUNTA($B$4:$B829))</f>
        <v/>
      </c>
      <c r="B829" s="36"/>
      <c r="C829" s="37"/>
      <c r="D829" s="37"/>
      <c r="E829" s="38"/>
      <c r="F829" s="36"/>
      <c r="G829" s="39"/>
      <c r="H829" s="39"/>
      <c r="I829" s="36"/>
      <c r="J829" s="36"/>
      <c r="K829" s="36"/>
      <c r="L829" s="36"/>
      <c r="M829" s="40" t="str">
        <f aca="false">IF($F829="","",$F829&amp;IF($G829="",""," - RT "&amp;$G829&amp;IF($H829="","","/"&amp;$H829)))</f>
        <v/>
      </c>
      <c r="N829" s="36"/>
      <c r="O829" s="37"/>
      <c r="P829" s="39"/>
      <c r="Q829" s="41"/>
      <c r="R829" s="35" t="str">
        <f aca="true">IF(OR($B829="",$Q829=""),"",DATEDIF($Q829,TODAY(),"Y"))</f>
        <v/>
      </c>
      <c r="S829" s="40" t="str">
        <f aca="false">IF($R829="","",INDEX(usia_label,MATCH($R829,usia_min,1)))</f>
        <v/>
      </c>
      <c r="T829" s="36"/>
      <c r="U829" s="41"/>
      <c r="V829" s="36"/>
      <c r="W829" s="36"/>
      <c r="X829" s="40" t="str">
        <f aca="false">IF($M829="","",$M829&amp;"#"&amp;COUNTIF($M$4:$M829,$M829))</f>
        <v/>
      </c>
      <c r="Y829" s="40" t="str">
        <f aca="false">IF($B829="","",IF($C829="","NIK kosong",IF(LEN($C829)&lt;&gt;16,"NIK bukan 16 digit",IF(COUNTIF($C$4:$C$2003,$C829&amp;"*")&gt;1,"NIK ganda",IF(AND($D829&lt;&gt;"",LEN($D829)&lt;&gt;16),"No. KK bukan 16 digit",IF(AND($F829="",$I829=""),"Alamat kosong",IF($N829="","Jabatan kosong",IF($O829="","No. HP kosong",IF(AND($R829&lt;&gt;"",$R829&lt;17),"Usia di bawah 17","")))))))))</f>
        <v/>
      </c>
      <c r="Z829" s="40" t="str">
        <f aca="false">IF($B829="","",IF(AND(OR(CARI!$C$5="",ISNUMBER(SEARCH(CARI!$C$5,$B829&amp;" "&amp;$C829&amp;" "&amp;$D829&amp;" "&amp;$O829&amp;" "&amp;$I829&amp;" "&amp;$F829&amp;" "&amp;$J829&amp;" "&amp;$K829&amp;" "&amp;$L829&amp;" "&amp;$V829))),OR(CARI!$C$6="",$F829=CARI!$C$6),OR(CARI!$C$7="",$G829=CARI!$C$7),OR(CARI!$C$8="",$T829=CARI!$C$8)),MAX($Z$3:Z828)+1,""))</f>
        <v/>
      </c>
      <c r="AA829" s="40" t="str">
        <f aca="false">IF($Y829="","",MAX($AA$3:AA828)+1)</f>
        <v/>
      </c>
      <c r="AB829" s="40" t="str">
        <f aca="false">IF($F829="","",$F829&amp;"#"&amp;COUNTIF($F$4:$F829,$F829))</f>
        <v/>
      </c>
      <c r="AC829" s="40" t="str">
        <f aca="false">IF($B829="","",IF(AND(OR(CETAK!$J$10="",$F829=CETAK!$J$10),OR(CETAK!$J$11="",$G829=CETAK!$J$11),OR(CETAK!$J$12="",$P829=CETAK!$J$12),OR(CETAK!$J$13="",$N829=CETAK!$J$13),OR(CETAK!$J$14="",$T829=CETAK!$J$14)),MAX($AC$3:AC828)+1,""))</f>
        <v/>
      </c>
      <c r="AD829" s="40" t="str">
        <f aca="false">IF($B829="","",IF(AND(OR(ABSENSI!$H$10="",$F829=ABSENSI!$H$10),OR(ABSENSI!$H$11="",$G829=ABSENSI!$H$11),OR(ABSENSI!$H$12="",$P829=ABSENSI!$H$12)),MAX($AD$3:AD828)+1,""))</f>
        <v/>
      </c>
      <c r="AE829" s="40" t="str">
        <f aca="false">IF($B829="","",IF(AND(OR(KARTU!$K$6="",$F829=KARTU!$K$6),OR(KARTU!$K$7="",$G829=KARTU!$K$7),OR(KARTU!$K$8="",$P829=KARTU!$K$8)),MAX($AE$3:AE828)+1,""))</f>
        <v/>
      </c>
    </row>
    <row r="830" customFormat="false" ht="15" hidden="false" customHeight="false" outlineLevel="0" collapsed="false">
      <c r="A830" s="35" t="str">
        <f aca="false">IF($B830="","",COUNTA($B$4:$B830))</f>
        <v/>
      </c>
      <c r="B830" s="36"/>
      <c r="C830" s="37"/>
      <c r="D830" s="37"/>
      <c r="E830" s="38"/>
      <c r="F830" s="36"/>
      <c r="G830" s="39"/>
      <c r="H830" s="39"/>
      <c r="I830" s="36"/>
      <c r="J830" s="36"/>
      <c r="K830" s="36"/>
      <c r="L830" s="36"/>
      <c r="M830" s="40" t="str">
        <f aca="false">IF($F830="","",$F830&amp;IF($G830="",""," - RT "&amp;$G830&amp;IF($H830="","","/"&amp;$H830)))</f>
        <v/>
      </c>
      <c r="N830" s="36"/>
      <c r="O830" s="37"/>
      <c r="P830" s="39"/>
      <c r="Q830" s="41"/>
      <c r="R830" s="35" t="str">
        <f aca="true">IF(OR($B830="",$Q830=""),"",DATEDIF($Q830,TODAY(),"Y"))</f>
        <v/>
      </c>
      <c r="S830" s="40" t="str">
        <f aca="false">IF($R830="","",INDEX(usia_label,MATCH($R830,usia_min,1)))</f>
        <v/>
      </c>
      <c r="T830" s="36"/>
      <c r="U830" s="41"/>
      <c r="V830" s="36"/>
      <c r="W830" s="36"/>
      <c r="X830" s="40" t="str">
        <f aca="false">IF($M830="","",$M830&amp;"#"&amp;COUNTIF($M$4:$M830,$M830))</f>
        <v/>
      </c>
      <c r="Y830" s="40" t="str">
        <f aca="false">IF($B830="","",IF($C830="","NIK kosong",IF(LEN($C830)&lt;&gt;16,"NIK bukan 16 digit",IF(COUNTIF($C$4:$C$2003,$C830&amp;"*")&gt;1,"NIK ganda",IF(AND($D830&lt;&gt;"",LEN($D830)&lt;&gt;16),"No. KK bukan 16 digit",IF(AND($F830="",$I830=""),"Alamat kosong",IF($N830="","Jabatan kosong",IF($O830="","No. HP kosong",IF(AND($R830&lt;&gt;"",$R830&lt;17),"Usia di bawah 17","")))))))))</f>
        <v/>
      </c>
      <c r="Z830" s="40" t="str">
        <f aca="false">IF($B830="","",IF(AND(OR(CARI!$C$5="",ISNUMBER(SEARCH(CARI!$C$5,$B830&amp;" "&amp;$C830&amp;" "&amp;$D830&amp;" "&amp;$O830&amp;" "&amp;$I830&amp;" "&amp;$F830&amp;" "&amp;$J830&amp;" "&amp;$K830&amp;" "&amp;$L830&amp;" "&amp;$V830))),OR(CARI!$C$6="",$F830=CARI!$C$6),OR(CARI!$C$7="",$G830=CARI!$C$7),OR(CARI!$C$8="",$T830=CARI!$C$8)),MAX($Z$3:Z829)+1,""))</f>
        <v/>
      </c>
      <c r="AA830" s="40" t="str">
        <f aca="false">IF($Y830="","",MAX($AA$3:AA829)+1)</f>
        <v/>
      </c>
      <c r="AB830" s="40" t="str">
        <f aca="false">IF($F830="","",$F830&amp;"#"&amp;COUNTIF($F$4:$F830,$F830))</f>
        <v/>
      </c>
      <c r="AC830" s="40" t="str">
        <f aca="false">IF($B830="","",IF(AND(OR(CETAK!$J$10="",$F830=CETAK!$J$10),OR(CETAK!$J$11="",$G830=CETAK!$J$11),OR(CETAK!$J$12="",$P830=CETAK!$J$12),OR(CETAK!$J$13="",$N830=CETAK!$J$13),OR(CETAK!$J$14="",$T830=CETAK!$J$14)),MAX($AC$3:AC829)+1,""))</f>
        <v/>
      </c>
      <c r="AD830" s="40" t="str">
        <f aca="false">IF($B830="","",IF(AND(OR(ABSENSI!$H$10="",$F830=ABSENSI!$H$10),OR(ABSENSI!$H$11="",$G830=ABSENSI!$H$11),OR(ABSENSI!$H$12="",$P830=ABSENSI!$H$12)),MAX($AD$3:AD829)+1,""))</f>
        <v/>
      </c>
      <c r="AE830" s="40" t="str">
        <f aca="false">IF($B830="","",IF(AND(OR(KARTU!$K$6="",$F830=KARTU!$K$6),OR(KARTU!$K$7="",$G830=KARTU!$K$7),OR(KARTU!$K$8="",$P830=KARTU!$K$8)),MAX($AE$3:AE829)+1,""))</f>
        <v/>
      </c>
    </row>
    <row r="831" customFormat="false" ht="15" hidden="false" customHeight="false" outlineLevel="0" collapsed="false">
      <c r="A831" s="35" t="str">
        <f aca="false">IF($B831="","",COUNTA($B$4:$B831))</f>
        <v/>
      </c>
      <c r="B831" s="36"/>
      <c r="C831" s="37"/>
      <c r="D831" s="37"/>
      <c r="E831" s="38"/>
      <c r="F831" s="36"/>
      <c r="G831" s="39"/>
      <c r="H831" s="39"/>
      <c r="I831" s="36"/>
      <c r="J831" s="36"/>
      <c r="K831" s="36"/>
      <c r="L831" s="36"/>
      <c r="M831" s="40" t="str">
        <f aca="false">IF($F831="","",$F831&amp;IF($G831="",""," - RT "&amp;$G831&amp;IF($H831="","","/"&amp;$H831)))</f>
        <v/>
      </c>
      <c r="N831" s="36"/>
      <c r="O831" s="37"/>
      <c r="P831" s="39"/>
      <c r="Q831" s="41"/>
      <c r="R831" s="35" t="str">
        <f aca="true">IF(OR($B831="",$Q831=""),"",DATEDIF($Q831,TODAY(),"Y"))</f>
        <v/>
      </c>
      <c r="S831" s="40" t="str">
        <f aca="false">IF($R831="","",INDEX(usia_label,MATCH($R831,usia_min,1)))</f>
        <v/>
      </c>
      <c r="T831" s="36"/>
      <c r="U831" s="41"/>
      <c r="V831" s="36"/>
      <c r="W831" s="36"/>
      <c r="X831" s="40" t="str">
        <f aca="false">IF($M831="","",$M831&amp;"#"&amp;COUNTIF($M$4:$M831,$M831))</f>
        <v/>
      </c>
      <c r="Y831" s="40" t="str">
        <f aca="false">IF($B831="","",IF($C831="","NIK kosong",IF(LEN($C831)&lt;&gt;16,"NIK bukan 16 digit",IF(COUNTIF($C$4:$C$2003,$C831&amp;"*")&gt;1,"NIK ganda",IF(AND($D831&lt;&gt;"",LEN($D831)&lt;&gt;16),"No. KK bukan 16 digit",IF(AND($F831="",$I831=""),"Alamat kosong",IF($N831="","Jabatan kosong",IF($O831="","No. HP kosong",IF(AND($R831&lt;&gt;"",$R831&lt;17),"Usia di bawah 17","")))))))))</f>
        <v/>
      </c>
      <c r="Z831" s="40" t="str">
        <f aca="false">IF($B831="","",IF(AND(OR(CARI!$C$5="",ISNUMBER(SEARCH(CARI!$C$5,$B831&amp;" "&amp;$C831&amp;" "&amp;$D831&amp;" "&amp;$O831&amp;" "&amp;$I831&amp;" "&amp;$F831&amp;" "&amp;$J831&amp;" "&amp;$K831&amp;" "&amp;$L831&amp;" "&amp;$V831))),OR(CARI!$C$6="",$F831=CARI!$C$6),OR(CARI!$C$7="",$G831=CARI!$C$7),OR(CARI!$C$8="",$T831=CARI!$C$8)),MAX($Z$3:Z830)+1,""))</f>
        <v/>
      </c>
      <c r="AA831" s="40" t="str">
        <f aca="false">IF($Y831="","",MAX($AA$3:AA830)+1)</f>
        <v/>
      </c>
      <c r="AB831" s="40" t="str">
        <f aca="false">IF($F831="","",$F831&amp;"#"&amp;COUNTIF($F$4:$F831,$F831))</f>
        <v/>
      </c>
      <c r="AC831" s="40" t="str">
        <f aca="false">IF($B831="","",IF(AND(OR(CETAK!$J$10="",$F831=CETAK!$J$10),OR(CETAK!$J$11="",$G831=CETAK!$J$11),OR(CETAK!$J$12="",$P831=CETAK!$J$12),OR(CETAK!$J$13="",$N831=CETAK!$J$13),OR(CETAK!$J$14="",$T831=CETAK!$J$14)),MAX($AC$3:AC830)+1,""))</f>
        <v/>
      </c>
      <c r="AD831" s="40" t="str">
        <f aca="false">IF($B831="","",IF(AND(OR(ABSENSI!$H$10="",$F831=ABSENSI!$H$10),OR(ABSENSI!$H$11="",$G831=ABSENSI!$H$11),OR(ABSENSI!$H$12="",$P831=ABSENSI!$H$12)),MAX($AD$3:AD830)+1,""))</f>
        <v/>
      </c>
      <c r="AE831" s="40" t="str">
        <f aca="false">IF($B831="","",IF(AND(OR(KARTU!$K$6="",$F831=KARTU!$K$6),OR(KARTU!$K$7="",$G831=KARTU!$K$7),OR(KARTU!$K$8="",$P831=KARTU!$K$8)),MAX($AE$3:AE830)+1,""))</f>
        <v/>
      </c>
    </row>
    <row r="832" customFormat="false" ht="15" hidden="false" customHeight="false" outlineLevel="0" collapsed="false">
      <c r="A832" s="35" t="str">
        <f aca="false">IF($B832="","",COUNTA($B$4:$B832))</f>
        <v/>
      </c>
      <c r="B832" s="36"/>
      <c r="C832" s="37"/>
      <c r="D832" s="37"/>
      <c r="E832" s="38"/>
      <c r="F832" s="36"/>
      <c r="G832" s="39"/>
      <c r="H832" s="39"/>
      <c r="I832" s="36"/>
      <c r="J832" s="36"/>
      <c r="K832" s="36"/>
      <c r="L832" s="36"/>
      <c r="M832" s="40" t="str">
        <f aca="false">IF($F832="","",$F832&amp;IF($G832="",""," - RT "&amp;$G832&amp;IF($H832="","","/"&amp;$H832)))</f>
        <v/>
      </c>
      <c r="N832" s="36"/>
      <c r="O832" s="37"/>
      <c r="P832" s="39"/>
      <c r="Q832" s="41"/>
      <c r="R832" s="35" t="str">
        <f aca="true">IF(OR($B832="",$Q832=""),"",DATEDIF($Q832,TODAY(),"Y"))</f>
        <v/>
      </c>
      <c r="S832" s="40" t="str">
        <f aca="false">IF($R832="","",INDEX(usia_label,MATCH($R832,usia_min,1)))</f>
        <v/>
      </c>
      <c r="T832" s="36"/>
      <c r="U832" s="41"/>
      <c r="V832" s="36"/>
      <c r="W832" s="36"/>
      <c r="X832" s="40" t="str">
        <f aca="false">IF($M832="","",$M832&amp;"#"&amp;COUNTIF($M$4:$M832,$M832))</f>
        <v/>
      </c>
      <c r="Y832" s="40" t="str">
        <f aca="false">IF($B832="","",IF($C832="","NIK kosong",IF(LEN($C832)&lt;&gt;16,"NIK bukan 16 digit",IF(COUNTIF($C$4:$C$2003,$C832&amp;"*")&gt;1,"NIK ganda",IF(AND($D832&lt;&gt;"",LEN($D832)&lt;&gt;16),"No. KK bukan 16 digit",IF(AND($F832="",$I832=""),"Alamat kosong",IF($N832="","Jabatan kosong",IF($O832="","No. HP kosong",IF(AND($R832&lt;&gt;"",$R832&lt;17),"Usia di bawah 17","")))))))))</f>
        <v/>
      </c>
      <c r="Z832" s="40" t="str">
        <f aca="false">IF($B832="","",IF(AND(OR(CARI!$C$5="",ISNUMBER(SEARCH(CARI!$C$5,$B832&amp;" "&amp;$C832&amp;" "&amp;$D832&amp;" "&amp;$O832&amp;" "&amp;$I832&amp;" "&amp;$F832&amp;" "&amp;$J832&amp;" "&amp;$K832&amp;" "&amp;$L832&amp;" "&amp;$V832))),OR(CARI!$C$6="",$F832=CARI!$C$6),OR(CARI!$C$7="",$G832=CARI!$C$7),OR(CARI!$C$8="",$T832=CARI!$C$8)),MAX($Z$3:Z831)+1,""))</f>
        <v/>
      </c>
      <c r="AA832" s="40" t="str">
        <f aca="false">IF($Y832="","",MAX($AA$3:AA831)+1)</f>
        <v/>
      </c>
      <c r="AB832" s="40" t="str">
        <f aca="false">IF($F832="","",$F832&amp;"#"&amp;COUNTIF($F$4:$F832,$F832))</f>
        <v/>
      </c>
      <c r="AC832" s="40" t="str">
        <f aca="false">IF($B832="","",IF(AND(OR(CETAK!$J$10="",$F832=CETAK!$J$10),OR(CETAK!$J$11="",$G832=CETAK!$J$11),OR(CETAK!$J$12="",$P832=CETAK!$J$12),OR(CETAK!$J$13="",$N832=CETAK!$J$13),OR(CETAK!$J$14="",$T832=CETAK!$J$14)),MAX($AC$3:AC831)+1,""))</f>
        <v/>
      </c>
      <c r="AD832" s="40" t="str">
        <f aca="false">IF($B832="","",IF(AND(OR(ABSENSI!$H$10="",$F832=ABSENSI!$H$10),OR(ABSENSI!$H$11="",$G832=ABSENSI!$H$11),OR(ABSENSI!$H$12="",$P832=ABSENSI!$H$12)),MAX($AD$3:AD831)+1,""))</f>
        <v/>
      </c>
      <c r="AE832" s="40" t="str">
        <f aca="false">IF($B832="","",IF(AND(OR(KARTU!$K$6="",$F832=KARTU!$K$6),OR(KARTU!$K$7="",$G832=KARTU!$K$7),OR(KARTU!$K$8="",$P832=KARTU!$K$8)),MAX($AE$3:AE831)+1,""))</f>
        <v/>
      </c>
    </row>
    <row r="833" customFormat="false" ht="15" hidden="false" customHeight="false" outlineLevel="0" collapsed="false">
      <c r="A833" s="35" t="str">
        <f aca="false">IF($B833="","",COUNTA($B$4:$B833))</f>
        <v/>
      </c>
      <c r="B833" s="36"/>
      <c r="C833" s="37"/>
      <c r="D833" s="37"/>
      <c r="E833" s="38"/>
      <c r="F833" s="36"/>
      <c r="G833" s="39"/>
      <c r="H833" s="39"/>
      <c r="I833" s="36"/>
      <c r="J833" s="36"/>
      <c r="K833" s="36"/>
      <c r="L833" s="36"/>
      <c r="M833" s="40" t="str">
        <f aca="false">IF($F833="","",$F833&amp;IF($G833="",""," - RT "&amp;$G833&amp;IF($H833="","","/"&amp;$H833)))</f>
        <v/>
      </c>
      <c r="N833" s="36"/>
      <c r="O833" s="37"/>
      <c r="P833" s="39"/>
      <c r="Q833" s="41"/>
      <c r="R833" s="35" t="str">
        <f aca="true">IF(OR($B833="",$Q833=""),"",DATEDIF($Q833,TODAY(),"Y"))</f>
        <v/>
      </c>
      <c r="S833" s="40" t="str">
        <f aca="false">IF($R833="","",INDEX(usia_label,MATCH($R833,usia_min,1)))</f>
        <v/>
      </c>
      <c r="T833" s="36"/>
      <c r="U833" s="41"/>
      <c r="V833" s="36"/>
      <c r="W833" s="36"/>
      <c r="X833" s="40" t="str">
        <f aca="false">IF($M833="","",$M833&amp;"#"&amp;COUNTIF($M$4:$M833,$M833))</f>
        <v/>
      </c>
      <c r="Y833" s="40" t="str">
        <f aca="false">IF($B833="","",IF($C833="","NIK kosong",IF(LEN($C833)&lt;&gt;16,"NIK bukan 16 digit",IF(COUNTIF($C$4:$C$2003,$C833&amp;"*")&gt;1,"NIK ganda",IF(AND($D833&lt;&gt;"",LEN($D833)&lt;&gt;16),"No. KK bukan 16 digit",IF(AND($F833="",$I833=""),"Alamat kosong",IF($N833="","Jabatan kosong",IF($O833="","No. HP kosong",IF(AND($R833&lt;&gt;"",$R833&lt;17),"Usia di bawah 17","")))))))))</f>
        <v/>
      </c>
      <c r="Z833" s="40" t="str">
        <f aca="false">IF($B833="","",IF(AND(OR(CARI!$C$5="",ISNUMBER(SEARCH(CARI!$C$5,$B833&amp;" "&amp;$C833&amp;" "&amp;$D833&amp;" "&amp;$O833&amp;" "&amp;$I833&amp;" "&amp;$F833&amp;" "&amp;$J833&amp;" "&amp;$K833&amp;" "&amp;$L833&amp;" "&amp;$V833))),OR(CARI!$C$6="",$F833=CARI!$C$6),OR(CARI!$C$7="",$G833=CARI!$C$7),OR(CARI!$C$8="",$T833=CARI!$C$8)),MAX($Z$3:Z832)+1,""))</f>
        <v/>
      </c>
      <c r="AA833" s="40" t="str">
        <f aca="false">IF($Y833="","",MAX($AA$3:AA832)+1)</f>
        <v/>
      </c>
      <c r="AB833" s="40" t="str">
        <f aca="false">IF($F833="","",$F833&amp;"#"&amp;COUNTIF($F$4:$F833,$F833))</f>
        <v/>
      </c>
      <c r="AC833" s="40" t="str">
        <f aca="false">IF($B833="","",IF(AND(OR(CETAK!$J$10="",$F833=CETAK!$J$10),OR(CETAK!$J$11="",$G833=CETAK!$J$11),OR(CETAK!$J$12="",$P833=CETAK!$J$12),OR(CETAK!$J$13="",$N833=CETAK!$J$13),OR(CETAK!$J$14="",$T833=CETAK!$J$14)),MAX($AC$3:AC832)+1,""))</f>
        <v/>
      </c>
      <c r="AD833" s="40" t="str">
        <f aca="false">IF($B833="","",IF(AND(OR(ABSENSI!$H$10="",$F833=ABSENSI!$H$10),OR(ABSENSI!$H$11="",$G833=ABSENSI!$H$11),OR(ABSENSI!$H$12="",$P833=ABSENSI!$H$12)),MAX($AD$3:AD832)+1,""))</f>
        <v/>
      </c>
      <c r="AE833" s="40" t="str">
        <f aca="false">IF($B833="","",IF(AND(OR(KARTU!$K$6="",$F833=KARTU!$K$6),OR(KARTU!$K$7="",$G833=KARTU!$K$7),OR(KARTU!$K$8="",$P833=KARTU!$K$8)),MAX($AE$3:AE832)+1,""))</f>
        <v/>
      </c>
    </row>
    <row r="834" customFormat="false" ht="15" hidden="false" customHeight="false" outlineLevel="0" collapsed="false">
      <c r="A834" s="35" t="str">
        <f aca="false">IF($B834="","",COUNTA($B$4:$B834))</f>
        <v/>
      </c>
      <c r="B834" s="36"/>
      <c r="C834" s="37"/>
      <c r="D834" s="37"/>
      <c r="E834" s="38"/>
      <c r="F834" s="36"/>
      <c r="G834" s="39"/>
      <c r="H834" s="39"/>
      <c r="I834" s="36"/>
      <c r="J834" s="36"/>
      <c r="K834" s="36"/>
      <c r="L834" s="36"/>
      <c r="M834" s="40" t="str">
        <f aca="false">IF($F834="","",$F834&amp;IF($G834="",""," - RT "&amp;$G834&amp;IF($H834="","","/"&amp;$H834)))</f>
        <v/>
      </c>
      <c r="N834" s="36"/>
      <c r="O834" s="37"/>
      <c r="P834" s="39"/>
      <c r="Q834" s="41"/>
      <c r="R834" s="35" t="str">
        <f aca="true">IF(OR($B834="",$Q834=""),"",DATEDIF($Q834,TODAY(),"Y"))</f>
        <v/>
      </c>
      <c r="S834" s="40" t="str">
        <f aca="false">IF($R834="","",INDEX(usia_label,MATCH($R834,usia_min,1)))</f>
        <v/>
      </c>
      <c r="T834" s="36"/>
      <c r="U834" s="41"/>
      <c r="V834" s="36"/>
      <c r="W834" s="36"/>
      <c r="X834" s="40" t="str">
        <f aca="false">IF($M834="","",$M834&amp;"#"&amp;COUNTIF($M$4:$M834,$M834))</f>
        <v/>
      </c>
      <c r="Y834" s="40" t="str">
        <f aca="false">IF($B834="","",IF($C834="","NIK kosong",IF(LEN($C834)&lt;&gt;16,"NIK bukan 16 digit",IF(COUNTIF($C$4:$C$2003,$C834&amp;"*")&gt;1,"NIK ganda",IF(AND($D834&lt;&gt;"",LEN($D834)&lt;&gt;16),"No. KK bukan 16 digit",IF(AND($F834="",$I834=""),"Alamat kosong",IF($N834="","Jabatan kosong",IF($O834="","No. HP kosong",IF(AND($R834&lt;&gt;"",$R834&lt;17),"Usia di bawah 17","")))))))))</f>
        <v/>
      </c>
      <c r="Z834" s="40" t="str">
        <f aca="false">IF($B834="","",IF(AND(OR(CARI!$C$5="",ISNUMBER(SEARCH(CARI!$C$5,$B834&amp;" "&amp;$C834&amp;" "&amp;$D834&amp;" "&amp;$O834&amp;" "&amp;$I834&amp;" "&amp;$F834&amp;" "&amp;$J834&amp;" "&amp;$K834&amp;" "&amp;$L834&amp;" "&amp;$V834))),OR(CARI!$C$6="",$F834=CARI!$C$6),OR(CARI!$C$7="",$G834=CARI!$C$7),OR(CARI!$C$8="",$T834=CARI!$C$8)),MAX($Z$3:Z833)+1,""))</f>
        <v/>
      </c>
      <c r="AA834" s="40" t="str">
        <f aca="false">IF($Y834="","",MAX($AA$3:AA833)+1)</f>
        <v/>
      </c>
      <c r="AB834" s="40" t="str">
        <f aca="false">IF($F834="","",$F834&amp;"#"&amp;COUNTIF($F$4:$F834,$F834))</f>
        <v/>
      </c>
      <c r="AC834" s="40" t="str">
        <f aca="false">IF($B834="","",IF(AND(OR(CETAK!$J$10="",$F834=CETAK!$J$10),OR(CETAK!$J$11="",$G834=CETAK!$J$11),OR(CETAK!$J$12="",$P834=CETAK!$J$12),OR(CETAK!$J$13="",$N834=CETAK!$J$13),OR(CETAK!$J$14="",$T834=CETAK!$J$14)),MAX($AC$3:AC833)+1,""))</f>
        <v/>
      </c>
      <c r="AD834" s="40" t="str">
        <f aca="false">IF($B834="","",IF(AND(OR(ABSENSI!$H$10="",$F834=ABSENSI!$H$10),OR(ABSENSI!$H$11="",$G834=ABSENSI!$H$11),OR(ABSENSI!$H$12="",$P834=ABSENSI!$H$12)),MAX($AD$3:AD833)+1,""))</f>
        <v/>
      </c>
      <c r="AE834" s="40" t="str">
        <f aca="false">IF($B834="","",IF(AND(OR(KARTU!$K$6="",$F834=KARTU!$K$6),OR(KARTU!$K$7="",$G834=KARTU!$K$7),OR(KARTU!$K$8="",$P834=KARTU!$K$8)),MAX($AE$3:AE833)+1,""))</f>
        <v/>
      </c>
    </row>
    <row r="835" customFormat="false" ht="15" hidden="false" customHeight="false" outlineLevel="0" collapsed="false">
      <c r="A835" s="35" t="str">
        <f aca="false">IF($B835="","",COUNTA($B$4:$B835))</f>
        <v/>
      </c>
      <c r="B835" s="36"/>
      <c r="C835" s="37"/>
      <c r="D835" s="37"/>
      <c r="E835" s="38"/>
      <c r="F835" s="36"/>
      <c r="G835" s="39"/>
      <c r="H835" s="39"/>
      <c r="I835" s="36"/>
      <c r="J835" s="36"/>
      <c r="K835" s="36"/>
      <c r="L835" s="36"/>
      <c r="M835" s="40" t="str">
        <f aca="false">IF($F835="","",$F835&amp;IF($G835="",""," - RT "&amp;$G835&amp;IF($H835="","","/"&amp;$H835)))</f>
        <v/>
      </c>
      <c r="N835" s="36"/>
      <c r="O835" s="37"/>
      <c r="P835" s="39"/>
      <c r="Q835" s="41"/>
      <c r="R835" s="35" t="str">
        <f aca="true">IF(OR($B835="",$Q835=""),"",DATEDIF($Q835,TODAY(),"Y"))</f>
        <v/>
      </c>
      <c r="S835" s="40" t="str">
        <f aca="false">IF($R835="","",INDEX(usia_label,MATCH($R835,usia_min,1)))</f>
        <v/>
      </c>
      <c r="T835" s="36"/>
      <c r="U835" s="41"/>
      <c r="V835" s="36"/>
      <c r="W835" s="36"/>
      <c r="X835" s="40" t="str">
        <f aca="false">IF($M835="","",$M835&amp;"#"&amp;COUNTIF($M$4:$M835,$M835))</f>
        <v/>
      </c>
      <c r="Y835" s="40" t="str">
        <f aca="false">IF($B835="","",IF($C835="","NIK kosong",IF(LEN($C835)&lt;&gt;16,"NIK bukan 16 digit",IF(COUNTIF($C$4:$C$2003,$C835&amp;"*")&gt;1,"NIK ganda",IF(AND($D835&lt;&gt;"",LEN($D835)&lt;&gt;16),"No. KK bukan 16 digit",IF(AND($F835="",$I835=""),"Alamat kosong",IF($N835="","Jabatan kosong",IF($O835="","No. HP kosong",IF(AND($R835&lt;&gt;"",$R835&lt;17),"Usia di bawah 17","")))))))))</f>
        <v/>
      </c>
      <c r="Z835" s="40" t="str">
        <f aca="false">IF($B835="","",IF(AND(OR(CARI!$C$5="",ISNUMBER(SEARCH(CARI!$C$5,$B835&amp;" "&amp;$C835&amp;" "&amp;$D835&amp;" "&amp;$O835&amp;" "&amp;$I835&amp;" "&amp;$F835&amp;" "&amp;$J835&amp;" "&amp;$K835&amp;" "&amp;$L835&amp;" "&amp;$V835))),OR(CARI!$C$6="",$F835=CARI!$C$6),OR(CARI!$C$7="",$G835=CARI!$C$7),OR(CARI!$C$8="",$T835=CARI!$C$8)),MAX($Z$3:Z834)+1,""))</f>
        <v/>
      </c>
      <c r="AA835" s="40" t="str">
        <f aca="false">IF($Y835="","",MAX($AA$3:AA834)+1)</f>
        <v/>
      </c>
      <c r="AB835" s="40" t="str">
        <f aca="false">IF($F835="","",$F835&amp;"#"&amp;COUNTIF($F$4:$F835,$F835))</f>
        <v/>
      </c>
      <c r="AC835" s="40" t="str">
        <f aca="false">IF($B835="","",IF(AND(OR(CETAK!$J$10="",$F835=CETAK!$J$10),OR(CETAK!$J$11="",$G835=CETAK!$J$11),OR(CETAK!$J$12="",$P835=CETAK!$J$12),OR(CETAK!$J$13="",$N835=CETAK!$J$13),OR(CETAK!$J$14="",$T835=CETAK!$J$14)),MAX($AC$3:AC834)+1,""))</f>
        <v/>
      </c>
      <c r="AD835" s="40" t="str">
        <f aca="false">IF($B835="","",IF(AND(OR(ABSENSI!$H$10="",$F835=ABSENSI!$H$10),OR(ABSENSI!$H$11="",$G835=ABSENSI!$H$11),OR(ABSENSI!$H$12="",$P835=ABSENSI!$H$12)),MAX($AD$3:AD834)+1,""))</f>
        <v/>
      </c>
      <c r="AE835" s="40" t="str">
        <f aca="false">IF($B835="","",IF(AND(OR(KARTU!$K$6="",$F835=KARTU!$K$6),OR(KARTU!$K$7="",$G835=KARTU!$K$7),OR(KARTU!$K$8="",$P835=KARTU!$K$8)),MAX($AE$3:AE834)+1,""))</f>
        <v/>
      </c>
    </row>
    <row r="836" customFormat="false" ht="15" hidden="false" customHeight="false" outlineLevel="0" collapsed="false">
      <c r="A836" s="35" t="str">
        <f aca="false">IF($B836="","",COUNTA($B$4:$B836))</f>
        <v/>
      </c>
      <c r="B836" s="36"/>
      <c r="C836" s="37"/>
      <c r="D836" s="37"/>
      <c r="E836" s="38"/>
      <c r="F836" s="36"/>
      <c r="G836" s="39"/>
      <c r="H836" s="39"/>
      <c r="I836" s="36"/>
      <c r="J836" s="36"/>
      <c r="K836" s="36"/>
      <c r="L836" s="36"/>
      <c r="M836" s="40" t="str">
        <f aca="false">IF($F836="","",$F836&amp;IF($G836="",""," - RT "&amp;$G836&amp;IF($H836="","","/"&amp;$H836)))</f>
        <v/>
      </c>
      <c r="N836" s="36"/>
      <c r="O836" s="37"/>
      <c r="P836" s="39"/>
      <c r="Q836" s="41"/>
      <c r="R836" s="35" t="str">
        <f aca="true">IF(OR($B836="",$Q836=""),"",DATEDIF($Q836,TODAY(),"Y"))</f>
        <v/>
      </c>
      <c r="S836" s="40" t="str">
        <f aca="false">IF($R836="","",INDEX(usia_label,MATCH($R836,usia_min,1)))</f>
        <v/>
      </c>
      <c r="T836" s="36"/>
      <c r="U836" s="41"/>
      <c r="V836" s="36"/>
      <c r="W836" s="36"/>
      <c r="X836" s="40" t="str">
        <f aca="false">IF($M836="","",$M836&amp;"#"&amp;COUNTIF($M$4:$M836,$M836))</f>
        <v/>
      </c>
      <c r="Y836" s="40" t="str">
        <f aca="false">IF($B836="","",IF($C836="","NIK kosong",IF(LEN($C836)&lt;&gt;16,"NIK bukan 16 digit",IF(COUNTIF($C$4:$C$2003,$C836&amp;"*")&gt;1,"NIK ganda",IF(AND($D836&lt;&gt;"",LEN($D836)&lt;&gt;16),"No. KK bukan 16 digit",IF(AND($F836="",$I836=""),"Alamat kosong",IF($N836="","Jabatan kosong",IF($O836="","No. HP kosong",IF(AND($R836&lt;&gt;"",$R836&lt;17),"Usia di bawah 17","")))))))))</f>
        <v/>
      </c>
      <c r="Z836" s="40" t="str">
        <f aca="false">IF($B836="","",IF(AND(OR(CARI!$C$5="",ISNUMBER(SEARCH(CARI!$C$5,$B836&amp;" "&amp;$C836&amp;" "&amp;$D836&amp;" "&amp;$O836&amp;" "&amp;$I836&amp;" "&amp;$F836&amp;" "&amp;$J836&amp;" "&amp;$K836&amp;" "&amp;$L836&amp;" "&amp;$V836))),OR(CARI!$C$6="",$F836=CARI!$C$6),OR(CARI!$C$7="",$G836=CARI!$C$7),OR(CARI!$C$8="",$T836=CARI!$C$8)),MAX($Z$3:Z835)+1,""))</f>
        <v/>
      </c>
      <c r="AA836" s="40" t="str">
        <f aca="false">IF($Y836="","",MAX($AA$3:AA835)+1)</f>
        <v/>
      </c>
      <c r="AB836" s="40" t="str">
        <f aca="false">IF($F836="","",$F836&amp;"#"&amp;COUNTIF($F$4:$F836,$F836))</f>
        <v/>
      </c>
      <c r="AC836" s="40" t="str">
        <f aca="false">IF($B836="","",IF(AND(OR(CETAK!$J$10="",$F836=CETAK!$J$10),OR(CETAK!$J$11="",$G836=CETAK!$J$11),OR(CETAK!$J$12="",$P836=CETAK!$J$12),OR(CETAK!$J$13="",$N836=CETAK!$J$13),OR(CETAK!$J$14="",$T836=CETAK!$J$14)),MAX($AC$3:AC835)+1,""))</f>
        <v/>
      </c>
      <c r="AD836" s="40" t="str">
        <f aca="false">IF($B836="","",IF(AND(OR(ABSENSI!$H$10="",$F836=ABSENSI!$H$10),OR(ABSENSI!$H$11="",$G836=ABSENSI!$H$11),OR(ABSENSI!$H$12="",$P836=ABSENSI!$H$12)),MAX($AD$3:AD835)+1,""))</f>
        <v/>
      </c>
      <c r="AE836" s="40" t="str">
        <f aca="false">IF($B836="","",IF(AND(OR(KARTU!$K$6="",$F836=KARTU!$K$6),OR(KARTU!$K$7="",$G836=KARTU!$K$7),OR(KARTU!$K$8="",$P836=KARTU!$K$8)),MAX($AE$3:AE835)+1,""))</f>
        <v/>
      </c>
    </row>
    <row r="837" customFormat="false" ht="15" hidden="false" customHeight="false" outlineLevel="0" collapsed="false">
      <c r="A837" s="35" t="str">
        <f aca="false">IF($B837="","",COUNTA($B$4:$B837))</f>
        <v/>
      </c>
      <c r="B837" s="36"/>
      <c r="C837" s="37"/>
      <c r="D837" s="37"/>
      <c r="E837" s="38"/>
      <c r="F837" s="36"/>
      <c r="G837" s="39"/>
      <c r="H837" s="39"/>
      <c r="I837" s="36"/>
      <c r="J837" s="36"/>
      <c r="K837" s="36"/>
      <c r="L837" s="36"/>
      <c r="M837" s="40" t="str">
        <f aca="false">IF($F837="","",$F837&amp;IF($G837="",""," - RT "&amp;$G837&amp;IF($H837="","","/"&amp;$H837)))</f>
        <v/>
      </c>
      <c r="N837" s="36"/>
      <c r="O837" s="37"/>
      <c r="P837" s="39"/>
      <c r="Q837" s="41"/>
      <c r="R837" s="35" t="str">
        <f aca="true">IF(OR($B837="",$Q837=""),"",DATEDIF($Q837,TODAY(),"Y"))</f>
        <v/>
      </c>
      <c r="S837" s="40" t="str">
        <f aca="false">IF($R837="","",INDEX(usia_label,MATCH($R837,usia_min,1)))</f>
        <v/>
      </c>
      <c r="T837" s="36"/>
      <c r="U837" s="41"/>
      <c r="V837" s="36"/>
      <c r="W837" s="36"/>
      <c r="X837" s="40" t="str">
        <f aca="false">IF($M837="","",$M837&amp;"#"&amp;COUNTIF($M$4:$M837,$M837))</f>
        <v/>
      </c>
      <c r="Y837" s="40" t="str">
        <f aca="false">IF($B837="","",IF($C837="","NIK kosong",IF(LEN($C837)&lt;&gt;16,"NIK bukan 16 digit",IF(COUNTIF($C$4:$C$2003,$C837&amp;"*")&gt;1,"NIK ganda",IF(AND($D837&lt;&gt;"",LEN($D837)&lt;&gt;16),"No. KK bukan 16 digit",IF(AND($F837="",$I837=""),"Alamat kosong",IF($N837="","Jabatan kosong",IF($O837="","No. HP kosong",IF(AND($R837&lt;&gt;"",$R837&lt;17),"Usia di bawah 17","")))))))))</f>
        <v/>
      </c>
      <c r="Z837" s="40" t="str">
        <f aca="false">IF($B837="","",IF(AND(OR(CARI!$C$5="",ISNUMBER(SEARCH(CARI!$C$5,$B837&amp;" "&amp;$C837&amp;" "&amp;$D837&amp;" "&amp;$O837&amp;" "&amp;$I837&amp;" "&amp;$F837&amp;" "&amp;$J837&amp;" "&amp;$K837&amp;" "&amp;$L837&amp;" "&amp;$V837))),OR(CARI!$C$6="",$F837=CARI!$C$6),OR(CARI!$C$7="",$G837=CARI!$C$7),OR(CARI!$C$8="",$T837=CARI!$C$8)),MAX($Z$3:Z836)+1,""))</f>
        <v/>
      </c>
      <c r="AA837" s="40" t="str">
        <f aca="false">IF($Y837="","",MAX($AA$3:AA836)+1)</f>
        <v/>
      </c>
      <c r="AB837" s="40" t="str">
        <f aca="false">IF($F837="","",$F837&amp;"#"&amp;COUNTIF($F$4:$F837,$F837))</f>
        <v/>
      </c>
      <c r="AC837" s="40" t="str">
        <f aca="false">IF($B837="","",IF(AND(OR(CETAK!$J$10="",$F837=CETAK!$J$10),OR(CETAK!$J$11="",$G837=CETAK!$J$11),OR(CETAK!$J$12="",$P837=CETAK!$J$12),OR(CETAK!$J$13="",$N837=CETAK!$J$13),OR(CETAK!$J$14="",$T837=CETAK!$J$14)),MAX($AC$3:AC836)+1,""))</f>
        <v/>
      </c>
      <c r="AD837" s="40" t="str">
        <f aca="false">IF($B837="","",IF(AND(OR(ABSENSI!$H$10="",$F837=ABSENSI!$H$10),OR(ABSENSI!$H$11="",$G837=ABSENSI!$H$11),OR(ABSENSI!$H$12="",$P837=ABSENSI!$H$12)),MAX($AD$3:AD836)+1,""))</f>
        <v/>
      </c>
      <c r="AE837" s="40" t="str">
        <f aca="false">IF($B837="","",IF(AND(OR(KARTU!$K$6="",$F837=KARTU!$K$6),OR(KARTU!$K$7="",$G837=KARTU!$K$7),OR(KARTU!$K$8="",$P837=KARTU!$K$8)),MAX($AE$3:AE836)+1,""))</f>
        <v/>
      </c>
    </row>
    <row r="838" customFormat="false" ht="15" hidden="false" customHeight="false" outlineLevel="0" collapsed="false">
      <c r="A838" s="35" t="str">
        <f aca="false">IF($B838="","",COUNTA($B$4:$B838))</f>
        <v/>
      </c>
      <c r="B838" s="36"/>
      <c r="C838" s="37"/>
      <c r="D838" s="37"/>
      <c r="E838" s="38"/>
      <c r="F838" s="36"/>
      <c r="G838" s="39"/>
      <c r="H838" s="39"/>
      <c r="I838" s="36"/>
      <c r="J838" s="36"/>
      <c r="K838" s="36"/>
      <c r="L838" s="36"/>
      <c r="M838" s="40" t="str">
        <f aca="false">IF($F838="","",$F838&amp;IF($G838="",""," - RT "&amp;$G838&amp;IF($H838="","","/"&amp;$H838)))</f>
        <v/>
      </c>
      <c r="N838" s="36"/>
      <c r="O838" s="37"/>
      <c r="P838" s="39"/>
      <c r="Q838" s="41"/>
      <c r="R838" s="35" t="str">
        <f aca="true">IF(OR($B838="",$Q838=""),"",DATEDIF($Q838,TODAY(),"Y"))</f>
        <v/>
      </c>
      <c r="S838" s="40" t="str">
        <f aca="false">IF($R838="","",INDEX(usia_label,MATCH($R838,usia_min,1)))</f>
        <v/>
      </c>
      <c r="T838" s="36"/>
      <c r="U838" s="41"/>
      <c r="V838" s="36"/>
      <c r="W838" s="36"/>
      <c r="X838" s="40" t="str">
        <f aca="false">IF($M838="","",$M838&amp;"#"&amp;COUNTIF($M$4:$M838,$M838))</f>
        <v/>
      </c>
      <c r="Y838" s="40" t="str">
        <f aca="false">IF($B838="","",IF($C838="","NIK kosong",IF(LEN($C838)&lt;&gt;16,"NIK bukan 16 digit",IF(COUNTIF($C$4:$C$2003,$C838&amp;"*")&gt;1,"NIK ganda",IF(AND($D838&lt;&gt;"",LEN($D838)&lt;&gt;16),"No. KK bukan 16 digit",IF(AND($F838="",$I838=""),"Alamat kosong",IF($N838="","Jabatan kosong",IF($O838="","No. HP kosong",IF(AND($R838&lt;&gt;"",$R838&lt;17),"Usia di bawah 17","")))))))))</f>
        <v/>
      </c>
      <c r="Z838" s="40" t="str">
        <f aca="false">IF($B838="","",IF(AND(OR(CARI!$C$5="",ISNUMBER(SEARCH(CARI!$C$5,$B838&amp;" "&amp;$C838&amp;" "&amp;$D838&amp;" "&amp;$O838&amp;" "&amp;$I838&amp;" "&amp;$F838&amp;" "&amp;$J838&amp;" "&amp;$K838&amp;" "&amp;$L838&amp;" "&amp;$V838))),OR(CARI!$C$6="",$F838=CARI!$C$6),OR(CARI!$C$7="",$G838=CARI!$C$7),OR(CARI!$C$8="",$T838=CARI!$C$8)),MAX($Z$3:Z837)+1,""))</f>
        <v/>
      </c>
      <c r="AA838" s="40" t="str">
        <f aca="false">IF($Y838="","",MAX($AA$3:AA837)+1)</f>
        <v/>
      </c>
      <c r="AB838" s="40" t="str">
        <f aca="false">IF($F838="","",$F838&amp;"#"&amp;COUNTIF($F$4:$F838,$F838))</f>
        <v/>
      </c>
      <c r="AC838" s="40" t="str">
        <f aca="false">IF($B838="","",IF(AND(OR(CETAK!$J$10="",$F838=CETAK!$J$10),OR(CETAK!$J$11="",$G838=CETAK!$J$11),OR(CETAK!$J$12="",$P838=CETAK!$J$12),OR(CETAK!$J$13="",$N838=CETAK!$J$13),OR(CETAK!$J$14="",$T838=CETAK!$J$14)),MAX($AC$3:AC837)+1,""))</f>
        <v/>
      </c>
      <c r="AD838" s="40" t="str">
        <f aca="false">IF($B838="","",IF(AND(OR(ABSENSI!$H$10="",$F838=ABSENSI!$H$10),OR(ABSENSI!$H$11="",$G838=ABSENSI!$H$11),OR(ABSENSI!$H$12="",$P838=ABSENSI!$H$12)),MAX($AD$3:AD837)+1,""))</f>
        <v/>
      </c>
      <c r="AE838" s="40" t="str">
        <f aca="false">IF($B838="","",IF(AND(OR(KARTU!$K$6="",$F838=KARTU!$K$6),OR(KARTU!$K$7="",$G838=KARTU!$K$7),OR(KARTU!$K$8="",$P838=KARTU!$K$8)),MAX($AE$3:AE837)+1,""))</f>
        <v/>
      </c>
    </row>
    <row r="839" customFormat="false" ht="15" hidden="false" customHeight="false" outlineLevel="0" collapsed="false">
      <c r="A839" s="35" t="str">
        <f aca="false">IF($B839="","",COUNTA($B$4:$B839))</f>
        <v/>
      </c>
      <c r="B839" s="36"/>
      <c r="C839" s="37"/>
      <c r="D839" s="37"/>
      <c r="E839" s="38"/>
      <c r="F839" s="36"/>
      <c r="G839" s="39"/>
      <c r="H839" s="39"/>
      <c r="I839" s="36"/>
      <c r="J839" s="36"/>
      <c r="K839" s="36"/>
      <c r="L839" s="36"/>
      <c r="M839" s="40" t="str">
        <f aca="false">IF($F839="","",$F839&amp;IF($G839="",""," - RT "&amp;$G839&amp;IF($H839="","","/"&amp;$H839)))</f>
        <v/>
      </c>
      <c r="N839" s="36"/>
      <c r="O839" s="37"/>
      <c r="P839" s="39"/>
      <c r="Q839" s="41"/>
      <c r="R839" s="35" t="str">
        <f aca="true">IF(OR($B839="",$Q839=""),"",DATEDIF($Q839,TODAY(),"Y"))</f>
        <v/>
      </c>
      <c r="S839" s="40" t="str">
        <f aca="false">IF($R839="","",INDEX(usia_label,MATCH($R839,usia_min,1)))</f>
        <v/>
      </c>
      <c r="T839" s="36"/>
      <c r="U839" s="41"/>
      <c r="V839" s="36"/>
      <c r="W839" s="36"/>
      <c r="X839" s="40" t="str">
        <f aca="false">IF($M839="","",$M839&amp;"#"&amp;COUNTIF($M$4:$M839,$M839))</f>
        <v/>
      </c>
      <c r="Y839" s="40" t="str">
        <f aca="false">IF($B839="","",IF($C839="","NIK kosong",IF(LEN($C839)&lt;&gt;16,"NIK bukan 16 digit",IF(COUNTIF($C$4:$C$2003,$C839&amp;"*")&gt;1,"NIK ganda",IF(AND($D839&lt;&gt;"",LEN($D839)&lt;&gt;16),"No. KK bukan 16 digit",IF(AND($F839="",$I839=""),"Alamat kosong",IF($N839="","Jabatan kosong",IF($O839="","No. HP kosong",IF(AND($R839&lt;&gt;"",$R839&lt;17),"Usia di bawah 17","")))))))))</f>
        <v/>
      </c>
      <c r="Z839" s="40" t="str">
        <f aca="false">IF($B839="","",IF(AND(OR(CARI!$C$5="",ISNUMBER(SEARCH(CARI!$C$5,$B839&amp;" "&amp;$C839&amp;" "&amp;$D839&amp;" "&amp;$O839&amp;" "&amp;$I839&amp;" "&amp;$F839&amp;" "&amp;$J839&amp;" "&amp;$K839&amp;" "&amp;$L839&amp;" "&amp;$V839))),OR(CARI!$C$6="",$F839=CARI!$C$6),OR(CARI!$C$7="",$G839=CARI!$C$7),OR(CARI!$C$8="",$T839=CARI!$C$8)),MAX($Z$3:Z838)+1,""))</f>
        <v/>
      </c>
      <c r="AA839" s="40" t="str">
        <f aca="false">IF($Y839="","",MAX($AA$3:AA838)+1)</f>
        <v/>
      </c>
      <c r="AB839" s="40" t="str">
        <f aca="false">IF($F839="","",$F839&amp;"#"&amp;COUNTIF($F$4:$F839,$F839))</f>
        <v/>
      </c>
      <c r="AC839" s="40" t="str">
        <f aca="false">IF($B839="","",IF(AND(OR(CETAK!$J$10="",$F839=CETAK!$J$10),OR(CETAK!$J$11="",$G839=CETAK!$J$11),OR(CETAK!$J$12="",$P839=CETAK!$J$12),OR(CETAK!$J$13="",$N839=CETAK!$J$13),OR(CETAK!$J$14="",$T839=CETAK!$J$14)),MAX($AC$3:AC838)+1,""))</f>
        <v/>
      </c>
      <c r="AD839" s="40" t="str">
        <f aca="false">IF($B839="","",IF(AND(OR(ABSENSI!$H$10="",$F839=ABSENSI!$H$10),OR(ABSENSI!$H$11="",$G839=ABSENSI!$H$11),OR(ABSENSI!$H$12="",$P839=ABSENSI!$H$12)),MAX($AD$3:AD838)+1,""))</f>
        <v/>
      </c>
      <c r="AE839" s="40" t="str">
        <f aca="false">IF($B839="","",IF(AND(OR(KARTU!$K$6="",$F839=KARTU!$K$6),OR(KARTU!$K$7="",$G839=KARTU!$K$7),OR(KARTU!$K$8="",$P839=KARTU!$K$8)),MAX($AE$3:AE838)+1,""))</f>
        <v/>
      </c>
    </row>
    <row r="840" customFormat="false" ht="15" hidden="false" customHeight="false" outlineLevel="0" collapsed="false">
      <c r="A840" s="35" t="str">
        <f aca="false">IF($B840="","",COUNTA($B$4:$B840))</f>
        <v/>
      </c>
      <c r="B840" s="36"/>
      <c r="C840" s="37"/>
      <c r="D840" s="37"/>
      <c r="E840" s="38"/>
      <c r="F840" s="36"/>
      <c r="G840" s="39"/>
      <c r="H840" s="39"/>
      <c r="I840" s="36"/>
      <c r="J840" s="36"/>
      <c r="K840" s="36"/>
      <c r="L840" s="36"/>
      <c r="M840" s="40" t="str">
        <f aca="false">IF($F840="","",$F840&amp;IF($G840="",""," - RT "&amp;$G840&amp;IF($H840="","","/"&amp;$H840)))</f>
        <v/>
      </c>
      <c r="N840" s="36"/>
      <c r="O840" s="37"/>
      <c r="P840" s="39"/>
      <c r="Q840" s="41"/>
      <c r="R840" s="35" t="str">
        <f aca="true">IF(OR($B840="",$Q840=""),"",DATEDIF($Q840,TODAY(),"Y"))</f>
        <v/>
      </c>
      <c r="S840" s="40" t="str">
        <f aca="false">IF($R840="","",INDEX(usia_label,MATCH($R840,usia_min,1)))</f>
        <v/>
      </c>
      <c r="T840" s="36"/>
      <c r="U840" s="41"/>
      <c r="V840" s="36"/>
      <c r="W840" s="36"/>
      <c r="X840" s="40" t="str">
        <f aca="false">IF($M840="","",$M840&amp;"#"&amp;COUNTIF($M$4:$M840,$M840))</f>
        <v/>
      </c>
      <c r="Y840" s="40" t="str">
        <f aca="false">IF($B840="","",IF($C840="","NIK kosong",IF(LEN($C840)&lt;&gt;16,"NIK bukan 16 digit",IF(COUNTIF($C$4:$C$2003,$C840&amp;"*")&gt;1,"NIK ganda",IF(AND($D840&lt;&gt;"",LEN($D840)&lt;&gt;16),"No. KK bukan 16 digit",IF(AND($F840="",$I840=""),"Alamat kosong",IF($N840="","Jabatan kosong",IF($O840="","No. HP kosong",IF(AND($R840&lt;&gt;"",$R840&lt;17),"Usia di bawah 17","")))))))))</f>
        <v/>
      </c>
      <c r="Z840" s="40" t="str">
        <f aca="false">IF($B840="","",IF(AND(OR(CARI!$C$5="",ISNUMBER(SEARCH(CARI!$C$5,$B840&amp;" "&amp;$C840&amp;" "&amp;$D840&amp;" "&amp;$O840&amp;" "&amp;$I840&amp;" "&amp;$F840&amp;" "&amp;$J840&amp;" "&amp;$K840&amp;" "&amp;$L840&amp;" "&amp;$V840))),OR(CARI!$C$6="",$F840=CARI!$C$6),OR(CARI!$C$7="",$G840=CARI!$C$7),OR(CARI!$C$8="",$T840=CARI!$C$8)),MAX($Z$3:Z839)+1,""))</f>
        <v/>
      </c>
      <c r="AA840" s="40" t="str">
        <f aca="false">IF($Y840="","",MAX($AA$3:AA839)+1)</f>
        <v/>
      </c>
      <c r="AB840" s="40" t="str">
        <f aca="false">IF($F840="","",$F840&amp;"#"&amp;COUNTIF($F$4:$F840,$F840))</f>
        <v/>
      </c>
      <c r="AC840" s="40" t="str">
        <f aca="false">IF($B840="","",IF(AND(OR(CETAK!$J$10="",$F840=CETAK!$J$10),OR(CETAK!$J$11="",$G840=CETAK!$J$11),OR(CETAK!$J$12="",$P840=CETAK!$J$12),OR(CETAK!$J$13="",$N840=CETAK!$J$13),OR(CETAK!$J$14="",$T840=CETAK!$J$14)),MAX($AC$3:AC839)+1,""))</f>
        <v/>
      </c>
      <c r="AD840" s="40" t="str">
        <f aca="false">IF($B840="","",IF(AND(OR(ABSENSI!$H$10="",$F840=ABSENSI!$H$10),OR(ABSENSI!$H$11="",$G840=ABSENSI!$H$11),OR(ABSENSI!$H$12="",$P840=ABSENSI!$H$12)),MAX($AD$3:AD839)+1,""))</f>
        <v/>
      </c>
      <c r="AE840" s="40" t="str">
        <f aca="false">IF($B840="","",IF(AND(OR(KARTU!$K$6="",$F840=KARTU!$K$6),OR(KARTU!$K$7="",$G840=KARTU!$K$7),OR(KARTU!$K$8="",$P840=KARTU!$K$8)),MAX($AE$3:AE839)+1,""))</f>
        <v/>
      </c>
    </row>
    <row r="841" customFormat="false" ht="15" hidden="false" customHeight="false" outlineLevel="0" collapsed="false">
      <c r="A841" s="35" t="str">
        <f aca="false">IF($B841="","",COUNTA($B$4:$B841))</f>
        <v/>
      </c>
      <c r="B841" s="36"/>
      <c r="C841" s="37"/>
      <c r="D841" s="37"/>
      <c r="E841" s="38"/>
      <c r="F841" s="36"/>
      <c r="G841" s="39"/>
      <c r="H841" s="39"/>
      <c r="I841" s="36"/>
      <c r="J841" s="36"/>
      <c r="K841" s="36"/>
      <c r="L841" s="36"/>
      <c r="M841" s="40" t="str">
        <f aca="false">IF($F841="","",$F841&amp;IF($G841="",""," - RT "&amp;$G841&amp;IF($H841="","","/"&amp;$H841)))</f>
        <v/>
      </c>
      <c r="N841" s="36"/>
      <c r="O841" s="37"/>
      <c r="P841" s="39"/>
      <c r="Q841" s="41"/>
      <c r="R841" s="35" t="str">
        <f aca="true">IF(OR($B841="",$Q841=""),"",DATEDIF($Q841,TODAY(),"Y"))</f>
        <v/>
      </c>
      <c r="S841" s="40" t="str">
        <f aca="false">IF($R841="","",INDEX(usia_label,MATCH($R841,usia_min,1)))</f>
        <v/>
      </c>
      <c r="T841" s="36"/>
      <c r="U841" s="41"/>
      <c r="V841" s="36"/>
      <c r="W841" s="36"/>
      <c r="X841" s="40" t="str">
        <f aca="false">IF($M841="","",$M841&amp;"#"&amp;COUNTIF($M$4:$M841,$M841))</f>
        <v/>
      </c>
      <c r="Y841" s="40" t="str">
        <f aca="false">IF($B841="","",IF($C841="","NIK kosong",IF(LEN($C841)&lt;&gt;16,"NIK bukan 16 digit",IF(COUNTIF($C$4:$C$2003,$C841&amp;"*")&gt;1,"NIK ganda",IF(AND($D841&lt;&gt;"",LEN($D841)&lt;&gt;16),"No. KK bukan 16 digit",IF(AND($F841="",$I841=""),"Alamat kosong",IF($N841="","Jabatan kosong",IF($O841="","No. HP kosong",IF(AND($R841&lt;&gt;"",$R841&lt;17),"Usia di bawah 17","")))))))))</f>
        <v/>
      </c>
      <c r="Z841" s="40" t="str">
        <f aca="false">IF($B841="","",IF(AND(OR(CARI!$C$5="",ISNUMBER(SEARCH(CARI!$C$5,$B841&amp;" "&amp;$C841&amp;" "&amp;$D841&amp;" "&amp;$O841&amp;" "&amp;$I841&amp;" "&amp;$F841&amp;" "&amp;$J841&amp;" "&amp;$K841&amp;" "&amp;$L841&amp;" "&amp;$V841))),OR(CARI!$C$6="",$F841=CARI!$C$6),OR(CARI!$C$7="",$G841=CARI!$C$7),OR(CARI!$C$8="",$T841=CARI!$C$8)),MAX($Z$3:Z840)+1,""))</f>
        <v/>
      </c>
      <c r="AA841" s="40" t="str">
        <f aca="false">IF($Y841="","",MAX($AA$3:AA840)+1)</f>
        <v/>
      </c>
      <c r="AB841" s="40" t="str">
        <f aca="false">IF($F841="","",$F841&amp;"#"&amp;COUNTIF($F$4:$F841,$F841))</f>
        <v/>
      </c>
      <c r="AC841" s="40" t="str">
        <f aca="false">IF($B841="","",IF(AND(OR(CETAK!$J$10="",$F841=CETAK!$J$10),OR(CETAK!$J$11="",$G841=CETAK!$J$11),OR(CETAK!$J$12="",$P841=CETAK!$J$12),OR(CETAK!$J$13="",$N841=CETAK!$J$13),OR(CETAK!$J$14="",$T841=CETAK!$J$14)),MAX($AC$3:AC840)+1,""))</f>
        <v/>
      </c>
      <c r="AD841" s="40" t="str">
        <f aca="false">IF($B841="","",IF(AND(OR(ABSENSI!$H$10="",$F841=ABSENSI!$H$10),OR(ABSENSI!$H$11="",$G841=ABSENSI!$H$11),OR(ABSENSI!$H$12="",$P841=ABSENSI!$H$12)),MAX($AD$3:AD840)+1,""))</f>
        <v/>
      </c>
      <c r="AE841" s="40" t="str">
        <f aca="false">IF($B841="","",IF(AND(OR(KARTU!$K$6="",$F841=KARTU!$K$6),OR(KARTU!$K$7="",$G841=KARTU!$K$7),OR(KARTU!$K$8="",$P841=KARTU!$K$8)),MAX($AE$3:AE840)+1,""))</f>
        <v/>
      </c>
    </row>
    <row r="842" customFormat="false" ht="15" hidden="false" customHeight="false" outlineLevel="0" collapsed="false">
      <c r="A842" s="35" t="str">
        <f aca="false">IF($B842="","",COUNTA($B$4:$B842))</f>
        <v/>
      </c>
      <c r="B842" s="36"/>
      <c r="C842" s="37"/>
      <c r="D842" s="37"/>
      <c r="E842" s="38"/>
      <c r="F842" s="36"/>
      <c r="G842" s="39"/>
      <c r="H842" s="39"/>
      <c r="I842" s="36"/>
      <c r="J842" s="36"/>
      <c r="K842" s="36"/>
      <c r="L842" s="36"/>
      <c r="M842" s="40" t="str">
        <f aca="false">IF($F842="","",$F842&amp;IF($G842="",""," - RT "&amp;$G842&amp;IF($H842="","","/"&amp;$H842)))</f>
        <v/>
      </c>
      <c r="N842" s="36"/>
      <c r="O842" s="37"/>
      <c r="P842" s="39"/>
      <c r="Q842" s="41"/>
      <c r="R842" s="35" t="str">
        <f aca="true">IF(OR($B842="",$Q842=""),"",DATEDIF($Q842,TODAY(),"Y"))</f>
        <v/>
      </c>
      <c r="S842" s="40" t="str">
        <f aca="false">IF($R842="","",INDEX(usia_label,MATCH($R842,usia_min,1)))</f>
        <v/>
      </c>
      <c r="T842" s="36"/>
      <c r="U842" s="41"/>
      <c r="V842" s="36"/>
      <c r="W842" s="36"/>
      <c r="X842" s="40" t="str">
        <f aca="false">IF($M842="","",$M842&amp;"#"&amp;COUNTIF($M$4:$M842,$M842))</f>
        <v/>
      </c>
      <c r="Y842" s="40" t="str">
        <f aca="false">IF($B842="","",IF($C842="","NIK kosong",IF(LEN($C842)&lt;&gt;16,"NIK bukan 16 digit",IF(COUNTIF($C$4:$C$2003,$C842&amp;"*")&gt;1,"NIK ganda",IF(AND($D842&lt;&gt;"",LEN($D842)&lt;&gt;16),"No. KK bukan 16 digit",IF(AND($F842="",$I842=""),"Alamat kosong",IF($N842="","Jabatan kosong",IF($O842="","No. HP kosong",IF(AND($R842&lt;&gt;"",$R842&lt;17),"Usia di bawah 17","")))))))))</f>
        <v/>
      </c>
      <c r="Z842" s="40" t="str">
        <f aca="false">IF($B842="","",IF(AND(OR(CARI!$C$5="",ISNUMBER(SEARCH(CARI!$C$5,$B842&amp;" "&amp;$C842&amp;" "&amp;$D842&amp;" "&amp;$O842&amp;" "&amp;$I842&amp;" "&amp;$F842&amp;" "&amp;$J842&amp;" "&amp;$K842&amp;" "&amp;$L842&amp;" "&amp;$V842))),OR(CARI!$C$6="",$F842=CARI!$C$6),OR(CARI!$C$7="",$G842=CARI!$C$7),OR(CARI!$C$8="",$T842=CARI!$C$8)),MAX($Z$3:Z841)+1,""))</f>
        <v/>
      </c>
      <c r="AA842" s="40" t="str">
        <f aca="false">IF($Y842="","",MAX($AA$3:AA841)+1)</f>
        <v/>
      </c>
      <c r="AB842" s="40" t="str">
        <f aca="false">IF($F842="","",$F842&amp;"#"&amp;COUNTIF($F$4:$F842,$F842))</f>
        <v/>
      </c>
      <c r="AC842" s="40" t="str">
        <f aca="false">IF($B842="","",IF(AND(OR(CETAK!$J$10="",$F842=CETAK!$J$10),OR(CETAK!$J$11="",$G842=CETAK!$J$11),OR(CETAK!$J$12="",$P842=CETAK!$J$12),OR(CETAK!$J$13="",$N842=CETAK!$J$13),OR(CETAK!$J$14="",$T842=CETAK!$J$14)),MAX($AC$3:AC841)+1,""))</f>
        <v/>
      </c>
      <c r="AD842" s="40" t="str">
        <f aca="false">IF($B842="","",IF(AND(OR(ABSENSI!$H$10="",$F842=ABSENSI!$H$10),OR(ABSENSI!$H$11="",$G842=ABSENSI!$H$11),OR(ABSENSI!$H$12="",$P842=ABSENSI!$H$12)),MAX($AD$3:AD841)+1,""))</f>
        <v/>
      </c>
      <c r="AE842" s="40" t="str">
        <f aca="false">IF($B842="","",IF(AND(OR(KARTU!$K$6="",$F842=KARTU!$K$6),OR(KARTU!$K$7="",$G842=KARTU!$K$7),OR(KARTU!$K$8="",$P842=KARTU!$K$8)),MAX($AE$3:AE841)+1,""))</f>
        <v/>
      </c>
    </row>
    <row r="843" customFormat="false" ht="15" hidden="false" customHeight="false" outlineLevel="0" collapsed="false">
      <c r="A843" s="35" t="str">
        <f aca="false">IF($B843="","",COUNTA($B$4:$B843))</f>
        <v/>
      </c>
      <c r="B843" s="36"/>
      <c r="C843" s="37"/>
      <c r="D843" s="37"/>
      <c r="E843" s="38"/>
      <c r="F843" s="36"/>
      <c r="G843" s="39"/>
      <c r="H843" s="39"/>
      <c r="I843" s="36"/>
      <c r="J843" s="36"/>
      <c r="K843" s="36"/>
      <c r="L843" s="36"/>
      <c r="M843" s="40" t="str">
        <f aca="false">IF($F843="","",$F843&amp;IF($G843="",""," - RT "&amp;$G843&amp;IF($H843="","","/"&amp;$H843)))</f>
        <v/>
      </c>
      <c r="N843" s="36"/>
      <c r="O843" s="37"/>
      <c r="P843" s="39"/>
      <c r="Q843" s="41"/>
      <c r="R843" s="35" t="str">
        <f aca="true">IF(OR($B843="",$Q843=""),"",DATEDIF($Q843,TODAY(),"Y"))</f>
        <v/>
      </c>
      <c r="S843" s="40" t="str">
        <f aca="false">IF($R843="","",INDEX(usia_label,MATCH($R843,usia_min,1)))</f>
        <v/>
      </c>
      <c r="T843" s="36"/>
      <c r="U843" s="41"/>
      <c r="V843" s="36"/>
      <c r="W843" s="36"/>
      <c r="X843" s="40" t="str">
        <f aca="false">IF($M843="","",$M843&amp;"#"&amp;COUNTIF($M$4:$M843,$M843))</f>
        <v/>
      </c>
      <c r="Y843" s="40" t="str">
        <f aca="false">IF($B843="","",IF($C843="","NIK kosong",IF(LEN($C843)&lt;&gt;16,"NIK bukan 16 digit",IF(COUNTIF($C$4:$C$2003,$C843&amp;"*")&gt;1,"NIK ganda",IF(AND($D843&lt;&gt;"",LEN($D843)&lt;&gt;16),"No. KK bukan 16 digit",IF(AND($F843="",$I843=""),"Alamat kosong",IF($N843="","Jabatan kosong",IF($O843="","No. HP kosong",IF(AND($R843&lt;&gt;"",$R843&lt;17),"Usia di bawah 17","")))))))))</f>
        <v/>
      </c>
      <c r="Z843" s="40" t="str">
        <f aca="false">IF($B843="","",IF(AND(OR(CARI!$C$5="",ISNUMBER(SEARCH(CARI!$C$5,$B843&amp;" "&amp;$C843&amp;" "&amp;$D843&amp;" "&amp;$O843&amp;" "&amp;$I843&amp;" "&amp;$F843&amp;" "&amp;$J843&amp;" "&amp;$K843&amp;" "&amp;$L843&amp;" "&amp;$V843))),OR(CARI!$C$6="",$F843=CARI!$C$6),OR(CARI!$C$7="",$G843=CARI!$C$7),OR(CARI!$C$8="",$T843=CARI!$C$8)),MAX($Z$3:Z842)+1,""))</f>
        <v/>
      </c>
      <c r="AA843" s="40" t="str">
        <f aca="false">IF($Y843="","",MAX($AA$3:AA842)+1)</f>
        <v/>
      </c>
      <c r="AB843" s="40" t="str">
        <f aca="false">IF($F843="","",$F843&amp;"#"&amp;COUNTIF($F$4:$F843,$F843))</f>
        <v/>
      </c>
      <c r="AC843" s="40" t="str">
        <f aca="false">IF($B843="","",IF(AND(OR(CETAK!$J$10="",$F843=CETAK!$J$10),OR(CETAK!$J$11="",$G843=CETAK!$J$11),OR(CETAK!$J$12="",$P843=CETAK!$J$12),OR(CETAK!$J$13="",$N843=CETAK!$J$13),OR(CETAK!$J$14="",$T843=CETAK!$J$14)),MAX($AC$3:AC842)+1,""))</f>
        <v/>
      </c>
      <c r="AD843" s="40" t="str">
        <f aca="false">IF($B843="","",IF(AND(OR(ABSENSI!$H$10="",$F843=ABSENSI!$H$10),OR(ABSENSI!$H$11="",$G843=ABSENSI!$H$11),OR(ABSENSI!$H$12="",$P843=ABSENSI!$H$12)),MAX($AD$3:AD842)+1,""))</f>
        <v/>
      </c>
      <c r="AE843" s="40" t="str">
        <f aca="false">IF($B843="","",IF(AND(OR(KARTU!$K$6="",$F843=KARTU!$K$6),OR(KARTU!$K$7="",$G843=KARTU!$K$7),OR(KARTU!$K$8="",$P843=KARTU!$K$8)),MAX($AE$3:AE842)+1,""))</f>
        <v/>
      </c>
    </row>
    <row r="844" customFormat="false" ht="15" hidden="false" customHeight="false" outlineLevel="0" collapsed="false">
      <c r="A844" s="35" t="str">
        <f aca="false">IF($B844="","",COUNTA($B$4:$B844))</f>
        <v/>
      </c>
      <c r="B844" s="36"/>
      <c r="C844" s="37"/>
      <c r="D844" s="37"/>
      <c r="E844" s="38"/>
      <c r="F844" s="36"/>
      <c r="G844" s="39"/>
      <c r="H844" s="39"/>
      <c r="I844" s="36"/>
      <c r="J844" s="36"/>
      <c r="K844" s="36"/>
      <c r="L844" s="36"/>
      <c r="M844" s="40" t="str">
        <f aca="false">IF($F844="","",$F844&amp;IF($G844="",""," - RT "&amp;$G844&amp;IF($H844="","","/"&amp;$H844)))</f>
        <v/>
      </c>
      <c r="N844" s="36"/>
      <c r="O844" s="37"/>
      <c r="P844" s="39"/>
      <c r="Q844" s="41"/>
      <c r="R844" s="35" t="str">
        <f aca="true">IF(OR($B844="",$Q844=""),"",DATEDIF($Q844,TODAY(),"Y"))</f>
        <v/>
      </c>
      <c r="S844" s="40" t="str">
        <f aca="false">IF($R844="","",INDEX(usia_label,MATCH($R844,usia_min,1)))</f>
        <v/>
      </c>
      <c r="T844" s="36"/>
      <c r="U844" s="41"/>
      <c r="V844" s="36"/>
      <c r="W844" s="36"/>
      <c r="X844" s="40" t="str">
        <f aca="false">IF($M844="","",$M844&amp;"#"&amp;COUNTIF($M$4:$M844,$M844))</f>
        <v/>
      </c>
      <c r="Y844" s="40" t="str">
        <f aca="false">IF($B844="","",IF($C844="","NIK kosong",IF(LEN($C844)&lt;&gt;16,"NIK bukan 16 digit",IF(COUNTIF($C$4:$C$2003,$C844&amp;"*")&gt;1,"NIK ganda",IF(AND($D844&lt;&gt;"",LEN($D844)&lt;&gt;16),"No. KK bukan 16 digit",IF(AND($F844="",$I844=""),"Alamat kosong",IF($N844="","Jabatan kosong",IF($O844="","No. HP kosong",IF(AND($R844&lt;&gt;"",$R844&lt;17),"Usia di bawah 17","")))))))))</f>
        <v/>
      </c>
      <c r="Z844" s="40" t="str">
        <f aca="false">IF($B844="","",IF(AND(OR(CARI!$C$5="",ISNUMBER(SEARCH(CARI!$C$5,$B844&amp;" "&amp;$C844&amp;" "&amp;$D844&amp;" "&amp;$O844&amp;" "&amp;$I844&amp;" "&amp;$F844&amp;" "&amp;$J844&amp;" "&amp;$K844&amp;" "&amp;$L844&amp;" "&amp;$V844))),OR(CARI!$C$6="",$F844=CARI!$C$6),OR(CARI!$C$7="",$G844=CARI!$C$7),OR(CARI!$C$8="",$T844=CARI!$C$8)),MAX($Z$3:Z843)+1,""))</f>
        <v/>
      </c>
      <c r="AA844" s="40" t="str">
        <f aca="false">IF($Y844="","",MAX($AA$3:AA843)+1)</f>
        <v/>
      </c>
      <c r="AB844" s="40" t="str">
        <f aca="false">IF($F844="","",$F844&amp;"#"&amp;COUNTIF($F$4:$F844,$F844))</f>
        <v/>
      </c>
      <c r="AC844" s="40" t="str">
        <f aca="false">IF($B844="","",IF(AND(OR(CETAK!$J$10="",$F844=CETAK!$J$10),OR(CETAK!$J$11="",$G844=CETAK!$J$11),OR(CETAK!$J$12="",$P844=CETAK!$J$12),OR(CETAK!$J$13="",$N844=CETAK!$J$13),OR(CETAK!$J$14="",$T844=CETAK!$J$14)),MAX($AC$3:AC843)+1,""))</f>
        <v/>
      </c>
      <c r="AD844" s="40" t="str">
        <f aca="false">IF($B844="","",IF(AND(OR(ABSENSI!$H$10="",$F844=ABSENSI!$H$10),OR(ABSENSI!$H$11="",$G844=ABSENSI!$H$11),OR(ABSENSI!$H$12="",$P844=ABSENSI!$H$12)),MAX($AD$3:AD843)+1,""))</f>
        <v/>
      </c>
      <c r="AE844" s="40" t="str">
        <f aca="false">IF($B844="","",IF(AND(OR(KARTU!$K$6="",$F844=KARTU!$K$6),OR(KARTU!$K$7="",$G844=KARTU!$K$7),OR(KARTU!$K$8="",$P844=KARTU!$K$8)),MAX($AE$3:AE843)+1,""))</f>
        <v/>
      </c>
    </row>
    <row r="845" customFormat="false" ht="15" hidden="false" customHeight="false" outlineLevel="0" collapsed="false">
      <c r="A845" s="35" t="str">
        <f aca="false">IF($B845="","",COUNTA($B$4:$B845))</f>
        <v/>
      </c>
      <c r="B845" s="36"/>
      <c r="C845" s="37"/>
      <c r="D845" s="37"/>
      <c r="E845" s="38"/>
      <c r="F845" s="36"/>
      <c r="G845" s="39"/>
      <c r="H845" s="39"/>
      <c r="I845" s="36"/>
      <c r="J845" s="36"/>
      <c r="K845" s="36"/>
      <c r="L845" s="36"/>
      <c r="M845" s="40" t="str">
        <f aca="false">IF($F845="","",$F845&amp;IF($G845="",""," - RT "&amp;$G845&amp;IF($H845="","","/"&amp;$H845)))</f>
        <v/>
      </c>
      <c r="N845" s="36"/>
      <c r="O845" s="37"/>
      <c r="P845" s="39"/>
      <c r="Q845" s="41"/>
      <c r="R845" s="35" t="str">
        <f aca="true">IF(OR($B845="",$Q845=""),"",DATEDIF($Q845,TODAY(),"Y"))</f>
        <v/>
      </c>
      <c r="S845" s="40" t="str">
        <f aca="false">IF($R845="","",INDEX(usia_label,MATCH($R845,usia_min,1)))</f>
        <v/>
      </c>
      <c r="T845" s="36"/>
      <c r="U845" s="41"/>
      <c r="V845" s="36"/>
      <c r="W845" s="36"/>
      <c r="X845" s="40" t="str">
        <f aca="false">IF($M845="","",$M845&amp;"#"&amp;COUNTIF($M$4:$M845,$M845))</f>
        <v/>
      </c>
      <c r="Y845" s="40" t="str">
        <f aca="false">IF($B845="","",IF($C845="","NIK kosong",IF(LEN($C845)&lt;&gt;16,"NIK bukan 16 digit",IF(COUNTIF($C$4:$C$2003,$C845&amp;"*")&gt;1,"NIK ganda",IF(AND($D845&lt;&gt;"",LEN($D845)&lt;&gt;16),"No. KK bukan 16 digit",IF(AND($F845="",$I845=""),"Alamat kosong",IF($N845="","Jabatan kosong",IF($O845="","No. HP kosong",IF(AND($R845&lt;&gt;"",$R845&lt;17),"Usia di bawah 17","")))))))))</f>
        <v/>
      </c>
      <c r="Z845" s="40" t="str">
        <f aca="false">IF($B845="","",IF(AND(OR(CARI!$C$5="",ISNUMBER(SEARCH(CARI!$C$5,$B845&amp;" "&amp;$C845&amp;" "&amp;$D845&amp;" "&amp;$O845&amp;" "&amp;$I845&amp;" "&amp;$F845&amp;" "&amp;$J845&amp;" "&amp;$K845&amp;" "&amp;$L845&amp;" "&amp;$V845))),OR(CARI!$C$6="",$F845=CARI!$C$6),OR(CARI!$C$7="",$G845=CARI!$C$7),OR(CARI!$C$8="",$T845=CARI!$C$8)),MAX($Z$3:Z844)+1,""))</f>
        <v/>
      </c>
      <c r="AA845" s="40" t="str">
        <f aca="false">IF($Y845="","",MAX($AA$3:AA844)+1)</f>
        <v/>
      </c>
      <c r="AB845" s="40" t="str">
        <f aca="false">IF($F845="","",$F845&amp;"#"&amp;COUNTIF($F$4:$F845,$F845))</f>
        <v/>
      </c>
      <c r="AC845" s="40" t="str">
        <f aca="false">IF($B845="","",IF(AND(OR(CETAK!$J$10="",$F845=CETAK!$J$10),OR(CETAK!$J$11="",$G845=CETAK!$J$11),OR(CETAK!$J$12="",$P845=CETAK!$J$12),OR(CETAK!$J$13="",$N845=CETAK!$J$13),OR(CETAK!$J$14="",$T845=CETAK!$J$14)),MAX($AC$3:AC844)+1,""))</f>
        <v/>
      </c>
      <c r="AD845" s="40" t="str">
        <f aca="false">IF($B845="","",IF(AND(OR(ABSENSI!$H$10="",$F845=ABSENSI!$H$10),OR(ABSENSI!$H$11="",$G845=ABSENSI!$H$11),OR(ABSENSI!$H$12="",$P845=ABSENSI!$H$12)),MAX($AD$3:AD844)+1,""))</f>
        <v/>
      </c>
      <c r="AE845" s="40" t="str">
        <f aca="false">IF($B845="","",IF(AND(OR(KARTU!$K$6="",$F845=KARTU!$K$6),OR(KARTU!$K$7="",$G845=KARTU!$K$7),OR(KARTU!$K$8="",$P845=KARTU!$K$8)),MAX($AE$3:AE844)+1,""))</f>
        <v/>
      </c>
    </row>
    <row r="846" customFormat="false" ht="15" hidden="false" customHeight="false" outlineLevel="0" collapsed="false">
      <c r="A846" s="35" t="str">
        <f aca="false">IF($B846="","",COUNTA($B$4:$B846))</f>
        <v/>
      </c>
      <c r="B846" s="36"/>
      <c r="C846" s="37"/>
      <c r="D846" s="37"/>
      <c r="E846" s="38"/>
      <c r="F846" s="36"/>
      <c r="G846" s="39"/>
      <c r="H846" s="39"/>
      <c r="I846" s="36"/>
      <c r="J846" s="36"/>
      <c r="K846" s="36"/>
      <c r="L846" s="36"/>
      <c r="M846" s="40" t="str">
        <f aca="false">IF($F846="","",$F846&amp;IF($G846="",""," - RT "&amp;$G846&amp;IF($H846="","","/"&amp;$H846)))</f>
        <v/>
      </c>
      <c r="N846" s="36"/>
      <c r="O846" s="37"/>
      <c r="P846" s="39"/>
      <c r="Q846" s="41"/>
      <c r="R846" s="35" t="str">
        <f aca="true">IF(OR($B846="",$Q846=""),"",DATEDIF($Q846,TODAY(),"Y"))</f>
        <v/>
      </c>
      <c r="S846" s="40" t="str">
        <f aca="false">IF($R846="","",INDEX(usia_label,MATCH($R846,usia_min,1)))</f>
        <v/>
      </c>
      <c r="T846" s="36"/>
      <c r="U846" s="41"/>
      <c r="V846" s="36"/>
      <c r="W846" s="36"/>
      <c r="X846" s="40" t="str">
        <f aca="false">IF($M846="","",$M846&amp;"#"&amp;COUNTIF($M$4:$M846,$M846))</f>
        <v/>
      </c>
      <c r="Y846" s="40" t="str">
        <f aca="false">IF($B846="","",IF($C846="","NIK kosong",IF(LEN($C846)&lt;&gt;16,"NIK bukan 16 digit",IF(COUNTIF($C$4:$C$2003,$C846&amp;"*")&gt;1,"NIK ganda",IF(AND($D846&lt;&gt;"",LEN($D846)&lt;&gt;16),"No. KK bukan 16 digit",IF(AND($F846="",$I846=""),"Alamat kosong",IF($N846="","Jabatan kosong",IF($O846="","No. HP kosong",IF(AND($R846&lt;&gt;"",$R846&lt;17),"Usia di bawah 17","")))))))))</f>
        <v/>
      </c>
      <c r="Z846" s="40" t="str">
        <f aca="false">IF($B846="","",IF(AND(OR(CARI!$C$5="",ISNUMBER(SEARCH(CARI!$C$5,$B846&amp;" "&amp;$C846&amp;" "&amp;$D846&amp;" "&amp;$O846&amp;" "&amp;$I846&amp;" "&amp;$F846&amp;" "&amp;$J846&amp;" "&amp;$K846&amp;" "&amp;$L846&amp;" "&amp;$V846))),OR(CARI!$C$6="",$F846=CARI!$C$6),OR(CARI!$C$7="",$G846=CARI!$C$7),OR(CARI!$C$8="",$T846=CARI!$C$8)),MAX($Z$3:Z845)+1,""))</f>
        <v/>
      </c>
      <c r="AA846" s="40" t="str">
        <f aca="false">IF($Y846="","",MAX($AA$3:AA845)+1)</f>
        <v/>
      </c>
      <c r="AB846" s="40" t="str">
        <f aca="false">IF($F846="","",$F846&amp;"#"&amp;COUNTIF($F$4:$F846,$F846))</f>
        <v/>
      </c>
      <c r="AC846" s="40" t="str">
        <f aca="false">IF($B846="","",IF(AND(OR(CETAK!$J$10="",$F846=CETAK!$J$10),OR(CETAK!$J$11="",$G846=CETAK!$J$11),OR(CETAK!$J$12="",$P846=CETAK!$J$12),OR(CETAK!$J$13="",$N846=CETAK!$J$13),OR(CETAK!$J$14="",$T846=CETAK!$J$14)),MAX($AC$3:AC845)+1,""))</f>
        <v/>
      </c>
      <c r="AD846" s="40" t="str">
        <f aca="false">IF($B846="","",IF(AND(OR(ABSENSI!$H$10="",$F846=ABSENSI!$H$10),OR(ABSENSI!$H$11="",$G846=ABSENSI!$H$11),OR(ABSENSI!$H$12="",$P846=ABSENSI!$H$12)),MAX($AD$3:AD845)+1,""))</f>
        <v/>
      </c>
      <c r="AE846" s="40" t="str">
        <f aca="false">IF($B846="","",IF(AND(OR(KARTU!$K$6="",$F846=KARTU!$K$6),OR(KARTU!$K$7="",$G846=KARTU!$K$7),OR(KARTU!$K$8="",$P846=KARTU!$K$8)),MAX($AE$3:AE845)+1,""))</f>
        <v/>
      </c>
    </row>
    <row r="847" customFormat="false" ht="15" hidden="false" customHeight="false" outlineLevel="0" collapsed="false">
      <c r="A847" s="35" t="str">
        <f aca="false">IF($B847="","",COUNTA($B$4:$B847))</f>
        <v/>
      </c>
      <c r="B847" s="36"/>
      <c r="C847" s="37"/>
      <c r="D847" s="37"/>
      <c r="E847" s="38"/>
      <c r="F847" s="36"/>
      <c r="G847" s="39"/>
      <c r="H847" s="39"/>
      <c r="I847" s="36"/>
      <c r="J847" s="36"/>
      <c r="K847" s="36"/>
      <c r="L847" s="36"/>
      <c r="M847" s="40" t="str">
        <f aca="false">IF($F847="","",$F847&amp;IF($G847="",""," - RT "&amp;$G847&amp;IF($H847="","","/"&amp;$H847)))</f>
        <v/>
      </c>
      <c r="N847" s="36"/>
      <c r="O847" s="37"/>
      <c r="P847" s="39"/>
      <c r="Q847" s="41"/>
      <c r="R847" s="35" t="str">
        <f aca="true">IF(OR($B847="",$Q847=""),"",DATEDIF($Q847,TODAY(),"Y"))</f>
        <v/>
      </c>
      <c r="S847" s="40" t="str">
        <f aca="false">IF($R847="","",INDEX(usia_label,MATCH($R847,usia_min,1)))</f>
        <v/>
      </c>
      <c r="T847" s="36"/>
      <c r="U847" s="41"/>
      <c r="V847" s="36"/>
      <c r="W847" s="36"/>
      <c r="X847" s="40" t="str">
        <f aca="false">IF($M847="","",$M847&amp;"#"&amp;COUNTIF($M$4:$M847,$M847))</f>
        <v/>
      </c>
      <c r="Y847" s="40" t="str">
        <f aca="false">IF($B847="","",IF($C847="","NIK kosong",IF(LEN($C847)&lt;&gt;16,"NIK bukan 16 digit",IF(COUNTIF($C$4:$C$2003,$C847&amp;"*")&gt;1,"NIK ganda",IF(AND($D847&lt;&gt;"",LEN($D847)&lt;&gt;16),"No. KK bukan 16 digit",IF(AND($F847="",$I847=""),"Alamat kosong",IF($N847="","Jabatan kosong",IF($O847="","No. HP kosong",IF(AND($R847&lt;&gt;"",$R847&lt;17),"Usia di bawah 17","")))))))))</f>
        <v/>
      </c>
      <c r="Z847" s="40" t="str">
        <f aca="false">IF($B847="","",IF(AND(OR(CARI!$C$5="",ISNUMBER(SEARCH(CARI!$C$5,$B847&amp;" "&amp;$C847&amp;" "&amp;$D847&amp;" "&amp;$O847&amp;" "&amp;$I847&amp;" "&amp;$F847&amp;" "&amp;$J847&amp;" "&amp;$K847&amp;" "&amp;$L847&amp;" "&amp;$V847))),OR(CARI!$C$6="",$F847=CARI!$C$6),OR(CARI!$C$7="",$G847=CARI!$C$7),OR(CARI!$C$8="",$T847=CARI!$C$8)),MAX($Z$3:Z846)+1,""))</f>
        <v/>
      </c>
      <c r="AA847" s="40" t="str">
        <f aca="false">IF($Y847="","",MAX($AA$3:AA846)+1)</f>
        <v/>
      </c>
      <c r="AB847" s="40" t="str">
        <f aca="false">IF($F847="","",$F847&amp;"#"&amp;COUNTIF($F$4:$F847,$F847))</f>
        <v/>
      </c>
      <c r="AC847" s="40" t="str">
        <f aca="false">IF($B847="","",IF(AND(OR(CETAK!$J$10="",$F847=CETAK!$J$10),OR(CETAK!$J$11="",$G847=CETAK!$J$11),OR(CETAK!$J$12="",$P847=CETAK!$J$12),OR(CETAK!$J$13="",$N847=CETAK!$J$13),OR(CETAK!$J$14="",$T847=CETAK!$J$14)),MAX($AC$3:AC846)+1,""))</f>
        <v/>
      </c>
      <c r="AD847" s="40" t="str">
        <f aca="false">IF($B847="","",IF(AND(OR(ABSENSI!$H$10="",$F847=ABSENSI!$H$10),OR(ABSENSI!$H$11="",$G847=ABSENSI!$H$11),OR(ABSENSI!$H$12="",$P847=ABSENSI!$H$12)),MAX($AD$3:AD846)+1,""))</f>
        <v/>
      </c>
      <c r="AE847" s="40" t="str">
        <f aca="false">IF($B847="","",IF(AND(OR(KARTU!$K$6="",$F847=KARTU!$K$6),OR(KARTU!$K$7="",$G847=KARTU!$K$7),OR(KARTU!$K$8="",$P847=KARTU!$K$8)),MAX($AE$3:AE846)+1,""))</f>
        <v/>
      </c>
    </row>
    <row r="848" customFormat="false" ht="15" hidden="false" customHeight="false" outlineLevel="0" collapsed="false">
      <c r="A848" s="35" t="str">
        <f aca="false">IF($B848="","",COUNTA($B$4:$B848))</f>
        <v/>
      </c>
      <c r="B848" s="36"/>
      <c r="C848" s="37"/>
      <c r="D848" s="37"/>
      <c r="E848" s="38"/>
      <c r="F848" s="36"/>
      <c r="G848" s="39"/>
      <c r="H848" s="39"/>
      <c r="I848" s="36"/>
      <c r="J848" s="36"/>
      <c r="K848" s="36"/>
      <c r="L848" s="36"/>
      <c r="M848" s="40" t="str">
        <f aca="false">IF($F848="","",$F848&amp;IF($G848="",""," - RT "&amp;$G848&amp;IF($H848="","","/"&amp;$H848)))</f>
        <v/>
      </c>
      <c r="N848" s="36"/>
      <c r="O848" s="37"/>
      <c r="P848" s="39"/>
      <c r="Q848" s="41"/>
      <c r="R848" s="35" t="str">
        <f aca="true">IF(OR($B848="",$Q848=""),"",DATEDIF($Q848,TODAY(),"Y"))</f>
        <v/>
      </c>
      <c r="S848" s="40" t="str">
        <f aca="false">IF($R848="","",INDEX(usia_label,MATCH($R848,usia_min,1)))</f>
        <v/>
      </c>
      <c r="T848" s="36"/>
      <c r="U848" s="41"/>
      <c r="V848" s="36"/>
      <c r="W848" s="36"/>
      <c r="X848" s="40" t="str">
        <f aca="false">IF($M848="","",$M848&amp;"#"&amp;COUNTIF($M$4:$M848,$M848))</f>
        <v/>
      </c>
      <c r="Y848" s="40" t="str">
        <f aca="false">IF($B848="","",IF($C848="","NIK kosong",IF(LEN($C848)&lt;&gt;16,"NIK bukan 16 digit",IF(COUNTIF($C$4:$C$2003,$C848&amp;"*")&gt;1,"NIK ganda",IF(AND($D848&lt;&gt;"",LEN($D848)&lt;&gt;16),"No. KK bukan 16 digit",IF(AND($F848="",$I848=""),"Alamat kosong",IF($N848="","Jabatan kosong",IF($O848="","No. HP kosong",IF(AND($R848&lt;&gt;"",$R848&lt;17),"Usia di bawah 17","")))))))))</f>
        <v/>
      </c>
      <c r="Z848" s="40" t="str">
        <f aca="false">IF($B848="","",IF(AND(OR(CARI!$C$5="",ISNUMBER(SEARCH(CARI!$C$5,$B848&amp;" "&amp;$C848&amp;" "&amp;$D848&amp;" "&amp;$O848&amp;" "&amp;$I848&amp;" "&amp;$F848&amp;" "&amp;$J848&amp;" "&amp;$K848&amp;" "&amp;$L848&amp;" "&amp;$V848))),OR(CARI!$C$6="",$F848=CARI!$C$6),OR(CARI!$C$7="",$G848=CARI!$C$7),OR(CARI!$C$8="",$T848=CARI!$C$8)),MAX($Z$3:Z847)+1,""))</f>
        <v/>
      </c>
      <c r="AA848" s="40" t="str">
        <f aca="false">IF($Y848="","",MAX($AA$3:AA847)+1)</f>
        <v/>
      </c>
      <c r="AB848" s="40" t="str">
        <f aca="false">IF($F848="","",$F848&amp;"#"&amp;COUNTIF($F$4:$F848,$F848))</f>
        <v/>
      </c>
      <c r="AC848" s="40" t="str">
        <f aca="false">IF($B848="","",IF(AND(OR(CETAK!$J$10="",$F848=CETAK!$J$10),OR(CETAK!$J$11="",$G848=CETAK!$J$11),OR(CETAK!$J$12="",$P848=CETAK!$J$12),OR(CETAK!$J$13="",$N848=CETAK!$J$13),OR(CETAK!$J$14="",$T848=CETAK!$J$14)),MAX($AC$3:AC847)+1,""))</f>
        <v/>
      </c>
      <c r="AD848" s="40" t="str">
        <f aca="false">IF($B848="","",IF(AND(OR(ABSENSI!$H$10="",$F848=ABSENSI!$H$10),OR(ABSENSI!$H$11="",$G848=ABSENSI!$H$11),OR(ABSENSI!$H$12="",$P848=ABSENSI!$H$12)),MAX($AD$3:AD847)+1,""))</f>
        <v/>
      </c>
      <c r="AE848" s="40" t="str">
        <f aca="false">IF($B848="","",IF(AND(OR(KARTU!$K$6="",$F848=KARTU!$K$6),OR(KARTU!$K$7="",$G848=KARTU!$K$7),OR(KARTU!$K$8="",$P848=KARTU!$K$8)),MAX($AE$3:AE847)+1,""))</f>
        <v/>
      </c>
    </row>
    <row r="849" customFormat="false" ht="15" hidden="false" customHeight="false" outlineLevel="0" collapsed="false">
      <c r="A849" s="35" t="str">
        <f aca="false">IF($B849="","",COUNTA($B$4:$B849))</f>
        <v/>
      </c>
      <c r="B849" s="36"/>
      <c r="C849" s="37"/>
      <c r="D849" s="37"/>
      <c r="E849" s="38"/>
      <c r="F849" s="36"/>
      <c r="G849" s="39"/>
      <c r="H849" s="39"/>
      <c r="I849" s="36"/>
      <c r="J849" s="36"/>
      <c r="K849" s="36"/>
      <c r="L849" s="36"/>
      <c r="M849" s="40" t="str">
        <f aca="false">IF($F849="","",$F849&amp;IF($G849="",""," - RT "&amp;$G849&amp;IF($H849="","","/"&amp;$H849)))</f>
        <v/>
      </c>
      <c r="N849" s="36"/>
      <c r="O849" s="37"/>
      <c r="P849" s="39"/>
      <c r="Q849" s="41"/>
      <c r="R849" s="35" t="str">
        <f aca="true">IF(OR($B849="",$Q849=""),"",DATEDIF($Q849,TODAY(),"Y"))</f>
        <v/>
      </c>
      <c r="S849" s="40" t="str">
        <f aca="false">IF($R849="","",INDEX(usia_label,MATCH($R849,usia_min,1)))</f>
        <v/>
      </c>
      <c r="T849" s="36"/>
      <c r="U849" s="41"/>
      <c r="V849" s="36"/>
      <c r="W849" s="36"/>
      <c r="X849" s="40" t="str">
        <f aca="false">IF($M849="","",$M849&amp;"#"&amp;COUNTIF($M$4:$M849,$M849))</f>
        <v/>
      </c>
      <c r="Y849" s="40" t="str">
        <f aca="false">IF($B849="","",IF($C849="","NIK kosong",IF(LEN($C849)&lt;&gt;16,"NIK bukan 16 digit",IF(COUNTIF($C$4:$C$2003,$C849&amp;"*")&gt;1,"NIK ganda",IF(AND($D849&lt;&gt;"",LEN($D849)&lt;&gt;16),"No. KK bukan 16 digit",IF(AND($F849="",$I849=""),"Alamat kosong",IF($N849="","Jabatan kosong",IF($O849="","No. HP kosong",IF(AND($R849&lt;&gt;"",$R849&lt;17),"Usia di bawah 17","")))))))))</f>
        <v/>
      </c>
      <c r="Z849" s="40" t="str">
        <f aca="false">IF($B849="","",IF(AND(OR(CARI!$C$5="",ISNUMBER(SEARCH(CARI!$C$5,$B849&amp;" "&amp;$C849&amp;" "&amp;$D849&amp;" "&amp;$O849&amp;" "&amp;$I849&amp;" "&amp;$F849&amp;" "&amp;$J849&amp;" "&amp;$K849&amp;" "&amp;$L849&amp;" "&amp;$V849))),OR(CARI!$C$6="",$F849=CARI!$C$6),OR(CARI!$C$7="",$G849=CARI!$C$7),OR(CARI!$C$8="",$T849=CARI!$C$8)),MAX($Z$3:Z848)+1,""))</f>
        <v/>
      </c>
      <c r="AA849" s="40" t="str">
        <f aca="false">IF($Y849="","",MAX($AA$3:AA848)+1)</f>
        <v/>
      </c>
      <c r="AB849" s="40" t="str">
        <f aca="false">IF($F849="","",$F849&amp;"#"&amp;COUNTIF($F$4:$F849,$F849))</f>
        <v/>
      </c>
      <c r="AC849" s="40" t="str">
        <f aca="false">IF($B849="","",IF(AND(OR(CETAK!$J$10="",$F849=CETAK!$J$10),OR(CETAK!$J$11="",$G849=CETAK!$J$11),OR(CETAK!$J$12="",$P849=CETAK!$J$12),OR(CETAK!$J$13="",$N849=CETAK!$J$13),OR(CETAK!$J$14="",$T849=CETAK!$J$14)),MAX($AC$3:AC848)+1,""))</f>
        <v/>
      </c>
      <c r="AD849" s="40" t="str">
        <f aca="false">IF($B849="","",IF(AND(OR(ABSENSI!$H$10="",$F849=ABSENSI!$H$10),OR(ABSENSI!$H$11="",$G849=ABSENSI!$H$11),OR(ABSENSI!$H$12="",$P849=ABSENSI!$H$12)),MAX($AD$3:AD848)+1,""))</f>
        <v/>
      </c>
      <c r="AE849" s="40" t="str">
        <f aca="false">IF($B849="","",IF(AND(OR(KARTU!$K$6="",$F849=KARTU!$K$6),OR(KARTU!$K$7="",$G849=KARTU!$K$7),OR(KARTU!$K$8="",$P849=KARTU!$K$8)),MAX($AE$3:AE848)+1,""))</f>
        <v/>
      </c>
    </row>
    <row r="850" customFormat="false" ht="15" hidden="false" customHeight="false" outlineLevel="0" collapsed="false">
      <c r="A850" s="35" t="str">
        <f aca="false">IF($B850="","",COUNTA($B$4:$B850))</f>
        <v/>
      </c>
      <c r="B850" s="36"/>
      <c r="C850" s="37"/>
      <c r="D850" s="37"/>
      <c r="E850" s="38"/>
      <c r="F850" s="36"/>
      <c r="G850" s="39"/>
      <c r="H850" s="39"/>
      <c r="I850" s="36"/>
      <c r="J850" s="36"/>
      <c r="K850" s="36"/>
      <c r="L850" s="36"/>
      <c r="M850" s="40" t="str">
        <f aca="false">IF($F850="","",$F850&amp;IF($G850="",""," - RT "&amp;$G850&amp;IF($H850="","","/"&amp;$H850)))</f>
        <v/>
      </c>
      <c r="N850" s="36"/>
      <c r="O850" s="37"/>
      <c r="P850" s="39"/>
      <c r="Q850" s="41"/>
      <c r="R850" s="35" t="str">
        <f aca="true">IF(OR($B850="",$Q850=""),"",DATEDIF($Q850,TODAY(),"Y"))</f>
        <v/>
      </c>
      <c r="S850" s="40" t="str">
        <f aca="false">IF($R850="","",INDEX(usia_label,MATCH($R850,usia_min,1)))</f>
        <v/>
      </c>
      <c r="T850" s="36"/>
      <c r="U850" s="41"/>
      <c r="V850" s="36"/>
      <c r="W850" s="36"/>
      <c r="X850" s="40" t="str">
        <f aca="false">IF($M850="","",$M850&amp;"#"&amp;COUNTIF($M$4:$M850,$M850))</f>
        <v/>
      </c>
      <c r="Y850" s="40" t="str">
        <f aca="false">IF($B850="","",IF($C850="","NIK kosong",IF(LEN($C850)&lt;&gt;16,"NIK bukan 16 digit",IF(COUNTIF($C$4:$C$2003,$C850&amp;"*")&gt;1,"NIK ganda",IF(AND($D850&lt;&gt;"",LEN($D850)&lt;&gt;16),"No. KK bukan 16 digit",IF(AND($F850="",$I850=""),"Alamat kosong",IF($N850="","Jabatan kosong",IF($O850="","No. HP kosong",IF(AND($R850&lt;&gt;"",$R850&lt;17),"Usia di bawah 17","")))))))))</f>
        <v/>
      </c>
      <c r="Z850" s="40" t="str">
        <f aca="false">IF($B850="","",IF(AND(OR(CARI!$C$5="",ISNUMBER(SEARCH(CARI!$C$5,$B850&amp;" "&amp;$C850&amp;" "&amp;$D850&amp;" "&amp;$O850&amp;" "&amp;$I850&amp;" "&amp;$F850&amp;" "&amp;$J850&amp;" "&amp;$K850&amp;" "&amp;$L850&amp;" "&amp;$V850))),OR(CARI!$C$6="",$F850=CARI!$C$6),OR(CARI!$C$7="",$G850=CARI!$C$7),OR(CARI!$C$8="",$T850=CARI!$C$8)),MAX($Z$3:Z849)+1,""))</f>
        <v/>
      </c>
      <c r="AA850" s="40" t="str">
        <f aca="false">IF($Y850="","",MAX($AA$3:AA849)+1)</f>
        <v/>
      </c>
      <c r="AB850" s="40" t="str">
        <f aca="false">IF($F850="","",$F850&amp;"#"&amp;COUNTIF($F$4:$F850,$F850))</f>
        <v/>
      </c>
      <c r="AC850" s="40" t="str">
        <f aca="false">IF($B850="","",IF(AND(OR(CETAK!$J$10="",$F850=CETAK!$J$10),OR(CETAK!$J$11="",$G850=CETAK!$J$11),OR(CETAK!$J$12="",$P850=CETAK!$J$12),OR(CETAK!$J$13="",$N850=CETAK!$J$13),OR(CETAK!$J$14="",$T850=CETAK!$J$14)),MAX($AC$3:AC849)+1,""))</f>
        <v/>
      </c>
      <c r="AD850" s="40" t="str">
        <f aca="false">IF($B850="","",IF(AND(OR(ABSENSI!$H$10="",$F850=ABSENSI!$H$10),OR(ABSENSI!$H$11="",$G850=ABSENSI!$H$11),OR(ABSENSI!$H$12="",$P850=ABSENSI!$H$12)),MAX($AD$3:AD849)+1,""))</f>
        <v/>
      </c>
      <c r="AE850" s="40" t="str">
        <f aca="false">IF($B850="","",IF(AND(OR(KARTU!$K$6="",$F850=KARTU!$K$6),OR(KARTU!$K$7="",$G850=KARTU!$K$7),OR(KARTU!$K$8="",$P850=KARTU!$K$8)),MAX($AE$3:AE849)+1,""))</f>
        <v/>
      </c>
    </row>
    <row r="851" customFormat="false" ht="15" hidden="false" customHeight="false" outlineLevel="0" collapsed="false">
      <c r="A851" s="35" t="str">
        <f aca="false">IF($B851="","",COUNTA($B$4:$B851))</f>
        <v/>
      </c>
      <c r="B851" s="36"/>
      <c r="C851" s="37"/>
      <c r="D851" s="37"/>
      <c r="E851" s="38"/>
      <c r="F851" s="36"/>
      <c r="G851" s="39"/>
      <c r="H851" s="39"/>
      <c r="I851" s="36"/>
      <c r="J851" s="36"/>
      <c r="K851" s="36"/>
      <c r="L851" s="36"/>
      <c r="M851" s="40" t="str">
        <f aca="false">IF($F851="","",$F851&amp;IF($G851="",""," - RT "&amp;$G851&amp;IF($H851="","","/"&amp;$H851)))</f>
        <v/>
      </c>
      <c r="N851" s="36"/>
      <c r="O851" s="37"/>
      <c r="P851" s="39"/>
      <c r="Q851" s="41"/>
      <c r="R851" s="35" t="str">
        <f aca="true">IF(OR($B851="",$Q851=""),"",DATEDIF($Q851,TODAY(),"Y"))</f>
        <v/>
      </c>
      <c r="S851" s="40" t="str">
        <f aca="false">IF($R851="","",INDEX(usia_label,MATCH($R851,usia_min,1)))</f>
        <v/>
      </c>
      <c r="T851" s="36"/>
      <c r="U851" s="41"/>
      <c r="V851" s="36"/>
      <c r="W851" s="36"/>
      <c r="X851" s="40" t="str">
        <f aca="false">IF($M851="","",$M851&amp;"#"&amp;COUNTIF($M$4:$M851,$M851))</f>
        <v/>
      </c>
      <c r="Y851" s="40" t="str">
        <f aca="false">IF($B851="","",IF($C851="","NIK kosong",IF(LEN($C851)&lt;&gt;16,"NIK bukan 16 digit",IF(COUNTIF($C$4:$C$2003,$C851&amp;"*")&gt;1,"NIK ganda",IF(AND($D851&lt;&gt;"",LEN($D851)&lt;&gt;16),"No. KK bukan 16 digit",IF(AND($F851="",$I851=""),"Alamat kosong",IF($N851="","Jabatan kosong",IF($O851="","No. HP kosong",IF(AND($R851&lt;&gt;"",$R851&lt;17),"Usia di bawah 17","")))))))))</f>
        <v/>
      </c>
      <c r="Z851" s="40" t="str">
        <f aca="false">IF($B851="","",IF(AND(OR(CARI!$C$5="",ISNUMBER(SEARCH(CARI!$C$5,$B851&amp;" "&amp;$C851&amp;" "&amp;$D851&amp;" "&amp;$O851&amp;" "&amp;$I851&amp;" "&amp;$F851&amp;" "&amp;$J851&amp;" "&amp;$K851&amp;" "&amp;$L851&amp;" "&amp;$V851))),OR(CARI!$C$6="",$F851=CARI!$C$6),OR(CARI!$C$7="",$G851=CARI!$C$7),OR(CARI!$C$8="",$T851=CARI!$C$8)),MAX($Z$3:Z850)+1,""))</f>
        <v/>
      </c>
      <c r="AA851" s="40" t="str">
        <f aca="false">IF($Y851="","",MAX($AA$3:AA850)+1)</f>
        <v/>
      </c>
      <c r="AB851" s="40" t="str">
        <f aca="false">IF($F851="","",$F851&amp;"#"&amp;COUNTIF($F$4:$F851,$F851))</f>
        <v/>
      </c>
      <c r="AC851" s="40" t="str">
        <f aca="false">IF($B851="","",IF(AND(OR(CETAK!$J$10="",$F851=CETAK!$J$10),OR(CETAK!$J$11="",$G851=CETAK!$J$11),OR(CETAK!$J$12="",$P851=CETAK!$J$12),OR(CETAK!$J$13="",$N851=CETAK!$J$13),OR(CETAK!$J$14="",$T851=CETAK!$J$14)),MAX($AC$3:AC850)+1,""))</f>
        <v/>
      </c>
      <c r="AD851" s="40" t="str">
        <f aca="false">IF($B851="","",IF(AND(OR(ABSENSI!$H$10="",$F851=ABSENSI!$H$10),OR(ABSENSI!$H$11="",$G851=ABSENSI!$H$11),OR(ABSENSI!$H$12="",$P851=ABSENSI!$H$12)),MAX($AD$3:AD850)+1,""))</f>
        <v/>
      </c>
      <c r="AE851" s="40" t="str">
        <f aca="false">IF($B851="","",IF(AND(OR(KARTU!$K$6="",$F851=KARTU!$K$6),OR(KARTU!$K$7="",$G851=KARTU!$K$7),OR(KARTU!$K$8="",$P851=KARTU!$K$8)),MAX($AE$3:AE850)+1,""))</f>
        <v/>
      </c>
    </row>
    <row r="852" customFormat="false" ht="15" hidden="false" customHeight="false" outlineLevel="0" collapsed="false">
      <c r="A852" s="35" t="str">
        <f aca="false">IF($B852="","",COUNTA($B$4:$B852))</f>
        <v/>
      </c>
      <c r="B852" s="36"/>
      <c r="C852" s="37"/>
      <c r="D852" s="37"/>
      <c r="E852" s="38"/>
      <c r="F852" s="36"/>
      <c r="G852" s="39"/>
      <c r="H852" s="39"/>
      <c r="I852" s="36"/>
      <c r="J852" s="36"/>
      <c r="K852" s="36"/>
      <c r="L852" s="36"/>
      <c r="M852" s="40" t="str">
        <f aca="false">IF($F852="","",$F852&amp;IF($G852="",""," - RT "&amp;$G852&amp;IF($H852="","","/"&amp;$H852)))</f>
        <v/>
      </c>
      <c r="N852" s="36"/>
      <c r="O852" s="37"/>
      <c r="P852" s="39"/>
      <c r="Q852" s="41"/>
      <c r="R852" s="35" t="str">
        <f aca="true">IF(OR($B852="",$Q852=""),"",DATEDIF($Q852,TODAY(),"Y"))</f>
        <v/>
      </c>
      <c r="S852" s="40" t="str">
        <f aca="false">IF($R852="","",INDEX(usia_label,MATCH($R852,usia_min,1)))</f>
        <v/>
      </c>
      <c r="T852" s="36"/>
      <c r="U852" s="41"/>
      <c r="V852" s="36"/>
      <c r="W852" s="36"/>
      <c r="X852" s="40" t="str">
        <f aca="false">IF($M852="","",$M852&amp;"#"&amp;COUNTIF($M$4:$M852,$M852))</f>
        <v/>
      </c>
      <c r="Y852" s="40" t="str">
        <f aca="false">IF($B852="","",IF($C852="","NIK kosong",IF(LEN($C852)&lt;&gt;16,"NIK bukan 16 digit",IF(COUNTIF($C$4:$C$2003,$C852&amp;"*")&gt;1,"NIK ganda",IF(AND($D852&lt;&gt;"",LEN($D852)&lt;&gt;16),"No. KK bukan 16 digit",IF(AND($F852="",$I852=""),"Alamat kosong",IF($N852="","Jabatan kosong",IF($O852="","No. HP kosong",IF(AND($R852&lt;&gt;"",$R852&lt;17),"Usia di bawah 17","")))))))))</f>
        <v/>
      </c>
      <c r="Z852" s="40" t="str">
        <f aca="false">IF($B852="","",IF(AND(OR(CARI!$C$5="",ISNUMBER(SEARCH(CARI!$C$5,$B852&amp;" "&amp;$C852&amp;" "&amp;$D852&amp;" "&amp;$O852&amp;" "&amp;$I852&amp;" "&amp;$F852&amp;" "&amp;$J852&amp;" "&amp;$K852&amp;" "&amp;$L852&amp;" "&amp;$V852))),OR(CARI!$C$6="",$F852=CARI!$C$6),OR(CARI!$C$7="",$G852=CARI!$C$7),OR(CARI!$C$8="",$T852=CARI!$C$8)),MAX($Z$3:Z851)+1,""))</f>
        <v/>
      </c>
      <c r="AA852" s="40" t="str">
        <f aca="false">IF($Y852="","",MAX($AA$3:AA851)+1)</f>
        <v/>
      </c>
      <c r="AB852" s="40" t="str">
        <f aca="false">IF($F852="","",$F852&amp;"#"&amp;COUNTIF($F$4:$F852,$F852))</f>
        <v/>
      </c>
      <c r="AC852" s="40" t="str">
        <f aca="false">IF($B852="","",IF(AND(OR(CETAK!$J$10="",$F852=CETAK!$J$10),OR(CETAK!$J$11="",$G852=CETAK!$J$11),OR(CETAK!$J$12="",$P852=CETAK!$J$12),OR(CETAK!$J$13="",$N852=CETAK!$J$13),OR(CETAK!$J$14="",$T852=CETAK!$J$14)),MAX($AC$3:AC851)+1,""))</f>
        <v/>
      </c>
      <c r="AD852" s="40" t="str">
        <f aca="false">IF($B852="","",IF(AND(OR(ABSENSI!$H$10="",$F852=ABSENSI!$H$10),OR(ABSENSI!$H$11="",$G852=ABSENSI!$H$11),OR(ABSENSI!$H$12="",$P852=ABSENSI!$H$12)),MAX($AD$3:AD851)+1,""))</f>
        <v/>
      </c>
      <c r="AE852" s="40" t="str">
        <f aca="false">IF($B852="","",IF(AND(OR(KARTU!$K$6="",$F852=KARTU!$K$6),OR(KARTU!$K$7="",$G852=KARTU!$K$7),OR(KARTU!$K$8="",$P852=KARTU!$K$8)),MAX($AE$3:AE851)+1,""))</f>
        <v/>
      </c>
    </row>
    <row r="853" customFormat="false" ht="15" hidden="false" customHeight="false" outlineLevel="0" collapsed="false">
      <c r="A853" s="35" t="str">
        <f aca="false">IF($B853="","",COUNTA($B$4:$B853))</f>
        <v/>
      </c>
      <c r="B853" s="36"/>
      <c r="C853" s="37"/>
      <c r="D853" s="37"/>
      <c r="E853" s="38"/>
      <c r="F853" s="36"/>
      <c r="G853" s="39"/>
      <c r="H853" s="39"/>
      <c r="I853" s="36"/>
      <c r="J853" s="36"/>
      <c r="K853" s="36"/>
      <c r="L853" s="36"/>
      <c r="M853" s="40" t="str">
        <f aca="false">IF($F853="","",$F853&amp;IF($G853="",""," - RT "&amp;$G853&amp;IF($H853="","","/"&amp;$H853)))</f>
        <v/>
      </c>
      <c r="N853" s="36"/>
      <c r="O853" s="37"/>
      <c r="P853" s="39"/>
      <c r="Q853" s="41"/>
      <c r="R853" s="35" t="str">
        <f aca="true">IF(OR($B853="",$Q853=""),"",DATEDIF($Q853,TODAY(),"Y"))</f>
        <v/>
      </c>
      <c r="S853" s="40" t="str">
        <f aca="false">IF($R853="","",INDEX(usia_label,MATCH($R853,usia_min,1)))</f>
        <v/>
      </c>
      <c r="T853" s="36"/>
      <c r="U853" s="41"/>
      <c r="V853" s="36"/>
      <c r="W853" s="36"/>
      <c r="X853" s="40" t="str">
        <f aca="false">IF($M853="","",$M853&amp;"#"&amp;COUNTIF($M$4:$M853,$M853))</f>
        <v/>
      </c>
      <c r="Y853" s="40" t="str">
        <f aca="false">IF($B853="","",IF($C853="","NIK kosong",IF(LEN($C853)&lt;&gt;16,"NIK bukan 16 digit",IF(COUNTIF($C$4:$C$2003,$C853&amp;"*")&gt;1,"NIK ganda",IF(AND($D853&lt;&gt;"",LEN($D853)&lt;&gt;16),"No. KK bukan 16 digit",IF(AND($F853="",$I853=""),"Alamat kosong",IF($N853="","Jabatan kosong",IF($O853="","No. HP kosong",IF(AND($R853&lt;&gt;"",$R853&lt;17),"Usia di bawah 17","")))))))))</f>
        <v/>
      </c>
      <c r="Z853" s="40" t="str">
        <f aca="false">IF($B853="","",IF(AND(OR(CARI!$C$5="",ISNUMBER(SEARCH(CARI!$C$5,$B853&amp;" "&amp;$C853&amp;" "&amp;$D853&amp;" "&amp;$O853&amp;" "&amp;$I853&amp;" "&amp;$F853&amp;" "&amp;$J853&amp;" "&amp;$K853&amp;" "&amp;$L853&amp;" "&amp;$V853))),OR(CARI!$C$6="",$F853=CARI!$C$6),OR(CARI!$C$7="",$G853=CARI!$C$7),OR(CARI!$C$8="",$T853=CARI!$C$8)),MAX($Z$3:Z852)+1,""))</f>
        <v/>
      </c>
      <c r="AA853" s="40" t="str">
        <f aca="false">IF($Y853="","",MAX($AA$3:AA852)+1)</f>
        <v/>
      </c>
      <c r="AB853" s="40" t="str">
        <f aca="false">IF($F853="","",$F853&amp;"#"&amp;COUNTIF($F$4:$F853,$F853))</f>
        <v/>
      </c>
      <c r="AC853" s="40" t="str">
        <f aca="false">IF($B853="","",IF(AND(OR(CETAK!$J$10="",$F853=CETAK!$J$10),OR(CETAK!$J$11="",$G853=CETAK!$J$11),OR(CETAK!$J$12="",$P853=CETAK!$J$12),OR(CETAK!$J$13="",$N853=CETAK!$J$13),OR(CETAK!$J$14="",$T853=CETAK!$J$14)),MAX($AC$3:AC852)+1,""))</f>
        <v/>
      </c>
      <c r="AD853" s="40" t="str">
        <f aca="false">IF($B853="","",IF(AND(OR(ABSENSI!$H$10="",$F853=ABSENSI!$H$10),OR(ABSENSI!$H$11="",$G853=ABSENSI!$H$11),OR(ABSENSI!$H$12="",$P853=ABSENSI!$H$12)),MAX($AD$3:AD852)+1,""))</f>
        <v/>
      </c>
      <c r="AE853" s="40" t="str">
        <f aca="false">IF($B853="","",IF(AND(OR(KARTU!$K$6="",$F853=KARTU!$K$6),OR(KARTU!$K$7="",$G853=KARTU!$K$7),OR(KARTU!$K$8="",$P853=KARTU!$K$8)),MAX($AE$3:AE852)+1,""))</f>
        <v/>
      </c>
    </row>
    <row r="854" customFormat="false" ht="15" hidden="false" customHeight="false" outlineLevel="0" collapsed="false">
      <c r="A854" s="35" t="str">
        <f aca="false">IF($B854="","",COUNTA($B$4:$B854))</f>
        <v/>
      </c>
      <c r="B854" s="36"/>
      <c r="C854" s="37"/>
      <c r="D854" s="37"/>
      <c r="E854" s="38"/>
      <c r="F854" s="36"/>
      <c r="G854" s="39"/>
      <c r="H854" s="39"/>
      <c r="I854" s="36"/>
      <c r="J854" s="36"/>
      <c r="K854" s="36"/>
      <c r="L854" s="36"/>
      <c r="M854" s="40" t="str">
        <f aca="false">IF($F854="","",$F854&amp;IF($G854="",""," - RT "&amp;$G854&amp;IF($H854="","","/"&amp;$H854)))</f>
        <v/>
      </c>
      <c r="N854" s="36"/>
      <c r="O854" s="37"/>
      <c r="P854" s="39"/>
      <c r="Q854" s="41"/>
      <c r="R854" s="35" t="str">
        <f aca="true">IF(OR($B854="",$Q854=""),"",DATEDIF($Q854,TODAY(),"Y"))</f>
        <v/>
      </c>
      <c r="S854" s="40" t="str">
        <f aca="false">IF($R854="","",INDEX(usia_label,MATCH($R854,usia_min,1)))</f>
        <v/>
      </c>
      <c r="T854" s="36"/>
      <c r="U854" s="41"/>
      <c r="V854" s="36"/>
      <c r="W854" s="36"/>
      <c r="X854" s="40" t="str">
        <f aca="false">IF($M854="","",$M854&amp;"#"&amp;COUNTIF($M$4:$M854,$M854))</f>
        <v/>
      </c>
      <c r="Y854" s="40" t="str">
        <f aca="false">IF($B854="","",IF($C854="","NIK kosong",IF(LEN($C854)&lt;&gt;16,"NIK bukan 16 digit",IF(COUNTIF($C$4:$C$2003,$C854&amp;"*")&gt;1,"NIK ganda",IF(AND($D854&lt;&gt;"",LEN($D854)&lt;&gt;16),"No. KK bukan 16 digit",IF(AND($F854="",$I854=""),"Alamat kosong",IF($N854="","Jabatan kosong",IF($O854="","No. HP kosong",IF(AND($R854&lt;&gt;"",$R854&lt;17),"Usia di bawah 17","")))))))))</f>
        <v/>
      </c>
      <c r="Z854" s="40" t="str">
        <f aca="false">IF($B854="","",IF(AND(OR(CARI!$C$5="",ISNUMBER(SEARCH(CARI!$C$5,$B854&amp;" "&amp;$C854&amp;" "&amp;$D854&amp;" "&amp;$O854&amp;" "&amp;$I854&amp;" "&amp;$F854&amp;" "&amp;$J854&amp;" "&amp;$K854&amp;" "&amp;$L854&amp;" "&amp;$V854))),OR(CARI!$C$6="",$F854=CARI!$C$6),OR(CARI!$C$7="",$G854=CARI!$C$7),OR(CARI!$C$8="",$T854=CARI!$C$8)),MAX($Z$3:Z853)+1,""))</f>
        <v/>
      </c>
      <c r="AA854" s="40" t="str">
        <f aca="false">IF($Y854="","",MAX($AA$3:AA853)+1)</f>
        <v/>
      </c>
      <c r="AB854" s="40" t="str">
        <f aca="false">IF($F854="","",$F854&amp;"#"&amp;COUNTIF($F$4:$F854,$F854))</f>
        <v/>
      </c>
      <c r="AC854" s="40" t="str">
        <f aca="false">IF($B854="","",IF(AND(OR(CETAK!$J$10="",$F854=CETAK!$J$10),OR(CETAK!$J$11="",$G854=CETAK!$J$11),OR(CETAK!$J$12="",$P854=CETAK!$J$12),OR(CETAK!$J$13="",$N854=CETAK!$J$13),OR(CETAK!$J$14="",$T854=CETAK!$J$14)),MAX($AC$3:AC853)+1,""))</f>
        <v/>
      </c>
      <c r="AD854" s="40" t="str">
        <f aca="false">IF($B854="","",IF(AND(OR(ABSENSI!$H$10="",$F854=ABSENSI!$H$10),OR(ABSENSI!$H$11="",$G854=ABSENSI!$H$11),OR(ABSENSI!$H$12="",$P854=ABSENSI!$H$12)),MAX($AD$3:AD853)+1,""))</f>
        <v/>
      </c>
      <c r="AE854" s="40" t="str">
        <f aca="false">IF($B854="","",IF(AND(OR(KARTU!$K$6="",$F854=KARTU!$K$6),OR(KARTU!$K$7="",$G854=KARTU!$K$7),OR(KARTU!$K$8="",$P854=KARTU!$K$8)),MAX($AE$3:AE853)+1,""))</f>
        <v/>
      </c>
    </row>
    <row r="855" customFormat="false" ht="15" hidden="false" customHeight="false" outlineLevel="0" collapsed="false">
      <c r="A855" s="35" t="str">
        <f aca="false">IF($B855="","",COUNTA($B$4:$B855))</f>
        <v/>
      </c>
      <c r="B855" s="36"/>
      <c r="C855" s="37"/>
      <c r="D855" s="37"/>
      <c r="E855" s="38"/>
      <c r="F855" s="36"/>
      <c r="G855" s="39"/>
      <c r="H855" s="39"/>
      <c r="I855" s="36"/>
      <c r="J855" s="36"/>
      <c r="K855" s="36"/>
      <c r="L855" s="36"/>
      <c r="M855" s="40" t="str">
        <f aca="false">IF($F855="","",$F855&amp;IF($G855="",""," - RT "&amp;$G855&amp;IF($H855="","","/"&amp;$H855)))</f>
        <v/>
      </c>
      <c r="N855" s="36"/>
      <c r="O855" s="37"/>
      <c r="P855" s="39"/>
      <c r="Q855" s="41"/>
      <c r="R855" s="35" t="str">
        <f aca="true">IF(OR($B855="",$Q855=""),"",DATEDIF($Q855,TODAY(),"Y"))</f>
        <v/>
      </c>
      <c r="S855" s="40" t="str">
        <f aca="false">IF($R855="","",INDEX(usia_label,MATCH($R855,usia_min,1)))</f>
        <v/>
      </c>
      <c r="T855" s="36"/>
      <c r="U855" s="41"/>
      <c r="V855" s="36"/>
      <c r="W855" s="36"/>
      <c r="X855" s="40" t="str">
        <f aca="false">IF($M855="","",$M855&amp;"#"&amp;COUNTIF($M$4:$M855,$M855))</f>
        <v/>
      </c>
      <c r="Y855" s="40" t="str">
        <f aca="false">IF($B855="","",IF($C855="","NIK kosong",IF(LEN($C855)&lt;&gt;16,"NIK bukan 16 digit",IF(COUNTIF($C$4:$C$2003,$C855&amp;"*")&gt;1,"NIK ganda",IF(AND($D855&lt;&gt;"",LEN($D855)&lt;&gt;16),"No. KK bukan 16 digit",IF(AND($F855="",$I855=""),"Alamat kosong",IF($N855="","Jabatan kosong",IF($O855="","No. HP kosong",IF(AND($R855&lt;&gt;"",$R855&lt;17),"Usia di bawah 17","")))))))))</f>
        <v/>
      </c>
      <c r="Z855" s="40" t="str">
        <f aca="false">IF($B855="","",IF(AND(OR(CARI!$C$5="",ISNUMBER(SEARCH(CARI!$C$5,$B855&amp;" "&amp;$C855&amp;" "&amp;$D855&amp;" "&amp;$O855&amp;" "&amp;$I855&amp;" "&amp;$F855&amp;" "&amp;$J855&amp;" "&amp;$K855&amp;" "&amp;$L855&amp;" "&amp;$V855))),OR(CARI!$C$6="",$F855=CARI!$C$6),OR(CARI!$C$7="",$G855=CARI!$C$7),OR(CARI!$C$8="",$T855=CARI!$C$8)),MAX($Z$3:Z854)+1,""))</f>
        <v/>
      </c>
      <c r="AA855" s="40" t="str">
        <f aca="false">IF($Y855="","",MAX($AA$3:AA854)+1)</f>
        <v/>
      </c>
      <c r="AB855" s="40" t="str">
        <f aca="false">IF($F855="","",$F855&amp;"#"&amp;COUNTIF($F$4:$F855,$F855))</f>
        <v/>
      </c>
      <c r="AC855" s="40" t="str">
        <f aca="false">IF($B855="","",IF(AND(OR(CETAK!$J$10="",$F855=CETAK!$J$10),OR(CETAK!$J$11="",$G855=CETAK!$J$11),OR(CETAK!$J$12="",$P855=CETAK!$J$12),OR(CETAK!$J$13="",$N855=CETAK!$J$13),OR(CETAK!$J$14="",$T855=CETAK!$J$14)),MAX($AC$3:AC854)+1,""))</f>
        <v/>
      </c>
      <c r="AD855" s="40" t="str">
        <f aca="false">IF($B855="","",IF(AND(OR(ABSENSI!$H$10="",$F855=ABSENSI!$H$10),OR(ABSENSI!$H$11="",$G855=ABSENSI!$H$11),OR(ABSENSI!$H$12="",$P855=ABSENSI!$H$12)),MAX($AD$3:AD854)+1,""))</f>
        <v/>
      </c>
      <c r="AE855" s="40" t="str">
        <f aca="false">IF($B855="","",IF(AND(OR(KARTU!$K$6="",$F855=KARTU!$K$6),OR(KARTU!$K$7="",$G855=KARTU!$K$7),OR(KARTU!$K$8="",$P855=KARTU!$K$8)),MAX($AE$3:AE854)+1,""))</f>
        <v/>
      </c>
    </row>
    <row r="856" customFormat="false" ht="15" hidden="false" customHeight="false" outlineLevel="0" collapsed="false">
      <c r="A856" s="35" t="str">
        <f aca="false">IF($B856="","",COUNTA($B$4:$B856))</f>
        <v/>
      </c>
      <c r="B856" s="36"/>
      <c r="C856" s="37"/>
      <c r="D856" s="37"/>
      <c r="E856" s="38"/>
      <c r="F856" s="36"/>
      <c r="G856" s="39"/>
      <c r="H856" s="39"/>
      <c r="I856" s="36"/>
      <c r="J856" s="36"/>
      <c r="K856" s="36"/>
      <c r="L856" s="36"/>
      <c r="M856" s="40" t="str">
        <f aca="false">IF($F856="","",$F856&amp;IF($G856="",""," - RT "&amp;$G856&amp;IF($H856="","","/"&amp;$H856)))</f>
        <v/>
      </c>
      <c r="N856" s="36"/>
      <c r="O856" s="37"/>
      <c r="P856" s="39"/>
      <c r="Q856" s="41"/>
      <c r="R856" s="35" t="str">
        <f aca="true">IF(OR($B856="",$Q856=""),"",DATEDIF($Q856,TODAY(),"Y"))</f>
        <v/>
      </c>
      <c r="S856" s="40" t="str">
        <f aca="false">IF($R856="","",INDEX(usia_label,MATCH($R856,usia_min,1)))</f>
        <v/>
      </c>
      <c r="T856" s="36"/>
      <c r="U856" s="41"/>
      <c r="V856" s="36"/>
      <c r="W856" s="36"/>
      <c r="X856" s="40" t="str">
        <f aca="false">IF($M856="","",$M856&amp;"#"&amp;COUNTIF($M$4:$M856,$M856))</f>
        <v/>
      </c>
      <c r="Y856" s="40" t="str">
        <f aca="false">IF($B856="","",IF($C856="","NIK kosong",IF(LEN($C856)&lt;&gt;16,"NIK bukan 16 digit",IF(COUNTIF($C$4:$C$2003,$C856&amp;"*")&gt;1,"NIK ganda",IF(AND($D856&lt;&gt;"",LEN($D856)&lt;&gt;16),"No. KK bukan 16 digit",IF(AND($F856="",$I856=""),"Alamat kosong",IF($N856="","Jabatan kosong",IF($O856="","No. HP kosong",IF(AND($R856&lt;&gt;"",$R856&lt;17),"Usia di bawah 17","")))))))))</f>
        <v/>
      </c>
      <c r="Z856" s="40" t="str">
        <f aca="false">IF($B856="","",IF(AND(OR(CARI!$C$5="",ISNUMBER(SEARCH(CARI!$C$5,$B856&amp;" "&amp;$C856&amp;" "&amp;$D856&amp;" "&amp;$O856&amp;" "&amp;$I856&amp;" "&amp;$F856&amp;" "&amp;$J856&amp;" "&amp;$K856&amp;" "&amp;$L856&amp;" "&amp;$V856))),OR(CARI!$C$6="",$F856=CARI!$C$6),OR(CARI!$C$7="",$G856=CARI!$C$7),OR(CARI!$C$8="",$T856=CARI!$C$8)),MAX($Z$3:Z855)+1,""))</f>
        <v/>
      </c>
      <c r="AA856" s="40" t="str">
        <f aca="false">IF($Y856="","",MAX($AA$3:AA855)+1)</f>
        <v/>
      </c>
      <c r="AB856" s="40" t="str">
        <f aca="false">IF($F856="","",$F856&amp;"#"&amp;COUNTIF($F$4:$F856,$F856))</f>
        <v/>
      </c>
      <c r="AC856" s="40" t="str">
        <f aca="false">IF($B856="","",IF(AND(OR(CETAK!$J$10="",$F856=CETAK!$J$10),OR(CETAK!$J$11="",$G856=CETAK!$J$11),OR(CETAK!$J$12="",$P856=CETAK!$J$12),OR(CETAK!$J$13="",$N856=CETAK!$J$13),OR(CETAK!$J$14="",$T856=CETAK!$J$14)),MAX($AC$3:AC855)+1,""))</f>
        <v/>
      </c>
      <c r="AD856" s="40" t="str">
        <f aca="false">IF($B856="","",IF(AND(OR(ABSENSI!$H$10="",$F856=ABSENSI!$H$10),OR(ABSENSI!$H$11="",$G856=ABSENSI!$H$11),OR(ABSENSI!$H$12="",$P856=ABSENSI!$H$12)),MAX($AD$3:AD855)+1,""))</f>
        <v/>
      </c>
      <c r="AE856" s="40" t="str">
        <f aca="false">IF($B856="","",IF(AND(OR(KARTU!$K$6="",$F856=KARTU!$K$6),OR(KARTU!$K$7="",$G856=KARTU!$K$7),OR(KARTU!$K$8="",$P856=KARTU!$K$8)),MAX($AE$3:AE855)+1,""))</f>
        <v/>
      </c>
    </row>
    <row r="857" customFormat="false" ht="15" hidden="false" customHeight="false" outlineLevel="0" collapsed="false">
      <c r="A857" s="35" t="str">
        <f aca="false">IF($B857="","",COUNTA($B$4:$B857))</f>
        <v/>
      </c>
      <c r="B857" s="36"/>
      <c r="C857" s="37"/>
      <c r="D857" s="37"/>
      <c r="E857" s="38"/>
      <c r="F857" s="36"/>
      <c r="G857" s="39"/>
      <c r="H857" s="39"/>
      <c r="I857" s="36"/>
      <c r="J857" s="36"/>
      <c r="K857" s="36"/>
      <c r="L857" s="36"/>
      <c r="M857" s="40" t="str">
        <f aca="false">IF($F857="","",$F857&amp;IF($G857="",""," - RT "&amp;$G857&amp;IF($H857="","","/"&amp;$H857)))</f>
        <v/>
      </c>
      <c r="N857" s="36"/>
      <c r="O857" s="37"/>
      <c r="P857" s="39"/>
      <c r="Q857" s="41"/>
      <c r="R857" s="35" t="str">
        <f aca="true">IF(OR($B857="",$Q857=""),"",DATEDIF($Q857,TODAY(),"Y"))</f>
        <v/>
      </c>
      <c r="S857" s="40" t="str">
        <f aca="false">IF($R857="","",INDEX(usia_label,MATCH($R857,usia_min,1)))</f>
        <v/>
      </c>
      <c r="T857" s="36"/>
      <c r="U857" s="41"/>
      <c r="V857" s="36"/>
      <c r="W857" s="36"/>
      <c r="X857" s="40" t="str">
        <f aca="false">IF($M857="","",$M857&amp;"#"&amp;COUNTIF($M$4:$M857,$M857))</f>
        <v/>
      </c>
      <c r="Y857" s="40" t="str">
        <f aca="false">IF($B857="","",IF($C857="","NIK kosong",IF(LEN($C857)&lt;&gt;16,"NIK bukan 16 digit",IF(COUNTIF($C$4:$C$2003,$C857&amp;"*")&gt;1,"NIK ganda",IF(AND($D857&lt;&gt;"",LEN($D857)&lt;&gt;16),"No. KK bukan 16 digit",IF(AND($F857="",$I857=""),"Alamat kosong",IF($N857="","Jabatan kosong",IF($O857="","No. HP kosong",IF(AND($R857&lt;&gt;"",$R857&lt;17),"Usia di bawah 17","")))))))))</f>
        <v/>
      </c>
      <c r="Z857" s="40" t="str">
        <f aca="false">IF($B857="","",IF(AND(OR(CARI!$C$5="",ISNUMBER(SEARCH(CARI!$C$5,$B857&amp;" "&amp;$C857&amp;" "&amp;$D857&amp;" "&amp;$O857&amp;" "&amp;$I857&amp;" "&amp;$F857&amp;" "&amp;$J857&amp;" "&amp;$K857&amp;" "&amp;$L857&amp;" "&amp;$V857))),OR(CARI!$C$6="",$F857=CARI!$C$6),OR(CARI!$C$7="",$G857=CARI!$C$7),OR(CARI!$C$8="",$T857=CARI!$C$8)),MAX($Z$3:Z856)+1,""))</f>
        <v/>
      </c>
      <c r="AA857" s="40" t="str">
        <f aca="false">IF($Y857="","",MAX($AA$3:AA856)+1)</f>
        <v/>
      </c>
      <c r="AB857" s="40" t="str">
        <f aca="false">IF($F857="","",$F857&amp;"#"&amp;COUNTIF($F$4:$F857,$F857))</f>
        <v/>
      </c>
      <c r="AC857" s="40" t="str">
        <f aca="false">IF($B857="","",IF(AND(OR(CETAK!$J$10="",$F857=CETAK!$J$10),OR(CETAK!$J$11="",$G857=CETAK!$J$11),OR(CETAK!$J$12="",$P857=CETAK!$J$12),OR(CETAK!$J$13="",$N857=CETAK!$J$13),OR(CETAK!$J$14="",$T857=CETAK!$J$14)),MAX($AC$3:AC856)+1,""))</f>
        <v/>
      </c>
      <c r="AD857" s="40" t="str">
        <f aca="false">IF($B857="","",IF(AND(OR(ABSENSI!$H$10="",$F857=ABSENSI!$H$10),OR(ABSENSI!$H$11="",$G857=ABSENSI!$H$11),OR(ABSENSI!$H$12="",$P857=ABSENSI!$H$12)),MAX($AD$3:AD856)+1,""))</f>
        <v/>
      </c>
      <c r="AE857" s="40" t="str">
        <f aca="false">IF($B857="","",IF(AND(OR(KARTU!$K$6="",$F857=KARTU!$K$6),OR(KARTU!$K$7="",$G857=KARTU!$K$7),OR(KARTU!$K$8="",$P857=KARTU!$K$8)),MAX($AE$3:AE856)+1,""))</f>
        <v/>
      </c>
    </row>
    <row r="858" customFormat="false" ht="15" hidden="false" customHeight="false" outlineLevel="0" collapsed="false">
      <c r="A858" s="35" t="str">
        <f aca="false">IF($B858="","",COUNTA($B$4:$B858))</f>
        <v/>
      </c>
      <c r="B858" s="36"/>
      <c r="C858" s="37"/>
      <c r="D858" s="37"/>
      <c r="E858" s="38"/>
      <c r="F858" s="36"/>
      <c r="G858" s="39"/>
      <c r="H858" s="39"/>
      <c r="I858" s="36"/>
      <c r="J858" s="36"/>
      <c r="K858" s="36"/>
      <c r="L858" s="36"/>
      <c r="M858" s="40" t="str">
        <f aca="false">IF($F858="","",$F858&amp;IF($G858="",""," - RT "&amp;$G858&amp;IF($H858="","","/"&amp;$H858)))</f>
        <v/>
      </c>
      <c r="N858" s="36"/>
      <c r="O858" s="37"/>
      <c r="P858" s="39"/>
      <c r="Q858" s="41"/>
      <c r="R858" s="35" t="str">
        <f aca="true">IF(OR($B858="",$Q858=""),"",DATEDIF($Q858,TODAY(),"Y"))</f>
        <v/>
      </c>
      <c r="S858" s="40" t="str">
        <f aca="false">IF($R858="","",INDEX(usia_label,MATCH($R858,usia_min,1)))</f>
        <v/>
      </c>
      <c r="T858" s="36"/>
      <c r="U858" s="41"/>
      <c r="V858" s="36"/>
      <c r="W858" s="36"/>
      <c r="X858" s="40" t="str">
        <f aca="false">IF($M858="","",$M858&amp;"#"&amp;COUNTIF($M$4:$M858,$M858))</f>
        <v/>
      </c>
      <c r="Y858" s="40" t="str">
        <f aca="false">IF($B858="","",IF($C858="","NIK kosong",IF(LEN($C858)&lt;&gt;16,"NIK bukan 16 digit",IF(COUNTIF($C$4:$C$2003,$C858&amp;"*")&gt;1,"NIK ganda",IF(AND($D858&lt;&gt;"",LEN($D858)&lt;&gt;16),"No. KK bukan 16 digit",IF(AND($F858="",$I858=""),"Alamat kosong",IF($N858="","Jabatan kosong",IF($O858="","No. HP kosong",IF(AND($R858&lt;&gt;"",$R858&lt;17),"Usia di bawah 17","")))))))))</f>
        <v/>
      </c>
      <c r="Z858" s="40" t="str">
        <f aca="false">IF($B858="","",IF(AND(OR(CARI!$C$5="",ISNUMBER(SEARCH(CARI!$C$5,$B858&amp;" "&amp;$C858&amp;" "&amp;$D858&amp;" "&amp;$O858&amp;" "&amp;$I858&amp;" "&amp;$F858&amp;" "&amp;$J858&amp;" "&amp;$K858&amp;" "&amp;$L858&amp;" "&amp;$V858))),OR(CARI!$C$6="",$F858=CARI!$C$6),OR(CARI!$C$7="",$G858=CARI!$C$7),OR(CARI!$C$8="",$T858=CARI!$C$8)),MAX($Z$3:Z857)+1,""))</f>
        <v/>
      </c>
      <c r="AA858" s="40" t="str">
        <f aca="false">IF($Y858="","",MAX($AA$3:AA857)+1)</f>
        <v/>
      </c>
      <c r="AB858" s="40" t="str">
        <f aca="false">IF($F858="","",$F858&amp;"#"&amp;COUNTIF($F$4:$F858,$F858))</f>
        <v/>
      </c>
      <c r="AC858" s="40" t="str">
        <f aca="false">IF($B858="","",IF(AND(OR(CETAK!$J$10="",$F858=CETAK!$J$10),OR(CETAK!$J$11="",$G858=CETAK!$J$11),OR(CETAK!$J$12="",$P858=CETAK!$J$12),OR(CETAK!$J$13="",$N858=CETAK!$J$13),OR(CETAK!$J$14="",$T858=CETAK!$J$14)),MAX($AC$3:AC857)+1,""))</f>
        <v/>
      </c>
      <c r="AD858" s="40" t="str">
        <f aca="false">IF($B858="","",IF(AND(OR(ABSENSI!$H$10="",$F858=ABSENSI!$H$10),OR(ABSENSI!$H$11="",$G858=ABSENSI!$H$11),OR(ABSENSI!$H$12="",$P858=ABSENSI!$H$12)),MAX($AD$3:AD857)+1,""))</f>
        <v/>
      </c>
      <c r="AE858" s="40" t="str">
        <f aca="false">IF($B858="","",IF(AND(OR(KARTU!$K$6="",$F858=KARTU!$K$6),OR(KARTU!$K$7="",$G858=KARTU!$K$7),OR(KARTU!$K$8="",$P858=KARTU!$K$8)),MAX($AE$3:AE857)+1,""))</f>
        <v/>
      </c>
    </row>
    <row r="859" customFormat="false" ht="15" hidden="false" customHeight="false" outlineLevel="0" collapsed="false">
      <c r="A859" s="35" t="str">
        <f aca="false">IF($B859="","",COUNTA($B$4:$B859))</f>
        <v/>
      </c>
      <c r="B859" s="36"/>
      <c r="C859" s="37"/>
      <c r="D859" s="37"/>
      <c r="E859" s="38"/>
      <c r="F859" s="36"/>
      <c r="G859" s="39"/>
      <c r="H859" s="39"/>
      <c r="I859" s="36"/>
      <c r="J859" s="36"/>
      <c r="K859" s="36"/>
      <c r="L859" s="36"/>
      <c r="M859" s="40" t="str">
        <f aca="false">IF($F859="","",$F859&amp;IF($G859="",""," - RT "&amp;$G859&amp;IF($H859="","","/"&amp;$H859)))</f>
        <v/>
      </c>
      <c r="N859" s="36"/>
      <c r="O859" s="37"/>
      <c r="P859" s="39"/>
      <c r="Q859" s="41"/>
      <c r="R859" s="35" t="str">
        <f aca="true">IF(OR($B859="",$Q859=""),"",DATEDIF($Q859,TODAY(),"Y"))</f>
        <v/>
      </c>
      <c r="S859" s="40" t="str">
        <f aca="false">IF($R859="","",INDEX(usia_label,MATCH($R859,usia_min,1)))</f>
        <v/>
      </c>
      <c r="T859" s="36"/>
      <c r="U859" s="41"/>
      <c r="V859" s="36"/>
      <c r="W859" s="36"/>
      <c r="X859" s="40" t="str">
        <f aca="false">IF($M859="","",$M859&amp;"#"&amp;COUNTIF($M$4:$M859,$M859))</f>
        <v/>
      </c>
      <c r="Y859" s="40" t="str">
        <f aca="false">IF($B859="","",IF($C859="","NIK kosong",IF(LEN($C859)&lt;&gt;16,"NIK bukan 16 digit",IF(COUNTIF($C$4:$C$2003,$C859&amp;"*")&gt;1,"NIK ganda",IF(AND($D859&lt;&gt;"",LEN($D859)&lt;&gt;16),"No. KK bukan 16 digit",IF(AND($F859="",$I859=""),"Alamat kosong",IF($N859="","Jabatan kosong",IF($O859="","No. HP kosong",IF(AND($R859&lt;&gt;"",$R859&lt;17),"Usia di bawah 17","")))))))))</f>
        <v/>
      </c>
      <c r="Z859" s="40" t="str">
        <f aca="false">IF($B859="","",IF(AND(OR(CARI!$C$5="",ISNUMBER(SEARCH(CARI!$C$5,$B859&amp;" "&amp;$C859&amp;" "&amp;$D859&amp;" "&amp;$O859&amp;" "&amp;$I859&amp;" "&amp;$F859&amp;" "&amp;$J859&amp;" "&amp;$K859&amp;" "&amp;$L859&amp;" "&amp;$V859))),OR(CARI!$C$6="",$F859=CARI!$C$6),OR(CARI!$C$7="",$G859=CARI!$C$7),OR(CARI!$C$8="",$T859=CARI!$C$8)),MAX($Z$3:Z858)+1,""))</f>
        <v/>
      </c>
      <c r="AA859" s="40" t="str">
        <f aca="false">IF($Y859="","",MAX($AA$3:AA858)+1)</f>
        <v/>
      </c>
      <c r="AB859" s="40" t="str">
        <f aca="false">IF($F859="","",$F859&amp;"#"&amp;COUNTIF($F$4:$F859,$F859))</f>
        <v/>
      </c>
      <c r="AC859" s="40" t="str">
        <f aca="false">IF($B859="","",IF(AND(OR(CETAK!$J$10="",$F859=CETAK!$J$10),OR(CETAK!$J$11="",$G859=CETAK!$J$11),OR(CETAK!$J$12="",$P859=CETAK!$J$12),OR(CETAK!$J$13="",$N859=CETAK!$J$13),OR(CETAK!$J$14="",$T859=CETAK!$J$14)),MAX($AC$3:AC858)+1,""))</f>
        <v/>
      </c>
      <c r="AD859" s="40" t="str">
        <f aca="false">IF($B859="","",IF(AND(OR(ABSENSI!$H$10="",$F859=ABSENSI!$H$10),OR(ABSENSI!$H$11="",$G859=ABSENSI!$H$11),OR(ABSENSI!$H$12="",$P859=ABSENSI!$H$12)),MAX($AD$3:AD858)+1,""))</f>
        <v/>
      </c>
      <c r="AE859" s="40" t="str">
        <f aca="false">IF($B859="","",IF(AND(OR(KARTU!$K$6="",$F859=KARTU!$K$6),OR(KARTU!$K$7="",$G859=KARTU!$K$7),OR(KARTU!$K$8="",$P859=KARTU!$K$8)),MAX($AE$3:AE858)+1,""))</f>
        <v/>
      </c>
    </row>
    <row r="860" customFormat="false" ht="15" hidden="false" customHeight="false" outlineLevel="0" collapsed="false">
      <c r="A860" s="35" t="str">
        <f aca="false">IF($B860="","",COUNTA($B$4:$B860))</f>
        <v/>
      </c>
      <c r="B860" s="36"/>
      <c r="C860" s="37"/>
      <c r="D860" s="37"/>
      <c r="E860" s="38"/>
      <c r="F860" s="36"/>
      <c r="G860" s="39"/>
      <c r="H860" s="39"/>
      <c r="I860" s="36"/>
      <c r="J860" s="36"/>
      <c r="K860" s="36"/>
      <c r="L860" s="36"/>
      <c r="M860" s="40" t="str">
        <f aca="false">IF($F860="","",$F860&amp;IF($G860="",""," - RT "&amp;$G860&amp;IF($H860="","","/"&amp;$H860)))</f>
        <v/>
      </c>
      <c r="N860" s="36"/>
      <c r="O860" s="37"/>
      <c r="P860" s="39"/>
      <c r="Q860" s="41"/>
      <c r="R860" s="35" t="str">
        <f aca="true">IF(OR($B860="",$Q860=""),"",DATEDIF($Q860,TODAY(),"Y"))</f>
        <v/>
      </c>
      <c r="S860" s="40" t="str">
        <f aca="false">IF($R860="","",INDEX(usia_label,MATCH($R860,usia_min,1)))</f>
        <v/>
      </c>
      <c r="T860" s="36"/>
      <c r="U860" s="41"/>
      <c r="V860" s="36"/>
      <c r="W860" s="36"/>
      <c r="X860" s="40" t="str">
        <f aca="false">IF($M860="","",$M860&amp;"#"&amp;COUNTIF($M$4:$M860,$M860))</f>
        <v/>
      </c>
      <c r="Y860" s="40" t="str">
        <f aca="false">IF($B860="","",IF($C860="","NIK kosong",IF(LEN($C860)&lt;&gt;16,"NIK bukan 16 digit",IF(COUNTIF($C$4:$C$2003,$C860&amp;"*")&gt;1,"NIK ganda",IF(AND($D860&lt;&gt;"",LEN($D860)&lt;&gt;16),"No. KK bukan 16 digit",IF(AND($F860="",$I860=""),"Alamat kosong",IF($N860="","Jabatan kosong",IF($O860="","No. HP kosong",IF(AND($R860&lt;&gt;"",$R860&lt;17),"Usia di bawah 17","")))))))))</f>
        <v/>
      </c>
      <c r="Z860" s="40" t="str">
        <f aca="false">IF($B860="","",IF(AND(OR(CARI!$C$5="",ISNUMBER(SEARCH(CARI!$C$5,$B860&amp;" "&amp;$C860&amp;" "&amp;$D860&amp;" "&amp;$O860&amp;" "&amp;$I860&amp;" "&amp;$F860&amp;" "&amp;$J860&amp;" "&amp;$K860&amp;" "&amp;$L860&amp;" "&amp;$V860))),OR(CARI!$C$6="",$F860=CARI!$C$6),OR(CARI!$C$7="",$G860=CARI!$C$7),OR(CARI!$C$8="",$T860=CARI!$C$8)),MAX($Z$3:Z859)+1,""))</f>
        <v/>
      </c>
      <c r="AA860" s="40" t="str">
        <f aca="false">IF($Y860="","",MAX($AA$3:AA859)+1)</f>
        <v/>
      </c>
      <c r="AB860" s="40" t="str">
        <f aca="false">IF($F860="","",$F860&amp;"#"&amp;COUNTIF($F$4:$F860,$F860))</f>
        <v/>
      </c>
      <c r="AC860" s="40" t="str">
        <f aca="false">IF($B860="","",IF(AND(OR(CETAK!$J$10="",$F860=CETAK!$J$10),OR(CETAK!$J$11="",$G860=CETAK!$J$11),OR(CETAK!$J$12="",$P860=CETAK!$J$12),OR(CETAK!$J$13="",$N860=CETAK!$J$13),OR(CETAK!$J$14="",$T860=CETAK!$J$14)),MAX($AC$3:AC859)+1,""))</f>
        <v/>
      </c>
      <c r="AD860" s="40" t="str">
        <f aca="false">IF($B860="","",IF(AND(OR(ABSENSI!$H$10="",$F860=ABSENSI!$H$10),OR(ABSENSI!$H$11="",$G860=ABSENSI!$H$11),OR(ABSENSI!$H$12="",$P860=ABSENSI!$H$12)),MAX($AD$3:AD859)+1,""))</f>
        <v/>
      </c>
      <c r="AE860" s="40" t="str">
        <f aca="false">IF($B860="","",IF(AND(OR(KARTU!$K$6="",$F860=KARTU!$K$6),OR(KARTU!$K$7="",$G860=KARTU!$K$7),OR(KARTU!$K$8="",$P860=KARTU!$K$8)),MAX($AE$3:AE859)+1,""))</f>
        <v/>
      </c>
    </row>
    <row r="861" customFormat="false" ht="15" hidden="false" customHeight="false" outlineLevel="0" collapsed="false">
      <c r="A861" s="35" t="str">
        <f aca="false">IF($B861="","",COUNTA($B$4:$B861))</f>
        <v/>
      </c>
      <c r="B861" s="36"/>
      <c r="C861" s="37"/>
      <c r="D861" s="37"/>
      <c r="E861" s="38"/>
      <c r="F861" s="36"/>
      <c r="G861" s="39"/>
      <c r="H861" s="39"/>
      <c r="I861" s="36"/>
      <c r="J861" s="36"/>
      <c r="K861" s="36"/>
      <c r="L861" s="36"/>
      <c r="M861" s="40" t="str">
        <f aca="false">IF($F861="","",$F861&amp;IF($G861="",""," - RT "&amp;$G861&amp;IF($H861="","","/"&amp;$H861)))</f>
        <v/>
      </c>
      <c r="N861" s="36"/>
      <c r="O861" s="37"/>
      <c r="P861" s="39"/>
      <c r="Q861" s="41"/>
      <c r="R861" s="35" t="str">
        <f aca="true">IF(OR($B861="",$Q861=""),"",DATEDIF($Q861,TODAY(),"Y"))</f>
        <v/>
      </c>
      <c r="S861" s="40" t="str">
        <f aca="false">IF($R861="","",INDEX(usia_label,MATCH($R861,usia_min,1)))</f>
        <v/>
      </c>
      <c r="T861" s="36"/>
      <c r="U861" s="41"/>
      <c r="V861" s="36"/>
      <c r="W861" s="36"/>
      <c r="X861" s="40" t="str">
        <f aca="false">IF($M861="","",$M861&amp;"#"&amp;COUNTIF($M$4:$M861,$M861))</f>
        <v/>
      </c>
      <c r="Y861" s="40" t="str">
        <f aca="false">IF($B861="","",IF($C861="","NIK kosong",IF(LEN($C861)&lt;&gt;16,"NIK bukan 16 digit",IF(COUNTIF($C$4:$C$2003,$C861&amp;"*")&gt;1,"NIK ganda",IF(AND($D861&lt;&gt;"",LEN($D861)&lt;&gt;16),"No. KK bukan 16 digit",IF(AND($F861="",$I861=""),"Alamat kosong",IF($N861="","Jabatan kosong",IF($O861="","No. HP kosong",IF(AND($R861&lt;&gt;"",$R861&lt;17),"Usia di bawah 17","")))))))))</f>
        <v/>
      </c>
      <c r="Z861" s="40" t="str">
        <f aca="false">IF($B861="","",IF(AND(OR(CARI!$C$5="",ISNUMBER(SEARCH(CARI!$C$5,$B861&amp;" "&amp;$C861&amp;" "&amp;$D861&amp;" "&amp;$O861&amp;" "&amp;$I861&amp;" "&amp;$F861&amp;" "&amp;$J861&amp;" "&amp;$K861&amp;" "&amp;$L861&amp;" "&amp;$V861))),OR(CARI!$C$6="",$F861=CARI!$C$6),OR(CARI!$C$7="",$G861=CARI!$C$7),OR(CARI!$C$8="",$T861=CARI!$C$8)),MAX($Z$3:Z860)+1,""))</f>
        <v/>
      </c>
      <c r="AA861" s="40" t="str">
        <f aca="false">IF($Y861="","",MAX($AA$3:AA860)+1)</f>
        <v/>
      </c>
      <c r="AB861" s="40" t="str">
        <f aca="false">IF($F861="","",$F861&amp;"#"&amp;COUNTIF($F$4:$F861,$F861))</f>
        <v/>
      </c>
      <c r="AC861" s="40" t="str">
        <f aca="false">IF($B861="","",IF(AND(OR(CETAK!$J$10="",$F861=CETAK!$J$10),OR(CETAK!$J$11="",$G861=CETAK!$J$11),OR(CETAK!$J$12="",$P861=CETAK!$J$12),OR(CETAK!$J$13="",$N861=CETAK!$J$13),OR(CETAK!$J$14="",$T861=CETAK!$J$14)),MAX($AC$3:AC860)+1,""))</f>
        <v/>
      </c>
      <c r="AD861" s="40" t="str">
        <f aca="false">IF($B861="","",IF(AND(OR(ABSENSI!$H$10="",$F861=ABSENSI!$H$10),OR(ABSENSI!$H$11="",$G861=ABSENSI!$H$11),OR(ABSENSI!$H$12="",$P861=ABSENSI!$H$12)),MAX($AD$3:AD860)+1,""))</f>
        <v/>
      </c>
      <c r="AE861" s="40" t="str">
        <f aca="false">IF($B861="","",IF(AND(OR(KARTU!$K$6="",$F861=KARTU!$K$6),OR(KARTU!$K$7="",$G861=KARTU!$K$7),OR(KARTU!$K$8="",$P861=KARTU!$K$8)),MAX($AE$3:AE860)+1,""))</f>
        <v/>
      </c>
    </row>
    <row r="862" customFormat="false" ht="15" hidden="false" customHeight="false" outlineLevel="0" collapsed="false">
      <c r="A862" s="35" t="str">
        <f aca="false">IF($B862="","",COUNTA($B$4:$B862))</f>
        <v/>
      </c>
      <c r="B862" s="36"/>
      <c r="C862" s="37"/>
      <c r="D862" s="37"/>
      <c r="E862" s="38"/>
      <c r="F862" s="36"/>
      <c r="G862" s="39"/>
      <c r="H862" s="39"/>
      <c r="I862" s="36"/>
      <c r="J862" s="36"/>
      <c r="K862" s="36"/>
      <c r="L862" s="36"/>
      <c r="M862" s="40" t="str">
        <f aca="false">IF($F862="","",$F862&amp;IF($G862="",""," - RT "&amp;$G862&amp;IF($H862="","","/"&amp;$H862)))</f>
        <v/>
      </c>
      <c r="N862" s="36"/>
      <c r="O862" s="37"/>
      <c r="P862" s="39"/>
      <c r="Q862" s="41"/>
      <c r="R862" s="35" t="str">
        <f aca="true">IF(OR($B862="",$Q862=""),"",DATEDIF($Q862,TODAY(),"Y"))</f>
        <v/>
      </c>
      <c r="S862" s="40" t="str">
        <f aca="false">IF($R862="","",INDEX(usia_label,MATCH($R862,usia_min,1)))</f>
        <v/>
      </c>
      <c r="T862" s="36"/>
      <c r="U862" s="41"/>
      <c r="V862" s="36"/>
      <c r="W862" s="36"/>
      <c r="X862" s="40" t="str">
        <f aca="false">IF($M862="","",$M862&amp;"#"&amp;COUNTIF($M$4:$M862,$M862))</f>
        <v/>
      </c>
      <c r="Y862" s="40" t="str">
        <f aca="false">IF($B862="","",IF($C862="","NIK kosong",IF(LEN($C862)&lt;&gt;16,"NIK bukan 16 digit",IF(COUNTIF($C$4:$C$2003,$C862&amp;"*")&gt;1,"NIK ganda",IF(AND($D862&lt;&gt;"",LEN($D862)&lt;&gt;16),"No. KK bukan 16 digit",IF(AND($F862="",$I862=""),"Alamat kosong",IF($N862="","Jabatan kosong",IF($O862="","No. HP kosong",IF(AND($R862&lt;&gt;"",$R862&lt;17),"Usia di bawah 17","")))))))))</f>
        <v/>
      </c>
      <c r="Z862" s="40" t="str">
        <f aca="false">IF($B862="","",IF(AND(OR(CARI!$C$5="",ISNUMBER(SEARCH(CARI!$C$5,$B862&amp;" "&amp;$C862&amp;" "&amp;$D862&amp;" "&amp;$O862&amp;" "&amp;$I862&amp;" "&amp;$F862&amp;" "&amp;$J862&amp;" "&amp;$K862&amp;" "&amp;$L862&amp;" "&amp;$V862))),OR(CARI!$C$6="",$F862=CARI!$C$6),OR(CARI!$C$7="",$G862=CARI!$C$7),OR(CARI!$C$8="",$T862=CARI!$C$8)),MAX($Z$3:Z861)+1,""))</f>
        <v/>
      </c>
      <c r="AA862" s="40" t="str">
        <f aca="false">IF($Y862="","",MAX($AA$3:AA861)+1)</f>
        <v/>
      </c>
      <c r="AB862" s="40" t="str">
        <f aca="false">IF($F862="","",$F862&amp;"#"&amp;COUNTIF($F$4:$F862,$F862))</f>
        <v/>
      </c>
      <c r="AC862" s="40" t="str">
        <f aca="false">IF($B862="","",IF(AND(OR(CETAK!$J$10="",$F862=CETAK!$J$10),OR(CETAK!$J$11="",$G862=CETAK!$J$11),OR(CETAK!$J$12="",$P862=CETAK!$J$12),OR(CETAK!$J$13="",$N862=CETAK!$J$13),OR(CETAK!$J$14="",$T862=CETAK!$J$14)),MAX($AC$3:AC861)+1,""))</f>
        <v/>
      </c>
      <c r="AD862" s="40" t="str">
        <f aca="false">IF($B862="","",IF(AND(OR(ABSENSI!$H$10="",$F862=ABSENSI!$H$10),OR(ABSENSI!$H$11="",$G862=ABSENSI!$H$11),OR(ABSENSI!$H$12="",$P862=ABSENSI!$H$12)),MAX($AD$3:AD861)+1,""))</f>
        <v/>
      </c>
      <c r="AE862" s="40" t="str">
        <f aca="false">IF($B862="","",IF(AND(OR(KARTU!$K$6="",$F862=KARTU!$K$6),OR(KARTU!$K$7="",$G862=KARTU!$K$7),OR(KARTU!$K$8="",$P862=KARTU!$K$8)),MAX($AE$3:AE861)+1,""))</f>
        <v/>
      </c>
    </row>
    <row r="863" customFormat="false" ht="15" hidden="false" customHeight="false" outlineLevel="0" collapsed="false">
      <c r="A863" s="35" t="str">
        <f aca="false">IF($B863="","",COUNTA($B$4:$B863))</f>
        <v/>
      </c>
      <c r="B863" s="36"/>
      <c r="C863" s="37"/>
      <c r="D863" s="37"/>
      <c r="E863" s="38"/>
      <c r="F863" s="36"/>
      <c r="G863" s="39"/>
      <c r="H863" s="39"/>
      <c r="I863" s="36"/>
      <c r="J863" s="36"/>
      <c r="K863" s="36"/>
      <c r="L863" s="36"/>
      <c r="M863" s="40" t="str">
        <f aca="false">IF($F863="","",$F863&amp;IF($G863="",""," - RT "&amp;$G863&amp;IF($H863="","","/"&amp;$H863)))</f>
        <v/>
      </c>
      <c r="N863" s="36"/>
      <c r="O863" s="37"/>
      <c r="P863" s="39"/>
      <c r="Q863" s="41"/>
      <c r="R863" s="35" t="str">
        <f aca="true">IF(OR($B863="",$Q863=""),"",DATEDIF($Q863,TODAY(),"Y"))</f>
        <v/>
      </c>
      <c r="S863" s="40" t="str">
        <f aca="false">IF($R863="","",INDEX(usia_label,MATCH($R863,usia_min,1)))</f>
        <v/>
      </c>
      <c r="T863" s="36"/>
      <c r="U863" s="41"/>
      <c r="V863" s="36"/>
      <c r="W863" s="36"/>
      <c r="X863" s="40" t="str">
        <f aca="false">IF($M863="","",$M863&amp;"#"&amp;COUNTIF($M$4:$M863,$M863))</f>
        <v/>
      </c>
      <c r="Y863" s="40" t="str">
        <f aca="false">IF($B863="","",IF($C863="","NIK kosong",IF(LEN($C863)&lt;&gt;16,"NIK bukan 16 digit",IF(COUNTIF($C$4:$C$2003,$C863&amp;"*")&gt;1,"NIK ganda",IF(AND($D863&lt;&gt;"",LEN($D863)&lt;&gt;16),"No. KK bukan 16 digit",IF(AND($F863="",$I863=""),"Alamat kosong",IF($N863="","Jabatan kosong",IF($O863="","No. HP kosong",IF(AND($R863&lt;&gt;"",$R863&lt;17),"Usia di bawah 17","")))))))))</f>
        <v/>
      </c>
      <c r="Z863" s="40" t="str">
        <f aca="false">IF($B863="","",IF(AND(OR(CARI!$C$5="",ISNUMBER(SEARCH(CARI!$C$5,$B863&amp;" "&amp;$C863&amp;" "&amp;$D863&amp;" "&amp;$O863&amp;" "&amp;$I863&amp;" "&amp;$F863&amp;" "&amp;$J863&amp;" "&amp;$K863&amp;" "&amp;$L863&amp;" "&amp;$V863))),OR(CARI!$C$6="",$F863=CARI!$C$6),OR(CARI!$C$7="",$G863=CARI!$C$7),OR(CARI!$C$8="",$T863=CARI!$C$8)),MAX($Z$3:Z862)+1,""))</f>
        <v/>
      </c>
      <c r="AA863" s="40" t="str">
        <f aca="false">IF($Y863="","",MAX($AA$3:AA862)+1)</f>
        <v/>
      </c>
      <c r="AB863" s="40" t="str">
        <f aca="false">IF($F863="","",$F863&amp;"#"&amp;COUNTIF($F$4:$F863,$F863))</f>
        <v/>
      </c>
      <c r="AC863" s="40" t="str">
        <f aca="false">IF($B863="","",IF(AND(OR(CETAK!$J$10="",$F863=CETAK!$J$10),OR(CETAK!$J$11="",$G863=CETAK!$J$11),OR(CETAK!$J$12="",$P863=CETAK!$J$12),OR(CETAK!$J$13="",$N863=CETAK!$J$13),OR(CETAK!$J$14="",$T863=CETAK!$J$14)),MAX($AC$3:AC862)+1,""))</f>
        <v/>
      </c>
      <c r="AD863" s="40" t="str">
        <f aca="false">IF($B863="","",IF(AND(OR(ABSENSI!$H$10="",$F863=ABSENSI!$H$10),OR(ABSENSI!$H$11="",$G863=ABSENSI!$H$11),OR(ABSENSI!$H$12="",$P863=ABSENSI!$H$12)),MAX($AD$3:AD862)+1,""))</f>
        <v/>
      </c>
      <c r="AE863" s="40" t="str">
        <f aca="false">IF($B863="","",IF(AND(OR(KARTU!$K$6="",$F863=KARTU!$K$6),OR(KARTU!$K$7="",$G863=KARTU!$K$7),OR(KARTU!$K$8="",$P863=KARTU!$K$8)),MAX($AE$3:AE862)+1,""))</f>
        <v/>
      </c>
    </row>
    <row r="864" customFormat="false" ht="15" hidden="false" customHeight="false" outlineLevel="0" collapsed="false">
      <c r="A864" s="35" t="str">
        <f aca="false">IF($B864="","",COUNTA($B$4:$B864))</f>
        <v/>
      </c>
      <c r="B864" s="36"/>
      <c r="C864" s="37"/>
      <c r="D864" s="37"/>
      <c r="E864" s="38"/>
      <c r="F864" s="36"/>
      <c r="G864" s="39"/>
      <c r="H864" s="39"/>
      <c r="I864" s="36"/>
      <c r="J864" s="36"/>
      <c r="K864" s="36"/>
      <c r="L864" s="36"/>
      <c r="M864" s="40" t="str">
        <f aca="false">IF($F864="","",$F864&amp;IF($G864="",""," - RT "&amp;$G864&amp;IF($H864="","","/"&amp;$H864)))</f>
        <v/>
      </c>
      <c r="N864" s="36"/>
      <c r="O864" s="37"/>
      <c r="P864" s="39"/>
      <c r="Q864" s="41"/>
      <c r="R864" s="35" t="str">
        <f aca="true">IF(OR($B864="",$Q864=""),"",DATEDIF($Q864,TODAY(),"Y"))</f>
        <v/>
      </c>
      <c r="S864" s="40" t="str">
        <f aca="false">IF($R864="","",INDEX(usia_label,MATCH($R864,usia_min,1)))</f>
        <v/>
      </c>
      <c r="T864" s="36"/>
      <c r="U864" s="41"/>
      <c r="V864" s="36"/>
      <c r="W864" s="36"/>
      <c r="X864" s="40" t="str">
        <f aca="false">IF($M864="","",$M864&amp;"#"&amp;COUNTIF($M$4:$M864,$M864))</f>
        <v/>
      </c>
      <c r="Y864" s="40" t="str">
        <f aca="false">IF($B864="","",IF($C864="","NIK kosong",IF(LEN($C864)&lt;&gt;16,"NIK bukan 16 digit",IF(COUNTIF($C$4:$C$2003,$C864&amp;"*")&gt;1,"NIK ganda",IF(AND($D864&lt;&gt;"",LEN($D864)&lt;&gt;16),"No. KK bukan 16 digit",IF(AND($F864="",$I864=""),"Alamat kosong",IF($N864="","Jabatan kosong",IF($O864="","No. HP kosong",IF(AND($R864&lt;&gt;"",$R864&lt;17),"Usia di bawah 17","")))))))))</f>
        <v/>
      </c>
      <c r="Z864" s="40" t="str">
        <f aca="false">IF($B864="","",IF(AND(OR(CARI!$C$5="",ISNUMBER(SEARCH(CARI!$C$5,$B864&amp;" "&amp;$C864&amp;" "&amp;$D864&amp;" "&amp;$O864&amp;" "&amp;$I864&amp;" "&amp;$F864&amp;" "&amp;$J864&amp;" "&amp;$K864&amp;" "&amp;$L864&amp;" "&amp;$V864))),OR(CARI!$C$6="",$F864=CARI!$C$6),OR(CARI!$C$7="",$G864=CARI!$C$7),OR(CARI!$C$8="",$T864=CARI!$C$8)),MAX($Z$3:Z863)+1,""))</f>
        <v/>
      </c>
      <c r="AA864" s="40" t="str">
        <f aca="false">IF($Y864="","",MAX($AA$3:AA863)+1)</f>
        <v/>
      </c>
      <c r="AB864" s="40" t="str">
        <f aca="false">IF($F864="","",$F864&amp;"#"&amp;COUNTIF($F$4:$F864,$F864))</f>
        <v/>
      </c>
      <c r="AC864" s="40" t="str">
        <f aca="false">IF($B864="","",IF(AND(OR(CETAK!$J$10="",$F864=CETAK!$J$10),OR(CETAK!$J$11="",$G864=CETAK!$J$11),OR(CETAK!$J$12="",$P864=CETAK!$J$12),OR(CETAK!$J$13="",$N864=CETAK!$J$13),OR(CETAK!$J$14="",$T864=CETAK!$J$14)),MAX($AC$3:AC863)+1,""))</f>
        <v/>
      </c>
      <c r="AD864" s="40" t="str">
        <f aca="false">IF($B864="","",IF(AND(OR(ABSENSI!$H$10="",$F864=ABSENSI!$H$10),OR(ABSENSI!$H$11="",$G864=ABSENSI!$H$11),OR(ABSENSI!$H$12="",$P864=ABSENSI!$H$12)),MAX($AD$3:AD863)+1,""))</f>
        <v/>
      </c>
      <c r="AE864" s="40" t="str">
        <f aca="false">IF($B864="","",IF(AND(OR(KARTU!$K$6="",$F864=KARTU!$K$6),OR(KARTU!$K$7="",$G864=KARTU!$K$7),OR(KARTU!$K$8="",$P864=KARTU!$K$8)),MAX($AE$3:AE863)+1,""))</f>
        <v/>
      </c>
    </row>
    <row r="865" customFormat="false" ht="15" hidden="false" customHeight="false" outlineLevel="0" collapsed="false">
      <c r="A865" s="35" t="str">
        <f aca="false">IF($B865="","",COUNTA($B$4:$B865))</f>
        <v/>
      </c>
      <c r="B865" s="36"/>
      <c r="C865" s="37"/>
      <c r="D865" s="37"/>
      <c r="E865" s="38"/>
      <c r="F865" s="36"/>
      <c r="G865" s="39"/>
      <c r="H865" s="39"/>
      <c r="I865" s="36"/>
      <c r="J865" s="36"/>
      <c r="K865" s="36"/>
      <c r="L865" s="36"/>
      <c r="M865" s="40" t="str">
        <f aca="false">IF($F865="","",$F865&amp;IF($G865="",""," - RT "&amp;$G865&amp;IF($H865="","","/"&amp;$H865)))</f>
        <v/>
      </c>
      <c r="N865" s="36"/>
      <c r="O865" s="37"/>
      <c r="P865" s="39"/>
      <c r="Q865" s="41"/>
      <c r="R865" s="35" t="str">
        <f aca="true">IF(OR($B865="",$Q865=""),"",DATEDIF($Q865,TODAY(),"Y"))</f>
        <v/>
      </c>
      <c r="S865" s="40" t="str">
        <f aca="false">IF($R865="","",INDEX(usia_label,MATCH($R865,usia_min,1)))</f>
        <v/>
      </c>
      <c r="T865" s="36"/>
      <c r="U865" s="41"/>
      <c r="V865" s="36"/>
      <c r="W865" s="36"/>
      <c r="X865" s="40" t="str">
        <f aca="false">IF($M865="","",$M865&amp;"#"&amp;COUNTIF($M$4:$M865,$M865))</f>
        <v/>
      </c>
      <c r="Y865" s="40" t="str">
        <f aca="false">IF($B865="","",IF($C865="","NIK kosong",IF(LEN($C865)&lt;&gt;16,"NIK bukan 16 digit",IF(COUNTIF($C$4:$C$2003,$C865&amp;"*")&gt;1,"NIK ganda",IF(AND($D865&lt;&gt;"",LEN($D865)&lt;&gt;16),"No. KK bukan 16 digit",IF(AND($F865="",$I865=""),"Alamat kosong",IF($N865="","Jabatan kosong",IF($O865="","No. HP kosong",IF(AND($R865&lt;&gt;"",$R865&lt;17),"Usia di bawah 17","")))))))))</f>
        <v/>
      </c>
      <c r="Z865" s="40" t="str">
        <f aca="false">IF($B865="","",IF(AND(OR(CARI!$C$5="",ISNUMBER(SEARCH(CARI!$C$5,$B865&amp;" "&amp;$C865&amp;" "&amp;$D865&amp;" "&amp;$O865&amp;" "&amp;$I865&amp;" "&amp;$F865&amp;" "&amp;$J865&amp;" "&amp;$K865&amp;" "&amp;$L865&amp;" "&amp;$V865))),OR(CARI!$C$6="",$F865=CARI!$C$6),OR(CARI!$C$7="",$G865=CARI!$C$7),OR(CARI!$C$8="",$T865=CARI!$C$8)),MAX($Z$3:Z864)+1,""))</f>
        <v/>
      </c>
      <c r="AA865" s="40" t="str">
        <f aca="false">IF($Y865="","",MAX($AA$3:AA864)+1)</f>
        <v/>
      </c>
      <c r="AB865" s="40" t="str">
        <f aca="false">IF($F865="","",$F865&amp;"#"&amp;COUNTIF($F$4:$F865,$F865))</f>
        <v/>
      </c>
      <c r="AC865" s="40" t="str">
        <f aca="false">IF($B865="","",IF(AND(OR(CETAK!$J$10="",$F865=CETAK!$J$10),OR(CETAK!$J$11="",$G865=CETAK!$J$11),OR(CETAK!$J$12="",$P865=CETAK!$J$12),OR(CETAK!$J$13="",$N865=CETAK!$J$13),OR(CETAK!$J$14="",$T865=CETAK!$J$14)),MAX($AC$3:AC864)+1,""))</f>
        <v/>
      </c>
      <c r="AD865" s="40" t="str">
        <f aca="false">IF($B865="","",IF(AND(OR(ABSENSI!$H$10="",$F865=ABSENSI!$H$10),OR(ABSENSI!$H$11="",$G865=ABSENSI!$H$11),OR(ABSENSI!$H$12="",$P865=ABSENSI!$H$12)),MAX($AD$3:AD864)+1,""))</f>
        <v/>
      </c>
      <c r="AE865" s="40" t="str">
        <f aca="false">IF($B865="","",IF(AND(OR(KARTU!$K$6="",$F865=KARTU!$K$6),OR(KARTU!$K$7="",$G865=KARTU!$K$7),OR(KARTU!$K$8="",$P865=KARTU!$K$8)),MAX($AE$3:AE864)+1,""))</f>
        <v/>
      </c>
    </row>
    <row r="866" customFormat="false" ht="15" hidden="false" customHeight="false" outlineLevel="0" collapsed="false">
      <c r="A866" s="35" t="str">
        <f aca="false">IF($B866="","",COUNTA($B$4:$B866))</f>
        <v/>
      </c>
      <c r="B866" s="36"/>
      <c r="C866" s="37"/>
      <c r="D866" s="37"/>
      <c r="E866" s="38"/>
      <c r="F866" s="36"/>
      <c r="G866" s="39"/>
      <c r="H866" s="39"/>
      <c r="I866" s="36"/>
      <c r="J866" s="36"/>
      <c r="K866" s="36"/>
      <c r="L866" s="36"/>
      <c r="M866" s="40" t="str">
        <f aca="false">IF($F866="","",$F866&amp;IF($G866="",""," - RT "&amp;$G866&amp;IF($H866="","","/"&amp;$H866)))</f>
        <v/>
      </c>
      <c r="N866" s="36"/>
      <c r="O866" s="37"/>
      <c r="P866" s="39"/>
      <c r="Q866" s="41"/>
      <c r="R866" s="35" t="str">
        <f aca="true">IF(OR($B866="",$Q866=""),"",DATEDIF($Q866,TODAY(),"Y"))</f>
        <v/>
      </c>
      <c r="S866" s="40" t="str">
        <f aca="false">IF($R866="","",INDEX(usia_label,MATCH($R866,usia_min,1)))</f>
        <v/>
      </c>
      <c r="T866" s="36"/>
      <c r="U866" s="41"/>
      <c r="V866" s="36"/>
      <c r="W866" s="36"/>
      <c r="X866" s="40" t="str">
        <f aca="false">IF($M866="","",$M866&amp;"#"&amp;COUNTIF($M$4:$M866,$M866))</f>
        <v/>
      </c>
      <c r="Y866" s="40" t="str">
        <f aca="false">IF($B866="","",IF($C866="","NIK kosong",IF(LEN($C866)&lt;&gt;16,"NIK bukan 16 digit",IF(COUNTIF($C$4:$C$2003,$C866&amp;"*")&gt;1,"NIK ganda",IF(AND($D866&lt;&gt;"",LEN($D866)&lt;&gt;16),"No. KK bukan 16 digit",IF(AND($F866="",$I866=""),"Alamat kosong",IF($N866="","Jabatan kosong",IF($O866="","No. HP kosong",IF(AND($R866&lt;&gt;"",$R866&lt;17),"Usia di bawah 17","")))))))))</f>
        <v/>
      </c>
      <c r="Z866" s="40" t="str">
        <f aca="false">IF($B866="","",IF(AND(OR(CARI!$C$5="",ISNUMBER(SEARCH(CARI!$C$5,$B866&amp;" "&amp;$C866&amp;" "&amp;$D866&amp;" "&amp;$O866&amp;" "&amp;$I866&amp;" "&amp;$F866&amp;" "&amp;$J866&amp;" "&amp;$K866&amp;" "&amp;$L866&amp;" "&amp;$V866))),OR(CARI!$C$6="",$F866=CARI!$C$6),OR(CARI!$C$7="",$G866=CARI!$C$7),OR(CARI!$C$8="",$T866=CARI!$C$8)),MAX($Z$3:Z865)+1,""))</f>
        <v/>
      </c>
      <c r="AA866" s="40" t="str">
        <f aca="false">IF($Y866="","",MAX($AA$3:AA865)+1)</f>
        <v/>
      </c>
      <c r="AB866" s="40" t="str">
        <f aca="false">IF($F866="","",$F866&amp;"#"&amp;COUNTIF($F$4:$F866,$F866))</f>
        <v/>
      </c>
      <c r="AC866" s="40" t="str">
        <f aca="false">IF($B866="","",IF(AND(OR(CETAK!$J$10="",$F866=CETAK!$J$10),OR(CETAK!$J$11="",$G866=CETAK!$J$11),OR(CETAK!$J$12="",$P866=CETAK!$J$12),OR(CETAK!$J$13="",$N866=CETAK!$J$13),OR(CETAK!$J$14="",$T866=CETAK!$J$14)),MAX($AC$3:AC865)+1,""))</f>
        <v/>
      </c>
      <c r="AD866" s="40" t="str">
        <f aca="false">IF($B866="","",IF(AND(OR(ABSENSI!$H$10="",$F866=ABSENSI!$H$10),OR(ABSENSI!$H$11="",$G866=ABSENSI!$H$11),OR(ABSENSI!$H$12="",$P866=ABSENSI!$H$12)),MAX($AD$3:AD865)+1,""))</f>
        <v/>
      </c>
      <c r="AE866" s="40" t="str">
        <f aca="false">IF($B866="","",IF(AND(OR(KARTU!$K$6="",$F866=KARTU!$K$6),OR(KARTU!$K$7="",$G866=KARTU!$K$7),OR(KARTU!$K$8="",$P866=KARTU!$K$8)),MAX($AE$3:AE865)+1,""))</f>
        <v/>
      </c>
    </row>
    <row r="867" customFormat="false" ht="15" hidden="false" customHeight="false" outlineLevel="0" collapsed="false">
      <c r="A867" s="35" t="str">
        <f aca="false">IF($B867="","",COUNTA($B$4:$B867))</f>
        <v/>
      </c>
      <c r="B867" s="36"/>
      <c r="C867" s="37"/>
      <c r="D867" s="37"/>
      <c r="E867" s="38"/>
      <c r="F867" s="36"/>
      <c r="G867" s="39"/>
      <c r="H867" s="39"/>
      <c r="I867" s="36"/>
      <c r="J867" s="36"/>
      <c r="K867" s="36"/>
      <c r="L867" s="36"/>
      <c r="M867" s="40" t="str">
        <f aca="false">IF($F867="","",$F867&amp;IF($G867="",""," - RT "&amp;$G867&amp;IF($H867="","","/"&amp;$H867)))</f>
        <v/>
      </c>
      <c r="N867" s="36"/>
      <c r="O867" s="37"/>
      <c r="P867" s="39"/>
      <c r="Q867" s="41"/>
      <c r="R867" s="35" t="str">
        <f aca="true">IF(OR($B867="",$Q867=""),"",DATEDIF($Q867,TODAY(),"Y"))</f>
        <v/>
      </c>
      <c r="S867" s="40" t="str">
        <f aca="false">IF($R867="","",INDEX(usia_label,MATCH($R867,usia_min,1)))</f>
        <v/>
      </c>
      <c r="T867" s="36"/>
      <c r="U867" s="41"/>
      <c r="V867" s="36"/>
      <c r="W867" s="36"/>
      <c r="X867" s="40" t="str">
        <f aca="false">IF($M867="","",$M867&amp;"#"&amp;COUNTIF($M$4:$M867,$M867))</f>
        <v/>
      </c>
      <c r="Y867" s="40" t="str">
        <f aca="false">IF($B867="","",IF($C867="","NIK kosong",IF(LEN($C867)&lt;&gt;16,"NIK bukan 16 digit",IF(COUNTIF($C$4:$C$2003,$C867&amp;"*")&gt;1,"NIK ganda",IF(AND($D867&lt;&gt;"",LEN($D867)&lt;&gt;16),"No. KK bukan 16 digit",IF(AND($F867="",$I867=""),"Alamat kosong",IF($N867="","Jabatan kosong",IF($O867="","No. HP kosong",IF(AND($R867&lt;&gt;"",$R867&lt;17),"Usia di bawah 17","")))))))))</f>
        <v/>
      </c>
      <c r="Z867" s="40" t="str">
        <f aca="false">IF($B867="","",IF(AND(OR(CARI!$C$5="",ISNUMBER(SEARCH(CARI!$C$5,$B867&amp;" "&amp;$C867&amp;" "&amp;$D867&amp;" "&amp;$O867&amp;" "&amp;$I867&amp;" "&amp;$F867&amp;" "&amp;$J867&amp;" "&amp;$K867&amp;" "&amp;$L867&amp;" "&amp;$V867))),OR(CARI!$C$6="",$F867=CARI!$C$6),OR(CARI!$C$7="",$G867=CARI!$C$7),OR(CARI!$C$8="",$T867=CARI!$C$8)),MAX($Z$3:Z866)+1,""))</f>
        <v/>
      </c>
      <c r="AA867" s="40" t="str">
        <f aca="false">IF($Y867="","",MAX($AA$3:AA866)+1)</f>
        <v/>
      </c>
      <c r="AB867" s="40" t="str">
        <f aca="false">IF($F867="","",$F867&amp;"#"&amp;COUNTIF($F$4:$F867,$F867))</f>
        <v/>
      </c>
      <c r="AC867" s="40" t="str">
        <f aca="false">IF($B867="","",IF(AND(OR(CETAK!$J$10="",$F867=CETAK!$J$10),OR(CETAK!$J$11="",$G867=CETAK!$J$11),OR(CETAK!$J$12="",$P867=CETAK!$J$12),OR(CETAK!$J$13="",$N867=CETAK!$J$13),OR(CETAK!$J$14="",$T867=CETAK!$J$14)),MAX($AC$3:AC866)+1,""))</f>
        <v/>
      </c>
      <c r="AD867" s="40" t="str">
        <f aca="false">IF($B867="","",IF(AND(OR(ABSENSI!$H$10="",$F867=ABSENSI!$H$10),OR(ABSENSI!$H$11="",$G867=ABSENSI!$H$11),OR(ABSENSI!$H$12="",$P867=ABSENSI!$H$12)),MAX($AD$3:AD866)+1,""))</f>
        <v/>
      </c>
      <c r="AE867" s="40" t="str">
        <f aca="false">IF($B867="","",IF(AND(OR(KARTU!$K$6="",$F867=KARTU!$K$6),OR(KARTU!$K$7="",$G867=KARTU!$K$7),OR(KARTU!$K$8="",$P867=KARTU!$K$8)),MAX($AE$3:AE866)+1,""))</f>
        <v/>
      </c>
    </row>
    <row r="868" customFormat="false" ht="15" hidden="false" customHeight="false" outlineLevel="0" collapsed="false">
      <c r="A868" s="35" t="str">
        <f aca="false">IF($B868="","",COUNTA($B$4:$B868))</f>
        <v/>
      </c>
      <c r="B868" s="36"/>
      <c r="C868" s="37"/>
      <c r="D868" s="37"/>
      <c r="E868" s="38"/>
      <c r="F868" s="36"/>
      <c r="G868" s="39"/>
      <c r="H868" s="39"/>
      <c r="I868" s="36"/>
      <c r="J868" s="36"/>
      <c r="K868" s="36"/>
      <c r="L868" s="36"/>
      <c r="M868" s="40" t="str">
        <f aca="false">IF($F868="","",$F868&amp;IF($G868="",""," - RT "&amp;$G868&amp;IF($H868="","","/"&amp;$H868)))</f>
        <v/>
      </c>
      <c r="N868" s="36"/>
      <c r="O868" s="37"/>
      <c r="P868" s="39"/>
      <c r="Q868" s="41"/>
      <c r="R868" s="35" t="str">
        <f aca="true">IF(OR($B868="",$Q868=""),"",DATEDIF($Q868,TODAY(),"Y"))</f>
        <v/>
      </c>
      <c r="S868" s="40" t="str">
        <f aca="false">IF($R868="","",INDEX(usia_label,MATCH($R868,usia_min,1)))</f>
        <v/>
      </c>
      <c r="T868" s="36"/>
      <c r="U868" s="41"/>
      <c r="V868" s="36"/>
      <c r="W868" s="36"/>
      <c r="X868" s="40" t="str">
        <f aca="false">IF($M868="","",$M868&amp;"#"&amp;COUNTIF($M$4:$M868,$M868))</f>
        <v/>
      </c>
      <c r="Y868" s="40" t="str">
        <f aca="false">IF($B868="","",IF($C868="","NIK kosong",IF(LEN($C868)&lt;&gt;16,"NIK bukan 16 digit",IF(COUNTIF($C$4:$C$2003,$C868&amp;"*")&gt;1,"NIK ganda",IF(AND($D868&lt;&gt;"",LEN($D868)&lt;&gt;16),"No. KK bukan 16 digit",IF(AND($F868="",$I868=""),"Alamat kosong",IF($N868="","Jabatan kosong",IF($O868="","No. HP kosong",IF(AND($R868&lt;&gt;"",$R868&lt;17),"Usia di bawah 17","")))))))))</f>
        <v/>
      </c>
      <c r="Z868" s="40" t="str">
        <f aca="false">IF($B868="","",IF(AND(OR(CARI!$C$5="",ISNUMBER(SEARCH(CARI!$C$5,$B868&amp;" "&amp;$C868&amp;" "&amp;$D868&amp;" "&amp;$O868&amp;" "&amp;$I868&amp;" "&amp;$F868&amp;" "&amp;$J868&amp;" "&amp;$K868&amp;" "&amp;$L868&amp;" "&amp;$V868))),OR(CARI!$C$6="",$F868=CARI!$C$6),OR(CARI!$C$7="",$G868=CARI!$C$7),OR(CARI!$C$8="",$T868=CARI!$C$8)),MAX($Z$3:Z867)+1,""))</f>
        <v/>
      </c>
      <c r="AA868" s="40" t="str">
        <f aca="false">IF($Y868="","",MAX($AA$3:AA867)+1)</f>
        <v/>
      </c>
      <c r="AB868" s="40" t="str">
        <f aca="false">IF($F868="","",$F868&amp;"#"&amp;COUNTIF($F$4:$F868,$F868))</f>
        <v/>
      </c>
      <c r="AC868" s="40" t="str">
        <f aca="false">IF($B868="","",IF(AND(OR(CETAK!$J$10="",$F868=CETAK!$J$10),OR(CETAK!$J$11="",$G868=CETAK!$J$11),OR(CETAK!$J$12="",$P868=CETAK!$J$12),OR(CETAK!$J$13="",$N868=CETAK!$J$13),OR(CETAK!$J$14="",$T868=CETAK!$J$14)),MAX($AC$3:AC867)+1,""))</f>
        <v/>
      </c>
      <c r="AD868" s="40" t="str">
        <f aca="false">IF($B868="","",IF(AND(OR(ABSENSI!$H$10="",$F868=ABSENSI!$H$10),OR(ABSENSI!$H$11="",$G868=ABSENSI!$H$11),OR(ABSENSI!$H$12="",$P868=ABSENSI!$H$12)),MAX($AD$3:AD867)+1,""))</f>
        <v/>
      </c>
      <c r="AE868" s="40" t="str">
        <f aca="false">IF($B868="","",IF(AND(OR(KARTU!$K$6="",$F868=KARTU!$K$6),OR(KARTU!$K$7="",$G868=KARTU!$K$7),OR(KARTU!$K$8="",$P868=KARTU!$K$8)),MAX($AE$3:AE867)+1,""))</f>
        <v/>
      </c>
    </row>
    <row r="869" customFormat="false" ht="15" hidden="false" customHeight="false" outlineLevel="0" collapsed="false">
      <c r="A869" s="35" t="str">
        <f aca="false">IF($B869="","",COUNTA($B$4:$B869))</f>
        <v/>
      </c>
      <c r="B869" s="36"/>
      <c r="C869" s="37"/>
      <c r="D869" s="37"/>
      <c r="E869" s="38"/>
      <c r="F869" s="36"/>
      <c r="G869" s="39"/>
      <c r="H869" s="39"/>
      <c r="I869" s="36"/>
      <c r="J869" s="36"/>
      <c r="K869" s="36"/>
      <c r="L869" s="36"/>
      <c r="M869" s="40" t="str">
        <f aca="false">IF($F869="","",$F869&amp;IF($G869="",""," - RT "&amp;$G869&amp;IF($H869="","","/"&amp;$H869)))</f>
        <v/>
      </c>
      <c r="N869" s="36"/>
      <c r="O869" s="37"/>
      <c r="P869" s="39"/>
      <c r="Q869" s="41"/>
      <c r="R869" s="35" t="str">
        <f aca="true">IF(OR($B869="",$Q869=""),"",DATEDIF($Q869,TODAY(),"Y"))</f>
        <v/>
      </c>
      <c r="S869" s="40" t="str">
        <f aca="false">IF($R869="","",INDEX(usia_label,MATCH($R869,usia_min,1)))</f>
        <v/>
      </c>
      <c r="T869" s="36"/>
      <c r="U869" s="41"/>
      <c r="V869" s="36"/>
      <c r="W869" s="36"/>
      <c r="X869" s="40" t="str">
        <f aca="false">IF($M869="","",$M869&amp;"#"&amp;COUNTIF($M$4:$M869,$M869))</f>
        <v/>
      </c>
      <c r="Y869" s="40" t="str">
        <f aca="false">IF($B869="","",IF($C869="","NIK kosong",IF(LEN($C869)&lt;&gt;16,"NIK bukan 16 digit",IF(COUNTIF($C$4:$C$2003,$C869&amp;"*")&gt;1,"NIK ganda",IF(AND($D869&lt;&gt;"",LEN($D869)&lt;&gt;16),"No. KK bukan 16 digit",IF(AND($F869="",$I869=""),"Alamat kosong",IF($N869="","Jabatan kosong",IF($O869="","No. HP kosong",IF(AND($R869&lt;&gt;"",$R869&lt;17),"Usia di bawah 17","")))))))))</f>
        <v/>
      </c>
      <c r="Z869" s="40" t="str">
        <f aca="false">IF($B869="","",IF(AND(OR(CARI!$C$5="",ISNUMBER(SEARCH(CARI!$C$5,$B869&amp;" "&amp;$C869&amp;" "&amp;$D869&amp;" "&amp;$O869&amp;" "&amp;$I869&amp;" "&amp;$F869&amp;" "&amp;$J869&amp;" "&amp;$K869&amp;" "&amp;$L869&amp;" "&amp;$V869))),OR(CARI!$C$6="",$F869=CARI!$C$6),OR(CARI!$C$7="",$G869=CARI!$C$7),OR(CARI!$C$8="",$T869=CARI!$C$8)),MAX($Z$3:Z868)+1,""))</f>
        <v/>
      </c>
      <c r="AA869" s="40" t="str">
        <f aca="false">IF($Y869="","",MAX($AA$3:AA868)+1)</f>
        <v/>
      </c>
      <c r="AB869" s="40" t="str">
        <f aca="false">IF($F869="","",$F869&amp;"#"&amp;COUNTIF($F$4:$F869,$F869))</f>
        <v/>
      </c>
      <c r="AC869" s="40" t="str">
        <f aca="false">IF($B869="","",IF(AND(OR(CETAK!$J$10="",$F869=CETAK!$J$10),OR(CETAK!$J$11="",$G869=CETAK!$J$11),OR(CETAK!$J$12="",$P869=CETAK!$J$12),OR(CETAK!$J$13="",$N869=CETAK!$J$13),OR(CETAK!$J$14="",$T869=CETAK!$J$14)),MAX($AC$3:AC868)+1,""))</f>
        <v/>
      </c>
      <c r="AD869" s="40" t="str">
        <f aca="false">IF($B869="","",IF(AND(OR(ABSENSI!$H$10="",$F869=ABSENSI!$H$10),OR(ABSENSI!$H$11="",$G869=ABSENSI!$H$11),OR(ABSENSI!$H$12="",$P869=ABSENSI!$H$12)),MAX($AD$3:AD868)+1,""))</f>
        <v/>
      </c>
      <c r="AE869" s="40" t="str">
        <f aca="false">IF($B869="","",IF(AND(OR(KARTU!$K$6="",$F869=KARTU!$K$6),OR(KARTU!$K$7="",$G869=KARTU!$K$7),OR(KARTU!$K$8="",$P869=KARTU!$K$8)),MAX($AE$3:AE868)+1,""))</f>
        <v/>
      </c>
    </row>
    <row r="870" customFormat="false" ht="15" hidden="false" customHeight="false" outlineLevel="0" collapsed="false">
      <c r="A870" s="35" t="str">
        <f aca="false">IF($B870="","",COUNTA($B$4:$B870))</f>
        <v/>
      </c>
      <c r="B870" s="36"/>
      <c r="C870" s="37"/>
      <c r="D870" s="37"/>
      <c r="E870" s="38"/>
      <c r="F870" s="36"/>
      <c r="G870" s="39"/>
      <c r="H870" s="39"/>
      <c r="I870" s="36"/>
      <c r="J870" s="36"/>
      <c r="K870" s="36"/>
      <c r="L870" s="36"/>
      <c r="M870" s="40" t="str">
        <f aca="false">IF($F870="","",$F870&amp;IF($G870="",""," - RT "&amp;$G870&amp;IF($H870="","","/"&amp;$H870)))</f>
        <v/>
      </c>
      <c r="N870" s="36"/>
      <c r="O870" s="37"/>
      <c r="P870" s="39"/>
      <c r="Q870" s="41"/>
      <c r="R870" s="35" t="str">
        <f aca="true">IF(OR($B870="",$Q870=""),"",DATEDIF($Q870,TODAY(),"Y"))</f>
        <v/>
      </c>
      <c r="S870" s="40" t="str">
        <f aca="false">IF($R870="","",INDEX(usia_label,MATCH($R870,usia_min,1)))</f>
        <v/>
      </c>
      <c r="T870" s="36"/>
      <c r="U870" s="41"/>
      <c r="V870" s="36"/>
      <c r="W870" s="36"/>
      <c r="X870" s="40" t="str">
        <f aca="false">IF($M870="","",$M870&amp;"#"&amp;COUNTIF($M$4:$M870,$M870))</f>
        <v/>
      </c>
      <c r="Y870" s="40" t="str">
        <f aca="false">IF($B870="","",IF($C870="","NIK kosong",IF(LEN($C870)&lt;&gt;16,"NIK bukan 16 digit",IF(COUNTIF($C$4:$C$2003,$C870&amp;"*")&gt;1,"NIK ganda",IF(AND($D870&lt;&gt;"",LEN($D870)&lt;&gt;16),"No. KK bukan 16 digit",IF(AND($F870="",$I870=""),"Alamat kosong",IF($N870="","Jabatan kosong",IF($O870="","No. HP kosong",IF(AND($R870&lt;&gt;"",$R870&lt;17),"Usia di bawah 17","")))))))))</f>
        <v/>
      </c>
      <c r="Z870" s="40" t="str">
        <f aca="false">IF($B870="","",IF(AND(OR(CARI!$C$5="",ISNUMBER(SEARCH(CARI!$C$5,$B870&amp;" "&amp;$C870&amp;" "&amp;$D870&amp;" "&amp;$O870&amp;" "&amp;$I870&amp;" "&amp;$F870&amp;" "&amp;$J870&amp;" "&amp;$K870&amp;" "&amp;$L870&amp;" "&amp;$V870))),OR(CARI!$C$6="",$F870=CARI!$C$6),OR(CARI!$C$7="",$G870=CARI!$C$7),OR(CARI!$C$8="",$T870=CARI!$C$8)),MAX($Z$3:Z869)+1,""))</f>
        <v/>
      </c>
      <c r="AA870" s="40" t="str">
        <f aca="false">IF($Y870="","",MAX($AA$3:AA869)+1)</f>
        <v/>
      </c>
      <c r="AB870" s="40" t="str">
        <f aca="false">IF($F870="","",$F870&amp;"#"&amp;COUNTIF($F$4:$F870,$F870))</f>
        <v/>
      </c>
      <c r="AC870" s="40" t="str">
        <f aca="false">IF($B870="","",IF(AND(OR(CETAK!$J$10="",$F870=CETAK!$J$10),OR(CETAK!$J$11="",$G870=CETAK!$J$11),OR(CETAK!$J$12="",$P870=CETAK!$J$12),OR(CETAK!$J$13="",$N870=CETAK!$J$13),OR(CETAK!$J$14="",$T870=CETAK!$J$14)),MAX($AC$3:AC869)+1,""))</f>
        <v/>
      </c>
      <c r="AD870" s="40" t="str">
        <f aca="false">IF($B870="","",IF(AND(OR(ABSENSI!$H$10="",$F870=ABSENSI!$H$10),OR(ABSENSI!$H$11="",$G870=ABSENSI!$H$11),OR(ABSENSI!$H$12="",$P870=ABSENSI!$H$12)),MAX($AD$3:AD869)+1,""))</f>
        <v/>
      </c>
      <c r="AE870" s="40" t="str">
        <f aca="false">IF($B870="","",IF(AND(OR(KARTU!$K$6="",$F870=KARTU!$K$6),OR(KARTU!$K$7="",$G870=KARTU!$K$7),OR(KARTU!$K$8="",$P870=KARTU!$K$8)),MAX($AE$3:AE869)+1,""))</f>
        <v/>
      </c>
    </row>
    <row r="871" customFormat="false" ht="15" hidden="false" customHeight="false" outlineLevel="0" collapsed="false">
      <c r="A871" s="35" t="str">
        <f aca="false">IF($B871="","",COUNTA($B$4:$B871))</f>
        <v/>
      </c>
      <c r="B871" s="36"/>
      <c r="C871" s="37"/>
      <c r="D871" s="37"/>
      <c r="E871" s="38"/>
      <c r="F871" s="36"/>
      <c r="G871" s="39"/>
      <c r="H871" s="39"/>
      <c r="I871" s="36"/>
      <c r="J871" s="36"/>
      <c r="K871" s="36"/>
      <c r="L871" s="36"/>
      <c r="M871" s="40" t="str">
        <f aca="false">IF($F871="","",$F871&amp;IF($G871="",""," - RT "&amp;$G871&amp;IF($H871="","","/"&amp;$H871)))</f>
        <v/>
      </c>
      <c r="N871" s="36"/>
      <c r="O871" s="37"/>
      <c r="P871" s="39"/>
      <c r="Q871" s="41"/>
      <c r="R871" s="35" t="str">
        <f aca="true">IF(OR($B871="",$Q871=""),"",DATEDIF($Q871,TODAY(),"Y"))</f>
        <v/>
      </c>
      <c r="S871" s="40" t="str">
        <f aca="false">IF($R871="","",INDEX(usia_label,MATCH($R871,usia_min,1)))</f>
        <v/>
      </c>
      <c r="T871" s="36"/>
      <c r="U871" s="41"/>
      <c r="V871" s="36"/>
      <c r="W871" s="36"/>
      <c r="X871" s="40" t="str">
        <f aca="false">IF($M871="","",$M871&amp;"#"&amp;COUNTIF($M$4:$M871,$M871))</f>
        <v/>
      </c>
      <c r="Y871" s="40" t="str">
        <f aca="false">IF($B871="","",IF($C871="","NIK kosong",IF(LEN($C871)&lt;&gt;16,"NIK bukan 16 digit",IF(COUNTIF($C$4:$C$2003,$C871&amp;"*")&gt;1,"NIK ganda",IF(AND($D871&lt;&gt;"",LEN($D871)&lt;&gt;16),"No. KK bukan 16 digit",IF(AND($F871="",$I871=""),"Alamat kosong",IF($N871="","Jabatan kosong",IF($O871="","No. HP kosong",IF(AND($R871&lt;&gt;"",$R871&lt;17),"Usia di bawah 17","")))))))))</f>
        <v/>
      </c>
      <c r="Z871" s="40" t="str">
        <f aca="false">IF($B871="","",IF(AND(OR(CARI!$C$5="",ISNUMBER(SEARCH(CARI!$C$5,$B871&amp;" "&amp;$C871&amp;" "&amp;$D871&amp;" "&amp;$O871&amp;" "&amp;$I871&amp;" "&amp;$F871&amp;" "&amp;$J871&amp;" "&amp;$K871&amp;" "&amp;$L871&amp;" "&amp;$V871))),OR(CARI!$C$6="",$F871=CARI!$C$6),OR(CARI!$C$7="",$G871=CARI!$C$7),OR(CARI!$C$8="",$T871=CARI!$C$8)),MAX($Z$3:Z870)+1,""))</f>
        <v/>
      </c>
      <c r="AA871" s="40" t="str">
        <f aca="false">IF($Y871="","",MAX($AA$3:AA870)+1)</f>
        <v/>
      </c>
      <c r="AB871" s="40" t="str">
        <f aca="false">IF($F871="","",$F871&amp;"#"&amp;COUNTIF($F$4:$F871,$F871))</f>
        <v/>
      </c>
      <c r="AC871" s="40" t="str">
        <f aca="false">IF($B871="","",IF(AND(OR(CETAK!$J$10="",$F871=CETAK!$J$10),OR(CETAK!$J$11="",$G871=CETAK!$J$11),OR(CETAK!$J$12="",$P871=CETAK!$J$12),OR(CETAK!$J$13="",$N871=CETAK!$J$13),OR(CETAK!$J$14="",$T871=CETAK!$J$14)),MAX($AC$3:AC870)+1,""))</f>
        <v/>
      </c>
      <c r="AD871" s="40" t="str">
        <f aca="false">IF($B871="","",IF(AND(OR(ABSENSI!$H$10="",$F871=ABSENSI!$H$10),OR(ABSENSI!$H$11="",$G871=ABSENSI!$H$11),OR(ABSENSI!$H$12="",$P871=ABSENSI!$H$12)),MAX($AD$3:AD870)+1,""))</f>
        <v/>
      </c>
      <c r="AE871" s="40" t="str">
        <f aca="false">IF($B871="","",IF(AND(OR(KARTU!$K$6="",$F871=KARTU!$K$6),OR(KARTU!$K$7="",$G871=KARTU!$K$7),OR(KARTU!$K$8="",$P871=KARTU!$K$8)),MAX($AE$3:AE870)+1,""))</f>
        <v/>
      </c>
    </row>
    <row r="872" customFormat="false" ht="15" hidden="false" customHeight="false" outlineLevel="0" collapsed="false">
      <c r="A872" s="35" t="str">
        <f aca="false">IF($B872="","",COUNTA($B$4:$B872))</f>
        <v/>
      </c>
      <c r="B872" s="36"/>
      <c r="C872" s="37"/>
      <c r="D872" s="37"/>
      <c r="E872" s="38"/>
      <c r="F872" s="36"/>
      <c r="G872" s="39"/>
      <c r="H872" s="39"/>
      <c r="I872" s="36"/>
      <c r="J872" s="36"/>
      <c r="K872" s="36"/>
      <c r="L872" s="36"/>
      <c r="M872" s="40" t="str">
        <f aca="false">IF($F872="","",$F872&amp;IF($G872="",""," - RT "&amp;$G872&amp;IF($H872="","","/"&amp;$H872)))</f>
        <v/>
      </c>
      <c r="N872" s="36"/>
      <c r="O872" s="37"/>
      <c r="P872" s="39"/>
      <c r="Q872" s="41"/>
      <c r="R872" s="35" t="str">
        <f aca="true">IF(OR($B872="",$Q872=""),"",DATEDIF($Q872,TODAY(),"Y"))</f>
        <v/>
      </c>
      <c r="S872" s="40" t="str">
        <f aca="false">IF($R872="","",INDEX(usia_label,MATCH($R872,usia_min,1)))</f>
        <v/>
      </c>
      <c r="T872" s="36"/>
      <c r="U872" s="41"/>
      <c r="V872" s="36"/>
      <c r="W872" s="36"/>
      <c r="X872" s="40" t="str">
        <f aca="false">IF($M872="","",$M872&amp;"#"&amp;COUNTIF($M$4:$M872,$M872))</f>
        <v/>
      </c>
      <c r="Y872" s="40" t="str">
        <f aca="false">IF($B872="","",IF($C872="","NIK kosong",IF(LEN($C872)&lt;&gt;16,"NIK bukan 16 digit",IF(COUNTIF($C$4:$C$2003,$C872&amp;"*")&gt;1,"NIK ganda",IF(AND($D872&lt;&gt;"",LEN($D872)&lt;&gt;16),"No. KK bukan 16 digit",IF(AND($F872="",$I872=""),"Alamat kosong",IF($N872="","Jabatan kosong",IF($O872="","No. HP kosong",IF(AND($R872&lt;&gt;"",$R872&lt;17),"Usia di bawah 17","")))))))))</f>
        <v/>
      </c>
      <c r="Z872" s="40" t="str">
        <f aca="false">IF($B872="","",IF(AND(OR(CARI!$C$5="",ISNUMBER(SEARCH(CARI!$C$5,$B872&amp;" "&amp;$C872&amp;" "&amp;$D872&amp;" "&amp;$O872&amp;" "&amp;$I872&amp;" "&amp;$F872&amp;" "&amp;$J872&amp;" "&amp;$K872&amp;" "&amp;$L872&amp;" "&amp;$V872))),OR(CARI!$C$6="",$F872=CARI!$C$6),OR(CARI!$C$7="",$G872=CARI!$C$7),OR(CARI!$C$8="",$T872=CARI!$C$8)),MAX($Z$3:Z871)+1,""))</f>
        <v/>
      </c>
      <c r="AA872" s="40" t="str">
        <f aca="false">IF($Y872="","",MAX($AA$3:AA871)+1)</f>
        <v/>
      </c>
      <c r="AB872" s="40" t="str">
        <f aca="false">IF($F872="","",$F872&amp;"#"&amp;COUNTIF($F$4:$F872,$F872))</f>
        <v/>
      </c>
      <c r="AC872" s="40" t="str">
        <f aca="false">IF($B872="","",IF(AND(OR(CETAK!$J$10="",$F872=CETAK!$J$10),OR(CETAK!$J$11="",$G872=CETAK!$J$11),OR(CETAK!$J$12="",$P872=CETAK!$J$12),OR(CETAK!$J$13="",$N872=CETAK!$J$13),OR(CETAK!$J$14="",$T872=CETAK!$J$14)),MAX($AC$3:AC871)+1,""))</f>
        <v/>
      </c>
      <c r="AD872" s="40" t="str">
        <f aca="false">IF($B872="","",IF(AND(OR(ABSENSI!$H$10="",$F872=ABSENSI!$H$10),OR(ABSENSI!$H$11="",$G872=ABSENSI!$H$11),OR(ABSENSI!$H$12="",$P872=ABSENSI!$H$12)),MAX($AD$3:AD871)+1,""))</f>
        <v/>
      </c>
      <c r="AE872" s="40" t="str">
        <f aca="false">IF($B872="","",IF(AND(OR(KARTU!$K$6="",$F872=KARTU!$K$6),OR(KARTU!$K$7="",$G872=KARTU!$K$7),OR(KARTU!$K$8="",$P872=KARTU!$K$8)),MAX($AE$3:AE871)+1,""))</f>
        <v/>
      </c>
    </row>
    <row r="873" customFormat="false" ht="15" hidden="false" customHeight="false" outlineLevel="0" collapsed="false">
      <c r="A873" s="35" t="str">
        <f aca="false">IF($B873="","",COUNTA($B$4:$B873))</f>
        <v/>
      </c>
      <c r="B873" s="36"/>
      <c r="C873" s="37"/>
      <c r="D873" s="37"/>
      <c r="E873" s="38"/>
      <c r="F873" s="36"/>
      <c r="G873" s="39"/>
      <c r="H873" s="39"/>
      <c r="I873" s="36"/>
      <c r="J873" s="36"/>
      <c r="K873" s="36"/>
      <c r="L873" s="36"/>
      <c r="M873" s="40" t="str">
        <f aca="false">IF($F873="","",$F873&amp;IF($G873="",""," - RT "&amp;$G873&amp;IF($H873="","","/"&amp;$H873)))</f>
        <v/>
      </c>
      <c r="N873" s="36"/>
      <c r="O873" s="37"/>
      <c r="P873" s="39"/>
      <c r="Q873" s="41"/>
      <c r="R873" s="35" t="str">
        <f aca="true">IF(OR($B873="",$Q873=""),"",DATEDIF($Q873,TODAY(),"Y"))</f>
        <v/>
      </c>
      <c r="S873" s="40" t="str">
        <f aca="false">IF($R873="","",INDEX(usia_label,MATCH($R873,usia_min,1)))</f>
        <v/>
      </c>
      <c r="T873" s="36"/>
      <c r="U873" s="41"/>
      <c r="V873" s="36"/>
      <c r="W873" s="36"/>
      <c r="X873" s="40" t="str">
        <f aca="false">IF($M873="","",$M873&amp;"#"&amp;COUNTIF($M$4:$M873,$M873))</f>
        <v/>
      </c>
      <c r="Y873" s="40" t="str">
        <f aca="false">IF($B873="","",IF($C873="","NIK kosong",IF(LEN($C873)&lt;&gt;16,"NIK bukan 16 digit",IF(COUNTIF($C$4:$C$2003,$C873&amp;"*")&gt;1,"NIK ganda",IF(AND($D873&lt;&gt;"",LEN($D873)&lt;&gt;16),"No. KK bukan 16 digit",IF(AND($F873="",$I873=""),"Alamat kosong",IF($N873="","Jabatan kosong",IF($O873="","No. HP kosong",IF(AND($R873&lt;&gt;"",$R873&lt;17),"Usia di bawah 17","")))))))))</f>
        <v/>
      </c>
      <c r="Z873" s="40" t="str">
        <f aca="false">IF($B873="","",IF(AND(OR(CARI!$C$5="",ISNUMBER(SEARCH(CARI!$C$5,$B873&amp;" "&amp;$C873&amp;" "&amp;$D873&amp;" "&amp;$O873&amp;" "&amp;$I873&amp;" "&amp;$F873&amp;" "&amp;$J873&amp;" "&amp;$K873&amp;" "&amp;$L873&amp;" "&amp;$V873))),OR(CARI!$C$6="",$F873=CARI!$C$6),OR(CARI!$C$7="",$G873=CARI!$C$7),OR(CARI!$C$8="",$T873=CARI!$C$8)),MAX($Z$3:Z872)+1,""))</f>
        <v/>
      </c>
      <c r="AA873" s="40" t="str">
        <f aca="false">IF($Y873="","",MAX($AA$3:AA872)+1)</f>
        <v/>
      </c>
      <c r="AB873" s="40" t="str">
        <f aca="false">IF($F873="","",$F873&amp;"#"&amp;COUNTIF($F$4:$F873,$F873))</f>
        <v/>
      </c>
      <c r="AC873" s="40" t="str">
        <f aca="false">IF($B873="","",IF(AND(OR(CETAK!$J$10="",$F873=CETAK!$J$10),OR(CETAK!$J$11="",$G873=CETAK!$J$11),OR(CETAK!$J$12="",$P873=CETAK!$J$12),OR(CETAK!$J$13="",$N873=CETAK!$J$13),OR(CETAK!$J$14="",$T873=CETAK!$J$14)),MAX($AC$3:AC872)+1,""))</f>
        <v/>
      </c>
      <c r="AD873" s="40" t="str">
        <f aca="false">IF($B873="","",IF(AND(OR(ABSENSI!$H$10="",$F873=ABSENSI!$H$10),OR(ABSENSI!$H$11="",$G873=ABSENSI!$H$11),OR(ABSENSI!$H$12="",$P873=ABSENSI!$H$12)),MAX($AD$3:AD872)+1,""))</f>
        <v/>
      </c>
      <c r="AE873" s="40" t="str">
        <f aca="false">IF($B873="","",IF(AND(OR(KARTU!$K$6="",$F873=KARTU!$K$6),OR(KARTU!$K$7="",$G873=KARTU!$K$7),OR(KARTU!$K$8="",$P873=KARTU!$K$8)),MAX($AE$3:AE872)+1,""))</f>
        <v/>
      </c>
    </row>
    <row r="874" customFormat="false" ht="15" hidden="false" customHeight="false" outlineLevel="0" collapsed="false">
      <c r="A874" s="35" t="str">
        <f aca="false">IF($B874="","",COUNTA($B$4:$B874))</f>
        <v/>
      </c>
      <c r="B874" s="36"/>
      <c r="C874" s="37"/>
      <c r="D874" s="37"/>
      <c r="E874" s="38"/>
      <c r="F874" s="36"/>
      <c r="G874" s="39"/>
      <c r="H874" s="39"/>
      <c r="I874" s="36"/>
      <c r="J874" s="36"/>
      <c r="K874" s="36"/>
      <c r="L874" s="36"/>
      <c r="M874" s="40" t="str">
        <f aca="false">IF($F874="","",$F874&amp;IF($G874="",""," - RT "&amp;$G874&amp;IF($H874="","","/"&amp;$H874)))</f>
        <v/>
      </c>
      <c r="N874" s="36"/>
      <c r="O874" s="37"/>
      <c r="P874" s="39"/>
      <c r="Q874" s="41"/>
      <c r="R874" s="35" t="str">
        <f aca="true">IF(OR($B874="",$Q874=""),"",DATEDIF($Q874,TODAY(),"Y"))</f>
        <v/>
      </c>
      <c r="S874" s="40" t="str">
        <f aca="false">IF($R874="","",INDEX(usia_label,MATCH($R874,usia_min,1)))</f>
        <v/>
      </c>
      <c r="T874" s="36"/>
      <c r="U874" s="41"/>
      <c r="V874" s="36"/>
      <c r="W874" s="36"/>
      <c r="X874" s="40" t="str">
        <f aca="false">IF($M874="","",$M874&amp;"#"&amp;COUNTIF($M$4:$M874,$M874))</f>
        <v/>
      </c>
      <c r="Y874" s="40" t="str">
        <f aca="false">IF($B874="","",IF($C874="","NIK kosong",IF(LEN($C874)&lt;&gt;16,"NIK bukan 16 digit",IF(COUNTIF($C$4:$C$2003,$C874&amp;"*")&gt;1,"NIK ganda",IF(AND($D874&lt;&gt;"",LEN($D874)&lt;&gt;16),"No. KK bukan 16 digit",IF(AND($F874="",$I874=""),"Alamat kosong",IF($N874="","Jabatan kosong",IF($O874="","No. HP kosong",IF(AND($R874&lt;&gt;"",$R874&lt;17),"Usia di bawah 17","")))))))))</f>
        <v/>
      </c>
      <c r="Z874" s="40" t="str">
        <f aca="false">IF($B874="","",IF(AND(OR(CARI!$C$5="",ISNUMBER(SEARCH(CARI!$C$5,$B874&amp;" "&amp;$C874&amp;" "&amp;$D874&amp;" "&amp;$O874&amp;" "&amp;$I874&amp;" "&amp;$F874&amp;" "&amp;$J874&amp;" "&amp;$K874&amp;" "&amp;$L874&amp;" "&amp;$V874))),OR(CARI!$C$6="",$F874=CARI!$C$6),OR(CARI!$C$7="",$G874=CARI!$C$7),OR(CARI!$C$8="",$T874=CARI!$C$8)),MAX($Z$3:Z873)+1,""))</f>
        <v/>
      </c>
      <c r="AA874" s="40" t="str">
        <f aca="false">IF($Y874="","",MAX($AA$3:AA873)+1)</f>
        <v/>
      </c>
      <c r="AB874" s="40" t="str">
        <f aca="false">IF($F874="","",$F874&amp;"#"&amp;COUNTIF($F$4:$F874,$F874))</f>
        <v/>
      </c>
      <c r="AC874" s="40" t="str">
        <f aca="false">IF($B874="","",IF(AND(OR(CETAK!$J$10="",$F874=CETAK!$J$10),OR(CETAK!$J$11="",$G874=CETAK!$J$11),OR(CETAK!$J$12="",$P874=CETAK!$J$12),OR(CETAK!$J$13="",$N874=CETAK!$J$13),OR(CETAK!$J$14="",$T874=CETAK!$J$14)),MAX($AC$3:AC873)+1,""))</f>
        <v/>
      </c>
      <c r="AD874" s="40" t="str">
        <f aca="false">IF($B874="","",IF(AND(OR(ABSENSI!$H$10="",$F874=ABSENSI!$H$10),OR(ABSENSI!$H$11="",$G874=ABSENSI!$H$11),OR(ABSENSI!$H$12="",$P874=ABSENSI!$H$12)),MAX($AD$3:AD873)+1,""))</f>
        <v/>
      </c>
      <c r="AE874" s="40" t="str">
        <f aca="false">IF($B874="","",IF(AND(OR(KARTU!$K$6="",$F874=KARTU!$K$6),OR(KARTU!$K$7="",$G874=KARTU!$K$7),OR(KARTU!$K$8="",$P874=KARTU!$K$8)),MAX($AE$3:AE873)+1,""))</f>
        <v/>
      </c>
    </row>
    <row r="875" customFormat="false" ht="15" hidden="false" customHeight="false" outlineLevel="0" collapsed="false">
      <c r="A875" s="35" t="str">
        <f aca="false">IF($B875="","",COUNTA($B$4:$B875))</f>
        <v/>
      </c>
      <c r="B875" s="36"/>
      <c r="C875" s="37"/>
      <c r="D875" s="37"/>
      <c r="E875" s="38"/>
      <c r="F875" s="36"/>
      <c r="G875" s="39"/>
      <c r="H875" s="39"/>
      <c r="I875" s="36"/>
      <c r="J875" s="36"/>
      <c r="K875" s="36"/>
      <c r="L875" s="36"/>
      <c r="M875" s="40" t="str">
        <f aca="false">IF($F875="","",$F875&amp;IF($G875="",""," - RT "&amp;$G875&amp;IF($H875="","","/"&amp;$H875)))</f>
        <v/>
      </c>
      <c r="N875" s="36"/>
      <c r="O875" s="37"/>
      <c r="P875" s="39"/>
      <c r="Q875" s="41"/>
      <c r="R875" s="35" t="str">
        <f aca="true">IF(OR($B875="",$Q875=""),"",DATEDIF($Q875,TODAY(),"Y"))</f>
        <v/>
      </c>
      <c r="S875" s="40" t="str">
        <f aca="false">IF($R875="","",INDEX(usia_label,MATCH($R875,usia_min,1)))</f>
        <v/>
      </c>
      <c r="T875" s="36"/>
      <c r="U875" s="41"/>
      <c r="V875" s="36"/>
      <c r="W875" s="36"/>
      <c r="X875" s="40" t="str">
        <f aca="false">IF($M875="","",$M875&amp;"#"&amp;COUNTIF($M$4:$M875,$M875))</f>
        <v/>
      </c>
      <c r="Y875" s="40" t="str">
        <f aca="false">IF($B875="","",IF($C875="","NIK kosong",IF(LEN($C875)&lt;&gt;16,"NIK bukan 16 digit",IF(COUNTIF($C$4:$C$2003,$C875&amp;"*")&gt;1,"NIK ganda",IF(AND($D875&lt;&gt;"",LEN($D875)&lt;&gt;16),"No. KK bukan 16 digit",IF(AND($F875="",$I875=""),"Alamat kosong",IF($N875="","Jabatan kosong",IF($O875="","No. HP kosong",IF(AND($R875&lt;&gt;"",$R875&lt;17),"Usia di bawah 17","")))))))))</f>
        <v/>
      </c>
      <c r="Z875" s="40" t="str">
        <f aca="false">IF($B875="","",IF(AND(OR(CARI!$C$5="",ISNUMBER(SEARCH(CARI!$C$5,$B875&amp;" "&amp;$C875&amp;" "&amp;$D875&amp;" "&amp;$O875&amp;" "&amp;$I875&amp;" "&amp;$F875&amp;" "&amp;$J875&amp;" "&amp;$K875&amp;" "&amp;$L875&amp;" "&amp;$V875))),OR(CARI!$C$6="",$F875=CARI!$C$6),OR(CARI!$C$7="",$G875=CARI!$C$7),OR(CARI!$C$8="",$T875=CARI!$C$8)),MAX($Z$3:Z874)+1,""))</f>
        <v/>
      </c>
      <c r="AA875" s="40" t="str">
        <f aca="false">IF($Y875="","",MAX($AA$3:AA874)+1)</f>
        <v/>
      </c>
      <c r="AB875" s="40" t="str">
        <f aca="false">IF($F875="","",$F875&amp;"#"&amp;COUNTIF($F$4:$F875,$F875))</f>
        <v/>
      </c>
      <c r="AC875" s="40" t="str">
        <f aca="false">IF($B875="","",IF(AND(OR(CETAK!$J$10="",$F875=CETAK!$J$10),OR(CETAK!$J$11="",$G875=CETAK!$J$11),OR(CETAK!$J$12="",$P875=CETAK!$J$12),OR(CETAK!$J$13="",$N875=CETAK!$J$13),OR(CETAK!$J$14="",$T875=CETAK!$J$14)),MAX($AC$3:AC874)+1,""))</f>
        <v/>
      </c>
      <c r="AD875" s="40" t="str">
        <f aca="false">IF($B875="","",IF(AND(OR(ABSENSI!$H$10="",$F875=ABSENSI!$H$10),OR(ABSENSI!$H$11="",$G875=ABSENSI!$H$11),OR(ABSENSI!$H$12="",$P875=ABSENSI!$H$12)),MAX($AD$3:AD874)+1,""))</f>
        <v/>
      </c>
      <c r="AE875" s="40" t="str">
        <f aca="false">IF($B875="","",IF(AND(OR(KARTU!$K$6="",$F875=KARTU!$K$6),OR(KARTU!$K$7="",$G875=KARTU!$K$7),OR(KARTU!$K$8="",$P875=KARTU!$K$8)),MAX($AE$3:AE874)+1,""))</f>
        <v/>
      </c>
    </row>
    <row r="876" customFormat="false" ht="15" hidden="false" customHeight="false" outlineLevel="0" collapsed="false">
      <c r="A876" s="35" t="str">
        <f aca="false">IF($B876="","",COUNTA($B$4:$B876))</f>
        <v/>
      </c>
      <c r="B876" s="36"/>
      <c r="C876" s="37"/>
      <c r="D876" s="37"/>
      <c r="E876" s="38"/>
      <c r="F876" s="36"/>
      <c r="G876" s="39"/>
      <c r="H876" s="39"/>
      <c r="I876" s="36"/>
      <c r="J876" s="36"/>
      <c r="K876" s="36"/>
      <c r="L876" s="36"/>
      <c r="M876" s="40" t="str">
        <f aca="false">IF($F876="","",$F876&amp;IF($G876="",""," - RT "&amp;$G876&amp;IF($H876="","","/"&amp;$H876)))</f>
        <v/>
      </c>
      <c r="N876" s="36"/>
      <c r="O876" s="37"/>
      <c r="P876" s="39"/>
      <c r="Q876" s="41"/>
      <c r="R876" s="35" t="str">
        <f aca="true">IF(OR($B876="",$Q876=""),"",DATEDIF($Q876,TODAY(),"Y"))</f>
        <v/>
      </c>
      <c r="S876" s="40" t="str">
        <f aca="false">IF($R876="","",INDEX(usia_label,MATCH($R876,usia_min,1)))</f>
        <v/>
      </c>
      <c r="T876" s="36"/>
      <c r="U876" s="41"/>
      <c r="V876" s="36"/>
      <c r="W876" s="36"/>
      <c r="X876" s="40" t="str">
        <f aca="false">IF($M876="","",$M876&amp;"#"&amp;COUNTIF($M$4:$M876,$M876))</f>
        <v/>
      </c>
      <c r="Y876" s="40" t="str">
        <f aca="false">IF($B876="","",IF($C876="","NIK kosong",IF(LEN($C876)&lt;&gt;16,"NIK bukan 16 digit",IF(COUNTIF($C$4:$C$2003,$C876&amp;"*")&gt;1,"NIK ganda",IF(AND($D876&lt;&gt;"",LEN($D876)&lt;&gt;16),"No. KK bukan 16 digit",IF(AND($F876="",$I876=""),"Alamat kosong",IF($N876="","Jabatan kosong",IF($O876="","No. HP kosong",IF(AND($R876&lt;&gt;"",$R876&lt;17),"Usia di bawah 17","")))))))))</f>
        <v/>
      </c>
      <c r="Z876" s="40" t="str">
        <f aca="false">IF($B876="","",IF(AND(OR(CARI!$C$5="",ISNUMBER(SEARCH(CARI!$C$5,$B876&amp;" "&amp;$C876&amp;" "&amp;$D876&amp;" "&amp;$O876&amp;" "&amp;$I876&amp;" "&amp;$F876&amp;" "&amp;$J876&amp;" "&amp;$K876&amp;" "&amp;$L876&amp;" "&amp;$V876))),OR(CARI!$C$6="",$F876=CARI!$C$6),OR(CARI!$C$7="",$G876=CARI!$C$7),OR(CARI!$C$8="",$T876=CARI!$C$8)),MAX($Z$3:Z875)+1,""))</f>
        <v/>
      </c>
      <c r="AA876" s="40" t="str">
        <f aca="false">IF($Y876="","",MAX($AA$3:AA875)+1)</f>
        <v/>
      </c>
      <c r="AB876" s="40" t="str">
        <f aca="false">IF($F876="","",$F876&amp;"#"&amp;COUNTIF($F$4:$F876,$F876))</f>
        <v/>
      </c>
      <c r="AC876" s="40" t="str">
        <f aca="false">IF($B876="","",IF(AND(OR(CETAK!$J$10="",$F876=CETAK!$J$10),OR(CETAK!$J$11="",$G876=CETAK!$J$11),OR(CETAK!$J$12="",$P876=CETAK!$J$12),OR(CETAK!$J$13="",$N876=CETAK!$J$13),OR(CETAK!$J$14="",$T876=CETAK!$J$14)),MAX($AC$3:AC875)+1,""))</f>
        <v/>
      </c>
      <c r="AD876" s="40" t="str">
        <f aca="false">IF($B876="","",IF(AND(OR(ABSENSI!$H$10="",$F876=ABSENSI!$H$10),OR(ABSENSI!$H$11="",$G876=ABSENSI!$H$11),OR(ABSENSI!$H$12="",$P876=ABSENSI!$H$12)),MAX($AD$3:AD875)+1,""))</f>
        <v/>
      </c>
      <c r="AE876" s="40" t="str">
        <f aca="false">IF($B876="","",IF(AND(OR(KARTU!$K$6="",$F876=KARTU!$K$6),OR(KARTU!$K$7="",$G876=KARTU!$K$7),OR(KARTU!$K$8="",$P876=KARTU!$K$8)),MAX($AE$3:AE875)+1,""))</f>
        <v/>
      </c>
    </row>
    <row r="877" customFormat="false" ht="15" hidden="false" customHeight="false" outlineLevel="0" collapsed="false">
      <c r="A877" s="35" t="str">
        <f aca="false">IF($B877="","",COUNTA($B$4:$B877))</f>
        <v/>
      </c>
      <c r="B877" s="36"/>
      <c r="C877" s="37"/>
      <c r="D877" s="37"/>
      <c r="E877" s="38"/>
      <c r="F877" s="36"/>
      <c r="G877" s="39"/>
      <c r="H877" s="39"/>
      <c r="I877" s="36"/>
      <c r="J877" s="36"/>
      <c r="K877" s="36"/>
      <c r="L877" s="36"/>
      <c r="M877" s="40" t="str">
        <f aca="false">IF($F877="","",$F877&amp;IF($G877="",""," - RT "&amp;$G877&amp;IF($H877="","","/"&amp;$H877)))</f>
        <v/>
      </c>
      <c r="N877" s="36"/>
      <c r="O877" s="37"/>
      <c r="P877" s="39"/>
      <c r="Q877" s="41"/>
      <c r="R877" s="35" t="str">
        <f aca="true">IF(OR($B877="",$Q877=""),"",DATEDIF($Q877,TODAY(),"Y"))</f>
        <v/>
      </c>
      <c r="S877" s="40" t="str">
        <f aca="false">IF($R877="","",INDEX(usia_label,MATCH($R877,usia_min,1)))</f>
        <v/>
      </c>
      <c r="T877" s="36"/>
      <c r="U877" s="41"/>
      <c r="V877" s="36"/>
      <c r="W877" s="36"/>
      <c r="X877" s="40" t="str">
        <f aca="false">IF($M877="","",$M877&amp;"#"&amp;COUNTIF($M$4:$M877,$M877))</f>
        <v/>
      </c>
      <c r="Y877" s="40" t="str">
        <f aca="false">IF($B877="","",IF($C877="","NIK kosong",IF(LEN($C877)&lt;&gt;16,"NIK bukan 16 digit",IF(COUNTIF($C$4:$C$2003,$C877&amp;"*")&gt;1,"NIK ganda",IF(AND($D877&lt;&gt;"",LEN($D877)&lt;&gt;16),"No. KK bukan 16 digit",IF(AND($F877="",$I877=""),"Alamat kosong",IF($N877="","Jabatan kosong",IF($O877="","No. HP kosong",IF(AND($R877&lt;&gt;"",$R877&lt;17),"Usia di bawah 17","")))))))))</f>
        <v/>
      </c>
      <c r="Z877" s="40" t="str">
        <f aca="false">IF($B877="","",IF(AND(OR(CARI!$C$5="",ISNUMBER(SEARCH(CARI!$C$5,$B877&amp;" "&amp;$C877&amp;" "&amp;$D877&amp;" "&amp;$O877&amp;" "&amp;$I877&amp;" "&amp;$F877&amp;" "&amp;$J877&amp;" "&amp;$K877&amp;" "&amp;$L877&amp;" "&amp;$V877))),OR(CARI!$C$6="",$F877=CARI!$C$6),OR(CARI!$C$7="",$G877=CARI!$C$7),OR(CARI!$C$8="",$T877=CARI!$C$8)),MAX($Z$3:Z876)+1,""))</f>
        <v/>
      </c>
      <c r="AA877" s="40" t="str">
        <f aca="false">IF($Y877="","",MAX($AA$3:AA876)+1)</f>
        <v/>
      </c>
      <c r="AB877" s="40" t="str">
        <f aca="false">IF($F877="","",$F877&amp;"#"&amp;COUNTIF($F$4:$F877,$F877))</f>
        <v/>
      </c>
      <c r="AC877" s="40" t="str">
        <f aca="false">IF($B877="","",IF(AND(OR(CETAK!$J$10="",$F877=CETAK!$J$10),OR(CETAK!$J$11="",$G877=CETAK!$J$11),OR(CETAK!$J$12="",$P877=CETAK!$J$12),OR(CETAK!$J$13="",$N877=CETAK!$J$13),OR(CETAK!$J$14="",$T877=CETAK!$J$14)),MAX($AC$3:AC876)+1,""))</f>
        <v/>
      </c>
      <c r="AD877" s="40" t="str">
        <f aca="false">IF($B877="","",IF(AND(OR(ABSENSI!$H$10="",$F877=ABSENSI!$H$10),OR(ABSENSI!$H$11="",$G877=ABSENSI!$H$11),OR(ABSENSI!$H$12="",$P877=ABSENSI!$H$12)),MAX($AD$3:AD876)+1,""))</f>
        <v/>
      </c>
      <c r="AE877" s="40" t="str">
        <f aca="false">IF($B877="","",IF(AND(OR(KARTU!$K$6="",$F877=KARTU!$K$6),OR(KARTU!$K$7="",$G877=KARTU!$K$7),OR(KARTU!$K$8="",$P877=KARTU!$K$8)),MAX($AE$3:AE876)+1,""))</f>
        <v/>
      </c>
    </row>
    <row r="878" customFormat="false" ht="15" hidden="false" customHeight="false" outlineLevel="0" collapsed="false">
      <c r="A878" s="35" t="str">
        <f aca="false">IF($B878="","",COUNTA($B$4:$B878))</f>
        <v/>
      </c>
      <c r="B878" s="36"/>
      <c r="C878" s="37"/>
      <c r="D878" s="37"/>
      <c r="E878" s="38"/>
      <c r="F878" s="36"/>
      <c r="G878" s="39"/>
      <c r="H878" s="39"/>
      <c r="I878" s="36"/>
      <c r="J878" s="36"/>
      <c r="K878" s="36"/>
      <c r="L878" s="36"/>
      <c r="M878" s="40" t="str">
        <f aca="false">IF($F878="","",$F878&amp;IF($G878="",""," - RT "&amp;$G878&amp;IF($H878="","","/"&amp;$H878)))</f>
        <v/>
      </c>
      <c r="N878" s="36"/>
      <c r="O878" s="37"/>
      <c r="P878" s="39"/>
      <c r="Q878" s="41"/>
      <c r="R878" s="35" t="str">
        <f aca="true">IF(OR($B878="",$Q878=""),"",DATEDIF($Q878,TODAY(),"Y"))</f>
        <v/>
      </c>
      <c r="S878" s="40" t="str">
        <f aca="false">IF($R878="","",INDEX(usia_label,MATCH($R878,usia_min,1)))</f>
        <v/>
      </c>
      <c r="T878" s="36"/>
      <c r="U878" s="41"/>
      <c r="V878" s="36"/>
      <c r="W878" s="36"/>
      <c r="X878" s="40" t="str">
        <f aca="false">IF($M878="","",$M878&amp;"#"&amp;COUNTIF($M$4:$M878,$M878))</f>
        <v/>
      </c>
      <c r="Y878" s="40" t="str">
        <f aca="false">IF($B878="","",IF($C878="","NIK kosong",IF(LEN($C878)&lt;&gt;16,"NIK bukan 16 digit",IF(COUNTIF($C$4:$C$2003,$C878&amp;"*")&gt;1,"NIK ganda",IF(AND($D878&lt;&gt;"",LEN($D878)&lt;&gt;16),"No. KK bukan 16 digit",IF(AND($F878="",$I878=""),"Alamat kosong",IF($N878="","Jabatan kosong",IF($O878="","No. HP kosong",IF(AND($R878&lt;&gt;"",$R878&lt;17),"Usia di bawah 17","")))))))))</f>
        <v/>
      </c>
      <c r="Z878" s="40" t="str">
        <f aca="false">IF($B878="","",IF(AND(OR(CARI!$C$5="",ISNUMBER(SEARCH(CARI!$C$5,$B878&amp;" "&amp;$C878&amp;" "&amp;$D878&amp;" "&amp;$O878&amp;" "&amp;$I878&amp;" "&amp;$F878&amp;" "&amp;$J878&amp;" "&amp;$K878&amp;" "&amp;$L878&amp;" "&amp;$V878))),OR(CARI!$C$6="",$F878=CARI!$C$6),OR(CARI!$C$7="",$G878=CARI!$C$7),OR(CARI!$C$8="",$T878=CARI!$C$8)),MAX($Z$3:Z877)+1,""))</f>
        <v/>
      </c>
      <c r="AA878" s="40" t="str">
        <f aca="false">IF($Y878="","",MAX($AA$3:AA877)+1)</f>
        <v/>
      </c>
      <c r="AB878" s="40" t="str">
        <f aca="false">IF($F878="","",$F878&amp;"#"&amp;COUNTIF($F$4:$F878,$F878))</f>
        <v/>
      </c>
      <c r="AC878" s="40" t="str">
        <f aca="false">IF($B878="","",IF(AND(OR(CETAK!$J$10="",$F878=CETAK!$J$10),OR(CETAK!$J$11="",$G878=CETAK!$J$11),OR(CETAK!$J$12="",$P878=CETAK!$J$12),OR(CETAK!$J$13="",$N878=CETAK!$J$13),OR(CETAK!$J$14="",$T878=CETAK!$J$14)),MAX($AC$3:AC877)+1,""))</f>
        <v/>
      </c>
      <c r="AD878" s="40" t="str">
        <f aca="false">IF($B878="","",IF(AND(OR(ABSENSI!$H$10="",$F878=ABSENSI!$H$10),OR(ABSENSI!$H$11="",$G878=ABSENSI!$H$11),OR(ABSENSI!$H$12="",$P878=ABSENSI!$H$12)),MAX($AD$3:AD877)+1,""))</f>
        <v/>
      </c>
      <c r="AE878" s="40" t="str">
        <f aca="false">IF($B878="","",IF(AND(OR(KARTU!$K$6="",$F878=KARTU!$K$6),OR(KARTU!$K$7="",$G878=KARTU!$K$7),OR(KARTU!$K$8="",$P878=KARTU!$K$8)),MAX($AE$3:AE877)+1,""))</f>
        <v/>
      </c>
    </row>
    <row r="879" customFormat="false" ht="15" hidden="false" customHeight="false" outlineLevel="0" collapsed="false">
      <c r="A879" s="35" t="str">
        <f aca="false">IF($B879="","",COUNTA($B$4:$B879))</f>
        <v/>
      </c>
      <c r="B879" s="36"/>
      <c r="C879" s="37"/>
      <c r="D879" s="37"/>
      <c r="E879" s="38"/>
      <c r="F879" s="36"/>
      <c r="G879" s="39"/>
      <c r="H879" s="39"/>
      <c r="I879" s="36"/>
      <c r="J879" s="36"/>
      <c r="K879" s="36"/>
      <c r="L879" s="36"/>
      <c r="M879" s="40" t="str">
        <f aca="false">IF($F879="","",$F879&amp;IF($G879="",""," - RT "&amp;$G879&amp;IF($H879="","","/"&amp;$H879)))</f>
        <v/>
      </c>
      <c r="N879" s="36"/>
      <c r="O879" s="37"/>
      <c r="P879" s="39"/>
      <c r="Q879" s="41"/>
      <c r="R879" s="35" t="str">
        <f aca="true">IF(OR($B879="",$Q879=""),"",DATEDIF($Q879,TODAY(),"Y"))</f>
        <v/>
      </c>
      <c r="S879" s="40" t="str">
        <f aca="false">IF($R879="","",INDEX(usia_label,MATCH($R879,usia_min,1)))</f>
        <v/>
      </c>
      <c r="T879" s="36"/>
      <c r="U879" s="41"/>
      <c r="V879" s="36"/>
      <c r="W879" s="36"/>
      <c r="X879" s="40" t="str">
        <f aca="false">IF($M879="","",$M879&amp;"#"&amp;COUNTIF($M$4:$M879,$M879))</f>
        <v/>
      </c>
      <c r="Y879" s="40" t="str">
        <f aca="false">IF($B879="","",IF($C879="","NIK kosong",IF(LEN($C879)&lt;&gt;16,"NIK bukan 16 digit",IF(COUNTIF($C$4:$C$2003,$C879&amp;"*")&gt;1,"NIK ganda",IF(AND($D879&lt;&gt;"",LEN($D879)&lt;&gt;16),"No. KK bukan 16 digit",IF(AND($F879="",$I879=""),"Alamat kosong",IF($N879="","Jabatan kosong",IF($O879="","No. HP kosong",IF(AND($R879&lt;&gt;"",$R879&lt;17),"Usia di bawah 17","")))))))))</f>
        <v/>
      </c>
      <c r="Z879" s="40" t="str">
        <f aca="false">IF($B879="","",IF(AND(OR(CARI!$C$5="",ISNUMBER(SEARCH(CARI!$C$5,$B879&amp;" "&amp;$C879&amp;" "&amp;$D879&amp;" "&amp;$O879&amp;" "&amp;$I879&amp;" "&amp;$F879&amp;" "&amp;$J879&amp;" "&amp;$K879&amp;" "&amp;$L879&amp;" "&amp;$V879))),OR(CARI!$C$6="",$F879=CARI!$C$6),OR(CARI!$C$7="",$G879=CARI!$C$7),OR(CARI!$C$8="",$T879=CARI!$C$8)),MAX($Z$3:Z878)+1,""))</f>
        <v/>
      </c>
      <c r="AA879" s="40" t="str">
        <f aca="false">IF($Y879="","",MAX($AA$3:AA878)+1)</f>
        <v/>
      </c>
      <c r="AB879" s="40" t="str">
        <f aca="false">IF($F879="","",$F879&amp;"#"&amp;COUNTIF($F$4:$F879,$F879))</f>
        <v/>
      </c>
      <c r="AC879" s="40" t="str">
        <f aca="false">IF($B879="","",IF(AND(OR(CETAK!$J$10="",$F879=CETAK!$J$10),OR(CETAK!$J$11="",$G879=CETAK!$J$11),OR(CETAK!$J$12="",$P879=CETAK!$J$12),OR(CETAK!$J$13="",$N879=CETAK!$J$13),OR(CETAK!$J$14="",$T879=CETAK!$J$14)),MAX($AC$3:AC878)+1,""))</f>
        <v/>
      </c>
      <c r="AD879" s="40" t="str">
        <f aca="false">IF($B879="","",IF(AND(OR(ABSENSI!$H$10="",$F879=ABSENSI!$H$10),OR(ABSENSI!$H$11="",$G879=ABSENSI!$H$11),OR(ABSENSI!$H$12="",$P879=ABSENSI!$H$12)),MAX($AD$3:AD878)+1,""))</f>
        <v/>
      </c>
      <c r="AE879" s="40" t="str">
        <f aca="false">IF($B879="","",IF(AND(OR(KARTU!$K$6="",$F879=KARTU!$K$6),OR(KARTU!$K$7="",$G879=KARTU!$K$7),OR(KARTU!$K$8="",$P879=KARTU!$K$8)),MAX($AE$3:AE878)+1,""))</f>
        <v/>
      </c>
    </row>
    <row r="880" customFormat="false" ht="15" hidden="false" customHeight="false" outlineLevel="0" collapsed="false">
      <c r="A880" s="35" t="str">
        <f aca="false">IF($B880="","",COUNTA($B$4:$B880))</f>
        <v/>
      </c>
      <c r="B880" s="36"/>
      <c r="C880" s="37"/>
      <c r="D880" s="37"/>
      <c r="E880" s="38"/>
      <c r="F880" s="36"/>
      <c r="G880" s="39"/>
      <c r="H880" s="39"/>
      <c r="I880" s="36"/>
      <c r="J880" s="36"/>
      <c r="K880" s="36"/>
      <c r="L880" s="36"/>
      <c r="M880" s="40" t="str">
        <f aca="false">IF($F880="","",$F880&amp;IF($G880="",""," - RT "&amp;$G880&amp;IF($H880="","","/"&amp;$H880)))</f>
        <v/>
      </c>
      <c r="N880" s="36"/>
      <c r="O880" s="37"/>
      <c r="P880" s="39"/>
      <c r="Q880" s="41"/>
      <c r="R880" s="35" t="str">
        <f aca="true">IF(OR($B880="",$Q880=""),"",DATEDIF($Q880,TODAY(),"Y"))</f>
        <v/>
      </c>
      <c r="S880" s="40" t="str">
        <f aca="false">IF($R880="","",INDEX(usia_label,MATCH($R880,usia_min,1)))</f>
        <v/>
      </c>
      <c r="T880" s="36"/>
      <c r="U880" s="41"/>
      <c r="V880" s="36"/>
      <c r="W880" s="36"/>
      <c r="X880" s="40" t="str">
        <f aca="false">IF($M880="","",$M880&amp;"#"&amp;COUNTIF($M$4:$M880,$M880))</f>
        <v/>
      </c>
      <c r="Y880" s="40" t="str">
        <f aca="false">IF($B880="","",IF($C880="","NIK kosong",IF(LEN($C880)&lt;&gt;16,"NIK bukan 16 digit",IF(COUNTIF($C$4:$C$2003,$C880&amp;"*")&gt;1,"NIK ganda",IF(AND($D880&lt;&gt;"",LEN($D880)&lt;&gt;16),"No. KK bukan 16 digit",IF(AND($F880="",$I880=""),"Alamat kosong",IF($N880="","Jabatan kosong",IF($O880="","No. HP kosong",IF(AND($R880&lt;&gt;"",$R880&lt;17),"Usia di bawah 17","")))))))))</f>
        <v/>
      </c>
      <c r="Z880" s="40" t="str">
        <f aca="false">IF($B880="","",IF(AND(OR(CARI!$C$5="",ISNUMBER(SEARCH(CARI!$C$5,$B880&amp;" "&amp;$C880&amp;" "&amp;$D880&amp;" "&amp;$O880&amp;" "&amp;$I880&amp;" "&amp;$F880&amp;" "&amp;$J880&amp;" "&amp;$K880&amp;" "&amp;$L880&amp;" "&amp;$V880))),OR(CARI!$C$6="",$F880=CARI!$C$6),OR(CARI!$C$7="",$G880=CARI!$C$7),OR(CARI!$C$8="",$T880=CARI!$C$8)),MAX($Z$3:Z879)+1,""))</f>
        <v/>
      </c>
      <c r="AA880" s="40" t="str">
        <f aca="false">IF($Y880="","",MAX($AA$3:AA879)+1)</f>
        <v/>
      </c>
      <c r="AB880" s="40" t="str">
        <f aca="false">IF($F880="","",$F880&amp;"#"&amp;COUNTIF($F$4:$F880,$F880))</f>
        <v/>
      </c>
      <c r="AC880" s="40" t="str">
        <f aca="false">IF($B880="","",IF(AND(OR(CETAK!$J$10="",$F880=CETAK!$J$10),OR(CETAK!$J$11="",$G880=CETAK!$J$11),OR(CETAK!$J$12="",$P880=CETAK!$J$12),OR(CETAK!$J$13="",$N880=CETAK!$J$13),OR(CETAK!$J$14="",$T880=CETAK!$J$14)),MAX($AC$3:AC879)+1,""))</f>
        <v/>
      </c>
      <c r="AD880" s="40" t="str">
        <f aca="false">IF($B880="","",IF(AND(OR(ABSENSI!$H$10="",$F880=ABSENSI!$H$10),OR(ABSENSI!$H$11="",$G880=ABSENSI!$H$11),OR(ABSENSI!$H$12="",$P880=ABSENSI!$H$12)),MAX($AD$3:AD879)+1,""))</f>
        <v/>
      </c>
      <c r="AE880" s="40" t="str">
        <f aca="false">IF($B880="","",IF(AND(OR(KARTU!$K$6="",$F880=KARTU!$K$6),OR(KARTU!$K$7="",$G880=KARTU!$K$7),OR(KARTU!$K$8="",$P880=KARTU!$K$8)),MAX($AE$3:AE879)+1,""))</f>
        <v/>
      </c>
    </row>
    <row r="881" customFormat="false" ht="15" hidden="false" customHeight="false" outlineLevel="0" collapsed="false">
      <c r="A881" s="35" t="str">
        <f aca="false">IF($B881="","",COUNTA($B$4:$B881))</f>
        <v/>
      </c>
      <c r="B881" s="36"/>
      <c r="C881" s="37"/>
      <c r="D881" s="37"/>
      <c r="E881" s="38"/>
      <c r="F881" s="36"/>
      <c r="G881" s="39"/>
      <c r="H881" s="39"/>
      <c r="I881" s="36"/>
      <c r="J881" s="36"/>
      <c r="K881" s="36"/>
      <c r="L881" s="36"/>
      <c r="M881" s="40" t="str">
        <f aca="false">IF($F881="","",$F881&amp;IF($G881="",""," - RT "&amp;$G881&amp;IF($H881="","","/"&amp;$H881)))</f>
        <v/>
      </c>
      <c r="N881" s="36"/>
      <c r="O881" s="37"/>
      <c r="P881" s="39"/>
      <c r="Q881" s="41"/>
      <c r="R881" s="35" t="str">
        <f aca="true">IF(OR($B881="",$Q881=""),"",DATEDIF($Q881,TODAY(),"Y"))</f>
        <v/>
      </c>
      <c r="S881" s="40" t="str">
        <f aca="false">IF($R881="","",INDEX(usia_label,MATCH($R881,usia_min,1)))</f>
        <v/>
      </c>
      <c r="T881" s="36"/>
      <c r="U881" s="41"/>
      <c r="V881" s="36"/>
      <c r="W881" s="36"/>
      <c r="X881" s="40" t="str">
        <f aca="false">IF($M881="","",$M881&amp;"#"&amp;COUNTIF($M$4:$M881,$M881))</f>
        <v/>
      </c>
      <c r="Y881" s="40" t="str">
        <f aca="false">IF($B881="","",IF($C881="","NIK kosong",IF(LEN($C881)&lt;&gt;16,"NIK bukan 16 digit",IF(COUNTIF($C$4:$C$2003,$C881&amp;"*")&gt;1,"NIK ganda",IF(AND($D881&lt;&gt;"",LEN($D881)&lt;&gt;16),"No. KK bukan 16 digit",IF(AND($F881="",$I881=""),"Alamat kosong",IF($N881="","Jabatan kosong",IF($O881="","No. HP kosong",IF(AND($R881&lt;&gt;"",$R881&lt;17),"Usia di bawah 17","")))))))))</f>
        <v/>
      </c>
      <c r="Z881" s="40" t="str">
        <f aca="false">IF($B881="","",IF(AND(OR(CARI!$C$5="",ISNUMBER(SEARCH(CARI!$C$5,$B881&amp;" "&amp;$C881&amp;" "&amp;$D881&amp;" "&amp;$O881&amp;" "&amp;$I881&amp;" "&amp;$F881&amp;" "&amp;$J881&amp;" "&amp;$K881&amp;" "&amp;$L881&amp;" "&amp;$V881))),OR(CARI!$C$6="",$F881=CARI!$C$6),OR(CARI!$C$7="",$G881=CARI!$C$7),OR(CARI!$C$8="",$T881=CARI!$C$8)),MAX($Z$3:Z880)+1,""))</f>
        <v/>
      </c>
      <c r="AA881" s="40" t="str">
        <f aca="false">IF($Y881="","",MAX($AA$3:AA880)+1)</f>
        <v/>
      </c>
      <c r="AB881" s="40" t="str">
        <f aca="false">IF($F881="","",$F881&amp;"#"&amp;COUNTIF($F$4:$F881,$F881))</f>
        <v/>
      </c>
      <c r="AC881" s="40" t="str">
        <f aca="false">IF($B881="","",IF(AND(OR(CETAK!$J$10="",$F881=CETAK!$J$10),OR(CETAK!$J$11="",$G881=CETAK!$J$11),OR(CETAK!$J$12="",$P881=CETAK!$J$12),OR(CETAK!$J$13="",$N881=CETAK!$J$13),OR(CETAK!$J$14="",$T881=CETAK!$J$14)),MAX($AC$3:AC880)+1,""))</f>
        <v/>
      </c>
      <c r="AD881" s="40" t="str">
        <f aca="false">IF($B881="","",IF(AND(OR(ABSENSI!$H$10="",$F881=ABSENSI!$H$10),OR(ABSENSI!$H$11="",$G881=ABSENSI!$H$11),OR(ABSENSI!$H$12="",$P881=ABSENSI!$H$12)),MAX($AD$3:AD880)+1,""))</f>
        <v/>
      </c>
      <c r="AE881" s="40" t="str">
        <f aca="false">IF($B881="","",IF(AND(OR(KARTU!$K$6="",$F881=KARTU!$K$6),OR(KARTU!$K$7="",$G881=KARTU!$K$7),OR(KARTU!$K$8="",$P881=KARTU!$K$8)),MAX($AE$3:AE880)+1,""))</f>
        <v/>
      </c>
    </row>
    <row r="882" customFormat="false" ht="15" hidden="false" customHeight="false" outlineLevel="0" collapsed="false">
      <c r="A882" s="35" t="str">
        <f aca="false">IF($B882="","",COUNTA($B$4:$B882))</f>
        <v/>
      </c>
      <c r="B882" s="36"/>
      <c r="C882" s="37"/>
      <c r="D882" s="37"/>
      <c r="E882" s="38"/>
      <c r="F882" s="36"/>
      <c r="G882" s="39"/>
      <c r="H882" s="39"/>
      <c r="I882" s="36"/>
      <c r="J882" s="36"/>
      <c r="K882" s="36"/>
      <c r="L882" s="36"/>
      <c r="M882" s="40" t="str">
        <f aca="false">IF($F882="","",$F882&amp;IF($G882="",""," - RT "&amp;$G882&amp;IF($H882="","","/"&amp;$H882)))</f>
        <v/>
      </c>
      <c r="N882" s="36"/>
      <c r="O882" s="37"/>
      <c r="P882" s="39"/>
      <c r="Q882" s="41"/>
      <c r="R882" s="35" t="str">
        <f aca="true">IF(OR($B882="",$Q882=""),"",DATEDIF($Q882,TODAY(),"Y"))</f>
        <v/>
      </c>
      <c r="S882" s="40" t="str">
        <f aca="false">IF($R882="","",INDEX(usia_label,MATCH($R882,usia_min,1)))</f>
        <v/>
      </c>
      <c r="T882" s="36"/>
      <c r="U882" s="41"/>
      <c r="V882" s="36"/>
      <c r="W882" s="36"/>
      <c r="X882" s="40" t="str">
        <f aca="false">IF($M882="","",$M882&amp;"#"&amp;COUNTIF($M$4:$M882,$M882))</f>
        <v/>
      </c>
      <c r="Y882" s="40" t="str">
        <f aca="false">IF($B882="","",IF($C882="","NIK kosong",IF(LEN($C882)&lt;&gt;16,"NIK bukan 16 digit",IF(COUNTIF($C$4:$C$2003,$C882&amp;"*")&gt;1,"NIK ganda",IF(AND($D882&lt;&gt;"",LEN($D882)&lt;&gt;16),"No. KK bukan 16 digit",IF(AND($F882="",$I882=""),"Alamat kosong",IF($N882="","Jabatan kosong",IF($O882="","No. HP kosong",IF(AND($R882&lt;&gt;"",$R882&lt;17),"Usia di bawah 17","")))))))))</f>
        <v/>
      </c>
      <c r="Z882" s="40" t="str">
        <f aca="false">IF($B882="","",IF(AND(OR(CARI!$C$5="",ISNUMBER(SEARCH(CARI!$C$5,$B882&amp;" "&amp;$C882&amp;" "&amp;$D882&amp;" "&amp;$O882&amp;" "&amp;$I882&amp;" "&amp;$F882&amp;" "&amp;$J882&amp;" "&amp;$K882&amp;" "&amp;$L882&amp;" "&amp;$V882))),OR(CARI!$C$6="",$F882=CARI!$C$6),OR(CARI!$C$7="",$G882=CARI!$C$7),OR(CARI!$C$8="",$T882=CARI!$C$8)),MAX($Z$3:Z881)+1,""))</f>
        <v/>
      </c>
      <c r="AA882" s="40" t="str">
        <f aca="false">IF($Y882="","",MAX($AA$3:AA881)+1)</f>
        <v/>
      </c>
      <c r="AB882" s="40" t="str">
        <f aca="false">IF($F882="","",$F882&amp;"#"&amp;COUNTIF($F$4:$F882,$F882))</f>
        <v/>
      </c>
      <c r="AC882" s="40" t="str">
        <f aca="false">IF($B882="","",IF(AND(OR(CETAK!$J$10="",$F882=CETAK!$J$10),OR(CETAK!$J$11="",$G882=CETAK!$J$11),OR(CETAK!$J$12="",$P882=CETAK!$J$12),OR(CETAK!$J$13="",$N882=CETAK!$J$13),OR(CETAK!$J$14="",$T882=CETAK!$J$14)),MAX($AC$3:AC881)+1,""))</f>
        <v/>
      </c>
      <c r="AD882" s="40" t="str">
        <f aca="false">IF($B882="","",IF(AND(OR(ABSENSI!$H$10="",$F882=ABSENSI!$H$10),OR(ABSENSI!$H$11="",$G882=ABSENSI!$H$11),OR(ABSENSI!$H$12="",$P882=ABSENSI!$H$12)),MAX($AD$3:AD881)+1,""))</f>
        <v/>
      </c>
      <c r="AE882" s="40" t="str">
        <f aca="false">IF($B882="","",IF(AND(OR(KARTU!$K$6="",$F882=KARTU!$K$6),OR(KARTU!$K$7="",$G882=KARTU!$K$7),OR(KARTU!$K$8="",$P882=KARTU!$K$8)),MAX($AE$3:AE881)+1,""))</f>
        <v/>
      </c>
    </row>
    <row r="883" customFormat="false" ht="15" hidden="false" customHeight="false" outlineLevel="0" collapsed="false">
      <c r="A883" s="35" t="str">
        <f aca="false">IF($B883="","",COUNTA($B$4:$B883))</f>
        <v/>
      </c>
      <c r="B883" s="36"/>
      <c r="C883" s="37"/>
      <c r="D883" s="37"/>
      <c r="E883" s="38"/>
      <c r="F883" s="36"/>
      <c r="G883" s="39"/>
      <c r="H883" s="39"/>
      <c r="I883" s="36"/>
      <c r="J883" s="36"/>
      <c r="K883" s="36"/>
      <c r="L883" s="36"/>
      <c r="M883" s="40" t="str">
        <f aca="false">IF($F883="","",$F883&amp;IF($G883="",""," - RT "&amp;$G883&amp;IF($H883="","","/"&amp;$H883)))</f>
        <v/>
      </c>
      <c r="N883" s="36"/>
      <c r="O883" s="37"/>
      <c r="P883" s="39"/>
      <c r="Q883" s="41"/>
      <c r="R883" s="35" t="str">
        <f aca="true">IF(OR($B883="",$Q883=""),"",DATEDIF($Q883,TODAY(),"Y"))</f>
        <v/>
      </c>
      <c r="S883" s="40" t="str">
        <f aca="false">IF($R883="","",INDEX(usia_label,MATCH($R883,usia_min,1)))</f>
        <v/>
      </c>
      <c r="T883" s="36"/>
      <c r="U883" s="41"/>
      <c r="V883" s="36"/>
      <c r="W883" s="36"/>
      <c r="X883" s="40" t="str">
        <f aca="false">IF($M883="","",$M883&amp;"#"&amp;COUNTIF($M$4:$M883,$M883))</f>
        <v/>
      </c>
      <c r="Y883" s="40" t="str">
        <f aca="false">IF($B883="","",IF($C883="","NIK kosong",IF(LEN($C883)&lt;&gt;16,"NIK bukan 16 digit",IF(COUNTIF($C$4:$C$2003,$C883&amp;"*")&gt;1,"NIK ganda",IF(AND($D883&lt;&gt;"",LEN($D883)&lt;&gt;16),"No. KK bukan 16 digit",IF(AND($F883="",$I883=""),"Alamat kosong",IF($N883="","Jabatan kosong",IF($O883="","No. HP kosong",IF(AND($R883&lt;&gt;"",$R883&lt;17),"Usia di bawah 17","")))))))))</f>
        <v/>
      </c>
      <c r="Z883" s="40" t="str">
        <f aca="false">IF($B883="","",IF(AND(OR(CARI!$C$5="",ISNUMBER(SEARCH(CARI!$C$5,$B883&amp;" "&amp;$C883&amp;" "&amp;$D883&amp;" "&amp;$O883&amp;" "&amp;$I883&amp;" "&amp;$F883&amp;" "&amp;$J883&amp;" "&amp;$K883&amp;" "&amp;$L883&amp;" "&amp;$V883))),OR(CARI!$C$6="",$F883=CARI!$C$6),OR(CARI!$C$7="",$G883=CARI!$C$7),OR(CARI!$C$8="",$T883=CARI!$C$8)),MAX($Z$3:Z882)+1,""))</f>
        <v/>
      </c>
      <c r="AA883" s="40" t="str">
        <f aca="false">IF($Y883="","",MAX($AA$3:AA882)+1)</f>
        <v/>
      </c>
      <c r="AB883" s="40" t="str">
        <f aca="false">IF($F883="","",$F883&amp;"#"&amp;COUNTIF($F$4:$F883,$F883))</f>
        <v/>
      </c>
      <c r="AC883" s="40" t="str">
        <f aca="false">IF($B883="","",IF(AND(OR(CETAK!$J$10="",$F883=CETAK!$J$10),OR(CETAK!$J$11="",$G883=CETAK!$J$11),OR(CETAK!$J$12="",$P883=CETAK!$J$12),OR(CETAK!$J$13="",$N883=CETAK!$J$13),OR(CETAK!$J$14="",$T883=CETAK!$J$14)),MAX($AC$3:AC882)+1,""))</f>
        <v/>
      </c>
      <c r="AD883" s="40" t="str">
        <f aca="false">IF($B883="","",IF(AND(OR(ABSENSI!$H$10="",$F883=ABSENSI!$H$10),OR(ABSENSI!$H$11="",$G883=ABSENSI!$H$11),OR(ABSENSI!$H$12="",$P883=ABSENSI!$H$12)),MAX($AD$3:AD882)+1,""))</f>
        <v/>
      </c>
      <c r="AE883" s="40" t="str">
        <f aca="false">IF($B883="","",IF(AND(OR(KARTU!$K$6="",$F883=KARTU!$K$6),OR(KARTU!$K$7="",$G883=KARTU!$K$7),OR(KARTU!$K$8="",$P883=KARTU!$K$8)),MAX($AE$3:AE882)+1,""))</f>
        <v/>
      </c>
    </row>
    <row r="884" customFormat="false" ht="15" hidden="false" customHeight="false" outlineLevel="0" collapsed="false">
      <c r="A884" s="35" t="str">
        <f aca="false">IF($B884="","",COUNTA($B$4:$B884))</f>
        <v/>
      </c>
      <c r="B884" s="36"/>
      <c r="C884" s="37"/>
      <c r="D884" s="37"/>
      <c r="E884" s="38"/>
      <c r="F884" s="36"/>
      <c r="G884" s="39"/>
      <c r="H884" s="39"/>
      <c r="I884" s="36"/>
      <c r="J884" s="36"/>
      <c r="K884" s="36"/>
      <c r="L884" s="36"/>
      <c r="M884" s="40" t="str">
        <f aca="false">IF($F884="","",$F884&amp;IF($G884="",""," - RT "&amp;$G884&amp;IF($H884="","","/"&amp;$H884)))</f>
        <v/>
      </c>
      <c r="N884" s="36"/>
      <c r="O884" s="37"/>
      <c r="P884" s="39"/>
      <c r="Q884" s="41"/>
      <c r="R884" s="35" t="str">
        <f aca="true">IF(OR($B884="",$Q884=""),"",DATEDIF($Q884,TODAY(),"Y"))</f>
        <v/>
      </c>
      <c r="S884" s="40" t="str">
        <f aca="false">IF($R884="","",INDEX(usia_label,MATCH($R884,usia_min,1)))</f>
        <v/>
      </c>
      <c r="T884" s="36"/>
      <c r="U884" s="41"/>
      <c r="V884" s="36"/>
      <c r="W884" s="36"/>
      <c r="X884" s="40" t="str">
        <f aca="false">IF($M884="","",$M884&amp;"#"&amp;COUNTIF($M$4:$M884,$M884))</f>
        <v/>
      </c>
      <c r="Y884" s="40" t="str">
        <f aca="false">IF($B884="","",IF($C884="","NIK kosong",IF(LEN($C884)&lt;&gt;16,"NIK bukan 16 digit",IF(COUNTIF($C$4:$C$2003,$C884&amp;"*")&gt;1,"NIK ganda",IF(AND($D884&lt;&gt;"",LEN($D884)&lt;&gt;16),"No. KK bukan 16 digit",IF(AND($F884="",$I884=""),"Alamat kosong",IF($N884="","Jabatan kosong",IF($O884="","No. HP kosong",IF(AND($R884&lt;&gt;"",$R884&lt;17),"Usia di bawah 17","")))))))))</f>
        <v/>
      </c>
      <c r="Z884" s="40" t="str">
        <f aca="false">IF($B884="","",IF(AND(OR(CARI!$C$5="",ISNUMBER(SEARCH(CARI!$C$5,$B884&amp;" "&amp;$C884&amp;" "&amp;$D884&amp;" "&amp;$O884&amp;" "&amp;$I884&amp;" "&amp;$F884&amp;" "&amp;$J884&amp;" "&amp;$K884&amp;" "&amp;$L884&amp;" "&amp;$V884))),OR(CARI!$C$6="",$F884=CARI!$C$6),OR(CARI!$C$7="",$G884=CARI!$C$7),OR(CARI!$C$8="",$T884=CARI!$C$8)),MAX($Z$3:Z883)+1,""))</f>
        <v/>
      </c>
      <c r="AA884" s="40" t="str">
        <f aca="false">IF($Y884="","",MAX($AA$3:AA883)+1)</f>
        <v/>
      </c>
      <c r="AB884" s="40" t="str">
        <f aca="false">IF($F884="","",$F884&amp;"#"&amp;COUNTIF($F$4:$F884,$F884))</f>
        <v/>
      </c>
      <c r="AC884" s="40" t="str">
        <f aca="false">IF($B884="","",IF(AND(OR(CETAK!$J$10="",$F884=CETAK!$J$10),OR(CETAK!$J$11="",$G884=CETAK!$J$11),OR(CETAK!$J$12="",$P884=CETAK!$J$12),OR(CETAK!$J$13="",$N884=CETAK!$J$13),OR(CETAK!$J$14="",$T884=CETAK!$J$14)),MAX($AC$3:AC883)+1,""))</f>
        <v/>
      </c>
      <c r="AD884" s="40" t="str">
        <f aca="false">IF($B884="","",IF(AND(OR(ABSENSI!$H$10="",$F884=ABSENSI!$H$10),OR(ABSENSI!$H$11="",$G884=ABSENSI!$H$11),OR(ABSENSI!$H$12="",$P884=ABSENSI!$H$12)),MAX($AD$3:AD883)+1,""))</f>
        <v/>
      </c>
      <c r="AE884" s="40" t="str">
        <f aca="false">IF($B884="","",IF(AND(OR(KARTU!$K$6="",$F884=KARTU!$K$6),OR(KARTU!$K$7="",$G884=KARTU!$K$7),OR(KARTU!$K$8="",$P884=KARTU!$K$8)),MAX($AE$3:AE883)+1,""))</f>
        <v/>
      </c>
    </row>
    <row r="885" customFormat="false" ht="15" hidden="false" customHeight="false" outlineLevel="0" collapsed="false">
      <c r="A885" s="35" t="str">
        <f aca="false">IF($B885="","",COUNTA($B$4:$B885))</f>
        <v/>
      </c>
      <c r="B885" s="36"/>
      <c r="C885" s="37"/>
      <c r="D885" s="37"/>
      <c r="E885" s="38"/>
      <c r="F885" s="36"/>
      <c r="G885" s="39"/>
      <c r="H885" s="39"/>
      <c r="I885" s="36"/>
      <c r="J885" s="36"/>
      <c r="K885" s="36"/>
      <c r="L885" s="36"/>
      <c r="M885" s="40" t="str">
        <f aca="false">IF($F885="","",$F885&amp;IF($G885="",""," - RT "&amp;$G885&amp;IF($H885="","","/"&amp;$H885)))</f>
        <v/>
      </c>
      <c r="N885" s="36"/>
      <c r="O885" s="37"/>
      <c r="P885" s="39"/>
      <c r="Q885" s="41"/>
      <c r="R885" s="35" t="str">
        <f aca="true">IF(OR($B885="",$Q885=""),"",DATEDIF($Q885,TODAY(),"Y"))</f>
        <v/>
      </c>
      <c r="S885" s="40" t="str">
        <f aca="false">IF($R885="","",INDEX(usia_label,MATCH($R885,usia_min,1)))</f>
        <v/>
      </c>
      <c r="T885" s="36"/>
      <c r="U885" s="41"/>
      <c r="V885" s="36"/>
      <c r="W885" s="36"/>
      <c r="X885" s="40" t="str">
        <f aca="false">IF($M885="","",$M885&amp;"#"&amp;COUNTIF($M$4:$M885,$M885))</f>
        <v/>
      </c>
      <c r="Y885" s="40" t="str">
        <f aca="false">IF($B885="","",IF($C885="","NIK kosong",IF(LEN($C885)&lt;&gt;16,"NIK bukan 16 digit",IF(COUNTIF($C$4:$C$2003,$C885&amp;"*")&gt;1,"NIK ganda",IF(AND($D885&lt;&gt;"",LEN($D885)&lt;&gt;16),"No. KK bukan 16 digit",IF(AND($F885="",$I885=""),"Alamat kosong",IF($N885="","Jabatan kosong",IF($O885="","No. HP kosong",IF(AND($R885&lt;&gt;"",$R885&lt;17),"Usia di bawah 17","")))))))))</f>
        <v/>
      </c>
      <c r="Z885" s="40" t="str">
        <f aca="false">IF($B885="","",IF(AND(OR(CARI!$C$5="",ISNUMBER(SEARCH(CARI!$C$5,$B885&amp;" "&amp;$C885&amp;" "&amp;$D885&amp;" "&amp;$O885&amp;" "&amp;$I885&amp;" "&amp;$F885&amp;" "&amp;$J885&amp;" "&amp;$K885&amp;" "&amp;$L885&amp;" "&amp;$V885))),OR(CARI!$C$6="",$F885=CARI!$C$6),OR(CARI!$C$7="",$G885=CARI!$C$7),OR(CARI!$C$8="",$T885=CARI!$C$8)),MAX($Z$3:Z884)+1,""))</f>
        <v/>
      </c>
      <c r="AA885" s="40" t="str">
        <f aca="false">IF($Y885="","",MAX($AA$3:AA884)+1)</f>
        <v/>
      </c>
      <c r="AB885" s="40" t="str">
        <f aca="false">IF($F885="","",$F885&amp;"#"&amp;COUNTIF($F$4:$F885,$F885))</f>
        <v/>
      </c>
      <c r="AC885" s="40" t="str">
        <f aca="false">IF($B885="","",IF(AND(OR(CETAK!$J$10="",$F885=CETAK!$J$10),OR(CETAK!$J$11="",$G885=CETAK!$J$11),OR(CETAK!$J$12="",$P885=CETAK!$J$12),OR(CETAK!$J$13="",$N885=CETAK!$J$13),OR(CETAK!$J$14="",$T885=CETAK!$J$14)),MAX($AC$3:AC884)+1,""))</f>
        <v/>
      </c>
      <c r="AD885" s="40" t="str">
        <f aca="false">IF($B885="","",IF(AND(OR(ABSENSI!$H$10="",$F885=ABSENSI!$H$10),OR(ABSENSI!$H$11="",$G885=ABSENSI!$H$11),OR(ABSENSI!$H$12="",$P885=ABSENSI!$H$12)),MAX($AD$3:AD884)+1,""))</f>
        <v/>
      </c>
      <c r="AE885" s="40" t="str">
        <f aca="false">IF($B885="","",IF(AND(OR(KARTU!$K$6="",$F885=KARTU!$K$6),OR(KARTU!$K$7="",$G885=KARTU!$K$7),OR(KARTU!$K$8="",$P885=KARTU!$K$8)),MAX($AE$3:AE884)+1,""))</f>
        <v/>
      </c>
    </row>
    <row r="886" customFormat="false" ht="15" hidden="false" customHeight="false" outlineLevel="0" collapsed="false">
      <c r="A886" s="35" t="str">
        <f aca="false">IF($B886="","",COUNTA($B$4:$B886))</f>
        <v/>
      </c>
      <c r="B886" s="36"/>
      <c r="C886" s="37"/>
      <c r="D886" s="37"/>
      <c r="E886" s="38"/>
      <c r="F886" s="36"/>
      <c r="G886" s="39"/>
      <c r="H886" s="39"/>
      <c r="I886" s="36"/>
      <c r="J886" s="36"/>
      <c r="K886" s="36"/>
      <c r="L886" s="36"/>
      <c r="M886" s="40" t="str">
        <f aca="false">IF($F886="","",$F886&amp;IF($G886="",""," - RT "&amp;$G886&amp;IF($H886="","","/"&amp;$H886)))</f>
        <v/>
      </c>
      <c r="N886" s="36"/>
      <c r="O886" s="37"/>
      <c r="P886" s="39"/>
      <c r="Q886" s="41"/>
      <c r="R886" s="35" t="str">
        <f aca="true">IF(OR($B886="",$Q886=""),"",DATEDIF($Q886,TODAY(),"Y"))</f>
        <v/>
      </c>
      <c r="S886" s="40" t="str">
        <f aca="false">IF($R886="","",INDEX(usia_label,MATCH($R886,usia_min,1)))</f>
        <v/>
      </c>
      <c r="T886" s="36"/>
      <c r="U886" s="41"/>
      <c r="V886" s="36"/>
      <c r="W886" s="36"/>
      <c r="X886" s="40" t="str">
        <f aca="false">IF($M886="","",$M886&amp;"#"&amp;COUNTIF($M$4:$M886,$M886))</f>
        <v/>
      </c>
      <c r="Y886" s="40" t="str">
        <f aca="false">IF($B886="","",IF($C886="","NIK kosong",IF(LEN($C886)&lt;&gt;16,"NIK bukan 16 digit",IF(COUNTIF($C$4:$C$2003,$C886&amp;"*")&gt;1,"NIK ganda",IF(AND($D886&lt;&gt;"",LEN($D886)&lt;&gt;16),"No. KK bukan 16 digit",IF(AND($F886="",$I886=""),"Alamat kosong",IF($N886="","Jabatan kosong",IF($O886="","No. HP kosong",IF(AND($R886&lt;&gt;"",$R886&lt;17),"Usia di bawah 17","")))))))))</f>
        <v/>
      </c>
      <c r="Z886" s="40" t="str">
        <f aca="false">IF($B886="","",IF(AND(OR(CARI!$C$5="",ISNUMBER(SEARCH(CARI!$C$5,$B886&amp;" "&amp;$C886&amp;" "&amp;$D886&amp;" "&amp;$O886&amp;" "&amp;$I886&amp;" "&amp;$F886&amp;" "&amp;$J886&amp;" "&amp;$K886&amp;" "&amp;$L886&amp;" "&amp;$V886))),OR(CARI!$C$6="",$F886=CARI!$C$6),OR(CARI!$C$7="",$G886=CARI!$C$7),OR(CARI!$C$8="",$T886=CARI!$C$8)),MAX($Z$3:Z885)+1,""))</f>
        <v/>
      </c>
      <c r="AA886" s="40" t="str">
        <f aca="false">IF($Y886="","",MAX($AA$3:AA885)+1)</f>
        <v/>
      </c>
      <c r="AB886" s="40" t="str">
        <f aca="false">IF($F886="","",$F886&amp;"#"&amp;COUNTIF($F$4:$F886,$F886))</f>
        <v/>
      </c>
      <c r="AC886" s="40" t="str">
        <f aca="false">IF($B886="","",IF(AND(OR(CETAK!$J$10="",$F886=CETAK!$J$10),OR(CETAK!$J$11="",$G886=CETAK!$J$11),OR(CETAK!$J$12="",$P886=CETAK!$J$12),OR(CETAK!$J$13="",$N886=CETAK!$J$13),OR(CETAK!$J$14="",$T886=CETAK!$J$14)),MAX($AC$3:AC885)+1,""))</f>
        <v/>
      </c>
      <c r="AD886" s="40" t="str">
        <f aca="false">IF($B886="","",IF(AND(OR(ABSENSI!$H$10="",$F886=ABSENSI!$H$10),OR(ABSENSI!$H$11="",$G886=ABSENSI!$H$11),OR(ABSENSI!$H$12="",$P886=ABSENSI!$H$12)),MAX($AD$3:AD885)+1,""))</f>
        <v/>
      </c>
      <c r="AE886" s="40" t="str">
        <f aca="false">IF($B886="","",IF(AND(OR(KARTU!$K$6="",$F886=KARTU!$K$6),OR(KARTU!$K$7="",$G886=KARTU!$K$7),OR(KARTU!$K$8="",$P886=KARTU!$K$8)),MAX($AE$3:AE885)+1,""))</f>
        <v/>
      </c>
    </row>
    <row r="887" customFormat="false" ht="15" hidden="false" customHeight="false" outlineLevel="0" collapsed="false">
      <c r="A887" s="35" t="str">
        <f aca="false">IF($B887="","",COUNTA($B$4:$B887))</f>
        <v/>
      </c>
      <c r="B887" s="36"/>
      <c r="C887" s="37"/>
      <c r="D887" s="37"/>
      <c r="E887" s="38"/>
      <c r="F887" s="36"/>
      <c r="G887" s="39"/>
      <c r="H887" s="39"/>
      <c r="I887" s="36"/>
      <c r="J887" s="36"/>
      <c r="K887" s="36"/>
      <c r="L887" s="36"/>
      <c r="M887" s="40" t="str">
        <f aca="false">IF($F887="","",$F887&amp;IF($G887="",""," - RT "&amp;$G887&amp;IF($H887="","","/"&amp;$H887)))</f>
        <v/>
      </c>
      <c r="N887" s="36"/>
      <c r="O887" s="37"/>
      <c r="P887" s="39"/>
      <c r="Q887" s="41"/>
      <c r="R887" s="35" t="str">
        <f aca="true">IF(OR($B887="",$Q887=""),"",DATEDIF($Q887,TODAY(),"Y"))</f>
        <v/>
      </c>
      <c r="S887" s="40" t="str">
        <f aca="false">IF($R887="","",INDEX(usia_label,MATCH($R887,usia_min,1)))</f>
        <v/>
      </c>
      <c r="T887" s="36"/>
      <c r="U887" s="41"/>
      <c r="V887" s="36"/>
      <c r="W887" s="36"/>
      <c r="X887" s="40" t="str">
        <f aca="false">IF($M887="","",$M887&amp;"#"&amp;COUNTIF($M$4:$M887,$M887))</f>
        <v/>
      </c>
      <c r="Y887" s="40" t="str">
        <f aca="false">IF($B887="","",IF($C887="","NIK kosong",IF(LEN($C887)&lt;&gt;16,"NIK bukan 16 digit",IF(COUNTIF($C$4:$C$2003,$C887&amp;"*")&gt;1,"NIK ganda",IF(AND($D887&lt;&gt;"",LEN($D887)&lt;&gt;16),"No. KK bukan 16 digit",IF(AND($F887="",$I887=""),"Alamat kosong",IF($N887="","Jabatan kosong",IF($O887="","No. HP kosong",IF(AND($R887&lt;&gt;"",$R887&lt;17),"Usia di bawah 17","")))))))))</f>
        <v/>
      </c>
      <c r="Z887" s="40" t="str">
        <f aca="false">IF($B887="","",IF(AND(OR(CARI!$C$5="",ISNUMBER(SEARCH(CARI!$C$5,$B887&amp;" "&amp;$C887&amp;" "&amp;$D887&amp;" "&amp;$O887&amp;" "&amp;$I887&amp;" "&amp;$F887&amp;" "&amp;$J887&amp;" "&amp;$K887&amp;" "&amp;$L887&amp;" "&amp;$V887))),OR(CARI!$C$6="",$F887=CARI!$C$6),OR(CARI!$C$7="",$G887=CARI!$C$7),OR(CARI!$C$8="",$T887=CARI!$C$8)),MAX($Z$3:Z886)+1,""))</f>
        <v/>
      </c>
      <c r="AA887" s="40" t="str">
        <f aca="false">IF($Y887="","",MAX($AA$3:AA886)+1)</f>
        <v/>
      </c>
      <c r="AB887" s="40" t="str">
        <f aca="false">IF($F887="","",$F887&amp;"#"&amp;COUNTIF($F$4:$F887,$F887))</f>
        <v/>
      </c>
      <c r="AC887" s="40" t="str">
        <f aca="false">IF($B887="","",IF(AND(OR(CETAK!$J$10="",$F887=CETAK!$J$10),OR(CETAK!$J$11="",$G887=CETAK!$J$11),OR(CETAK!$J$12="",$P887=CETAK!$J$12),OR(CETAK!$J$13="",$N887=CETAK!$J$13),OR(CETAK!$J$14="",$T887=CETAK!$J$14)),MAX($AC$3:AC886)+1,""))</f>
        <v/>
      </c>
      <c r="AD887" s="40" t="str">
        <f aca="false">IF($B887="","",IF(AND(OR(ABSENSI!$H$10="",$F887=ABSENSI!$H$10),OR(ABSENSI!$H$11="",$G887=ABSENSI!$H$11),OR(ABSENSI!$H$12="",$P887=ABSENSI!$H$12)),MAX($AD$3:AD886)+1,""))</f>
        <v/>
      </c>
      <c r="AE887" s="40" t="str">
        <f aca="false">IF($B887="","",IF(AND(OR(KARTU!$K$6="",$F887=KARTU!$K$6),OR(KARTU!$K$7="",$G887=KARTU!$K$7),OR(KARTU!$K$8="",$P887=KARTU!$K$8)),MAX($AE$3:AE886)+1,""))</f>
        <v/>
      </c>
    </row>
    <row r="888" customFormat="false" ht="15" hidden="false" customHeight="false" outlineLevel="0" collapsed="false">
      <c r="A888" s="35" t="str">
        <f aca="false">IF($B888="","",COUNTA($B$4:$B888))</f>
        <v/>
      </c>
      <c r="B888" s="36"/>
      <c r="C888" s="37"/>
      <c r="D888" s="37"/>
      <c r="E888" s="38"/>
      <c r="F888" s="36"/>
      <c r="G888" s="39"/>
      <c r="H888" s="39"/>
      <c r="I888" s="36"/>
      <c r="J888" s="36"/>
      <c r="K888" s="36"/>
      <c r="L888" s="36"/>
      <c r="M888" s="40" t="str">
        <f aca="false">IF($F888="","",$F888&amp;IF($G888="",""," - RT "&amp;$G888&amp;IF($H888="","","/"&amp;$H888)))</f>
        <v/>
      </c>
      <c r="N888" s="36"/>
      <c r="O888" s="37"/>
      <c r="P888" s="39"/>
      <c r="Q888" s="41"/>
      <c r="R888" s="35" t="str">
        <f aca="true">IF(OR($B888="",$Q888=""),"",DATEDIF($Q888,TODAY(),"Y"))</f>
        <v/>
      </c>
      <c r="S888" s="40" t="str">
        <f aca="false">IF($R888="","",INDEX(usia_label,MATCH($R888,usia_min,1)))</f>
        <v/>
      </c>
      <c r="T888" s="36"/>
      <c r="U888" s="41"/>
      <c r="V888" s="36"/>
      <c r="W888" s="36"/>
      <c r="X888" s="40" t="str">
        <f aca="false">IF($M888="","",$M888&amp;"#"&amp;COUNTIF($M$4:$M888,$M888))</f>
        <v/>
      </c>
      <c r="Y888" s="40" t="str">
        <f aca="false">IF($B888="","",IF($C888="","NIK kosong",IF(LEN($C888)&lt;&gt;16,"NIK bukan 16 digit",IF(COUNTIF($C$4:$C$2003,$C888&amp;"*")&gt;1,"NIK ganda",IF(AND($D888&lt;&gt;"",LEN($D888)&lt;&gt;16),"No. KK bukan 16 digit",IF(AND($F888="",$I888=""),"Alamat kosong",IF($N888="","Jabatan kosong",IF($O888="","No. HP kosong",IF(AND($R888&lt;&gt;"",$R888&lt;17),"Usia di bawah 17","")))))))))</f>
        <v/>
      </c>
      <c r="Z888" s="40" t="str">
        <f aca="false">IF($B888="","",IF(AND(OR(CARI!$C$5="",ISNUMBER(SEARCH(CARI!$C$5,$B888&amp;" "&amp;$C888&amp;" "&amp;$D888&amp;" "&amp;$O888&amp;" "&amp;$I888&amp;" "&amp;$F888&amp;" "&amp;$J888&amp;" "&amp;$K888&amp;" "&amp;$L888&amp;" "&amp;$V888))),OR(CARI!$C$6="",$F888=CARI!$C$6),OR(CARI!$C$7="",$G888=CARI!$C$7),OR(CARI!$C$8="",$T888=CARI!$C$8)),MAX($Z$3:Z887)+1,""))</f>
        <v/>
      </c>
      <c r="AA888" s="40" t="str">
        <f aca="false">IF($Y888="","",MAX($AA$3:AA887)+1)</f>
        <v/>
      </c>
      <c r="AB888" s="40" t="str">
        <f aca="false">IF($F888="","",$F888&amp;"#"&amp;COUNTIF($F$4:$F888,$F888))</f>
        <v/>
      </c>
      <c r="AC888" s="40" t="str">
        <f aca="false">IF($B888="","",IF(AND(OR(CETAK!$J$10="",$F888=CETAK!$J$10),OR(CETAK!$J$11="",$G888=CETAK!$J$11),OR(CETAK!$J$12="",$P888=CETAK!$J$12),OR(CETAK!$J$13="",$N888=CETAK!$J$13),OR(CETAK!$J$14="",$T888=CETAK!$J$14)),MAX($AC$3:AC887)+1,""))</f>
        <v/>
      </c>
      <c r="AD888" s="40" t="str">
        <f aca="false">IF($B888="","",IF(AND(OR(ABSENSI!$H$10="",$F888=ABSENSI!$H$10),OR(ABSENSI!$H$11="",$G888=ABSENSI!$H$11),OR(ABSENSI!$H$12="",$P888=ABSENSI!$H$12)),MAX($AD$3:AD887)+1,""))</f>
        <v/>
      </c>
      <c r="AE888" s="40" t="str">
        <f aca="false">IF($B888="","",IF(AND(OR(KARTU!$K$6="",$F888=KARTU!$K$6),OR(KARTU!$K$7="",$G888=KARTU!$K$7),OR(KARTU!$K$8="",$P888=KARTU!$K$8)),MAX($AE$3:AE887)+1,""))</f>
        <v/>
      </c>
    </row>
    <row r="889" customFormat="false" ht="15" hidden="false" customHeight="false" outlineLevel="0" collapsed="false">
      <c r="A889" s="35" t="str">
        <f aca="false">IF($B889="","",COUNTA($B$4:$B889))</f>
        <v/>
      </c>
      <c r="B889" s="36"/>
      <c r="C889" s="37"/>
      <c r="D889" s="37"/>
      <c r="E889" s="38"/>
      <c r="F889" s="36"/>
      <c r="G889" s="39"/>
      <c r="H889" s="39"/>
      <c r="I889" s="36"/>
      <c r="J889" s="36"/>
      <c r="K889" s="36"/>
      <c r="L889" s="36"/>
      <c r="M889" s="40" t="str">
        <f aca="false">IF($F889="","",$F889&amp;IF($G889="",""," - RT "&amp;$G889&amp;IF($H889="","","/"&amp;$H889)))</f>
        <v/>
      </c>
      <c r="N889" s="36"/>
      <c r="O889" s="37"/>
      <c r="P889" s="39"/>
      <c r="Q889" s="41"/>
      <c r="R889" s="35" t="str">
        <f aca="true">IF(OR($B889="",$Q889=""),"",DATEDIF($Q889,TODAY(),"Y"))</f>
        <v/>
      </c>
      <c r="S889" s="40" t="str">
        <f aca="false">IF($R889="","",INDEX(usia_label,MATCH($R889,usia_min,1)))</f>
        <v/>
      </c>
      <c r="T889" s="36"/>
      <c r="U889" s="41"/>
      <c r="V889" s="36"/>
      <c r="W889" s="36"/>
      <c r="X889" s="40" t="str">
        <f aca="false">IF($M889="","",$M889&amp;"#"&amp;COUNTIF($M$4:$M889,$M889))</f>
        <v/>
      </c>
      <c r="Y889" s="40" t="str">
        <f aca="false">IF($B889="","",IF($C889="","NIK kosong",IF(LEN($C889)&lt;&gt;16,"NIK bukan 16 digit",IF(COUNTIF($C$4:$C$2003,$C889&amp;"*")&gt;1,"NIK ganda",IF(AND($D889&lt;&gt;"",LEN($D889)&lt;&gt;16),"No. KK bukan 16 digit",IF(AND($F889="",$I889=""),"Alamat kosong",IF($N889="","Jabatan kosong",IF($O889="","No. HP kosong",IF(AND($R889&lt;&gt;"",$R889&lt;17),"Usia di bawah 17","")))))))))</f>
        <v/>
      </c>
      <c r="Z889" s="40" t="str">
        <f aca="false">IF($B889="","",IF(AND(OR(CARI!$C$5="",ISNUMBER(SEARCH(CARI!$C$5,$B889&amp;" "&amp;$C889&amp;" "&amp;$D889&amp;" "&amp;$O889&amp;" "&amp;$I889&amp;" "&amp;$F889&amp;" "&amp;$J889&amp;" "&amp;$K889&amp;" "&amp;$L889&amp;" "&amp;$V889))),OR(CARI!$C$6="",$F889=CARI!$C$6),OR(CARI!$C$7="",$G889=CARI!$C$7),OR(CARI!$C$8="",$T889=CARI!$C$8)),MAX($Z$3:Z888)+1,""))</f>
        <v/>
      </c>
      <c r="AA889" s="40" t="str">
        <f aca="false">IF($Y889="","",MAX($AA$3:AA888)+1)</f>
        <v/>
      </c>
      <c r="AB889" s="40" t="str">
        <f aca="false">IF($F889="","",$F889&amp;"#"&amp;COUNTIF($F$4:$F889,$F889))</f>
        <v/>
      </c>
      <c r="AC889" s="40" t="str">
        <f aca="false">IF($B889="","",IF(AND(OR(CETAK!$J$10="",$F889=CETAK!$J$10),OR(CETAK!$J$11="",$G889=CETAK!$J$11),OR(CETAK!$J$12="",$P889=CETAK!$J$12),OR(CETAK!$J$13="",$N889=CETAK!$J$13),OR(CETAK!$J$14="",$T889=CETAK!$J$14)),MAX($AC$3:AC888)+1,""))</f>
        <v/>
      </c>
      <c r="AD889" s="40" t="str">
        <f aca="false">IF($B889="","",IF(AND(OR(ABSENSI!$H$10="",$F889=ABSENSI!$H$10),OR(ABSENSI!$H$11="",$G889=ABSENSI!$H$11),OR(ABSENSI!$H$12="",$P889=ABSENSI!$H$12)),MAX($AD$3:AD888)+1,""))</f>
        <v/>
      </c>
      <c r="AE889" s="40" t="str">
        <f aca="false">IF($B889="","",IF(AND(OR(KARTU!$K$6="",$F889=KARTU!$K$6),OR(KARTU!$K$7="",$G889=KARTU!$K$7),OR(KARTU!$K$8="",$P889=KARTU!$K$8)),MAX($AE$3:AE888)+1,""))</f>
        <v/>
      </c>
    </row>
    <row r="890" customFormat="false" ht="15" hidden="false" customHeight="false" outlineLevel="0" collapsed="false">
      <c r="A890" s="35" t="str">
        <f aca="false">IF($B890="","",COUNTA($B$4:$B890))</f>
        <v/>
      </c>
      <c r="B890" s="36"/>
      <c r="C890" s="37"/>
      <c r="D890" s="37"/>
      <c r="E890" s="38"/>
      <c r="F890" s="36"/>
      <c r="G890" s="39"/>
      <c r="H890" s="39"/>
      <c r="I890" s="36"/>
      <c r="J890" s="36"/>
      <c r="K890" s="36"/>
      <c r="L890" s="36"/>
      <c r="M890" s="40" t="str">
        <f aca="false">IF($F890="","",$F890&amp;IF($G890="",""," - RT "&amp;$G890&amp;IF($H890="","","/"&amp;$H890)))</f>
        <v/>
      </c>
      <c r="N890" s="36"/>
      <c r="O890" s="37"/>
      <c r="P890" s="39"/>
      <c r="Q890" s="41"/>
      <c r="R890" s="35" t="str">
        <f aca="true">IF(OR($B890="",$Q890=""),"",DATEDIF($Q890,TODAY(),"Y"))</f>
        <v/>
      </c>
      <c r="S890" s="40" t="str">
        <f aca="false">IF($R890="","",INDEX(usia_label,MATCH($R890,usia_min,1)))</f>
        <v/>
      </c>
      <c r="T890" s="36"/>
      <c r="U890" s="41"/>
      <c r="V890" s="36"/>
      <c r="W890" s="36"/>
      <c r="X890" s="40" t="str">
        <f aca="false">IF($M890="","",$M890&amp;"#"&amp;COUNTIF($M$4:$M890,$M890))</f>
        <v/>
      </c>
      <c r="Y890" s="40" t="str">
        <f aca="false">IF($B890="","",IF($C890="","NIK kosong",IF(LEN($C890)&lt;&gt;16,"NIK bukan 16 digit",IF(COUNTIF($C$4:$C$2003,$C890&amp;"*")&gt;1,"NIK ganda",IF(AND($D890&lt;&gt;"",LEN($D890)&lt;&gt;16),"No. KK bukan 16 digit",IF(AND($F890="",$I890=""),"Alamat kosong",IF($N890="","Jabatan kosong",IF($O890="","No. HP kosong",IF(AND($R890&lt;&gt;"",$R890&lt;17),"Usia di bawah 17","")))))))))</f>
        <v/>
      </c>
      <c r="Z890" s="40" t="str">
        <f aca="false">IF($B890="","",IF(AND(OR(CARI!$C$5="",ISNUMBER(SEARCH(CARI!$C$5,$B890&amp;" "&amp;$C890&amp;" "&amp;$D890&amp;" "&amp;$O890&amp;" "&amp;$I890&amp;" "&amp;$F890&amp;" "&amp;$J890&amp;" "&amp;$K890&amp;" "&amp;$L890&amp;" "&amp;$V890))),OR(CARI!$C$6="",$F890=CARI!$C$6),OR(CARI!$C$7="",$G890=CARI!$C$7),OR(CARI!$C$8="",$T890=CARI!$C$8)),MAX($Z$3:Z889)+1,""))</f>
        <v/>
      </c>
      <c r="AA890" s="40" t="str">
        <f aca="false">IF($Y890="","",MAX($AA$3:AA889)+1)</f>
        <v/>
      </c>
      <c r="AB890" s="40" t="str">
        <f aca="false">IF($F890="","",$F890&amp;"#"&amp;COUNTIF($F$4:$F890,$F890))</f>
        <v/>
      </c>
      <c r="AC890" s="40" t="str">
        <f aca="false">IF($B890="","",IF(AND(OR(CETAK!$J$10="",$F890=CETAK!$J$10),OR(CETAK!$J$11="",$G890=CETAK!$J$11),OR(CETAK!$J$12="",$P890=CETAK!$J$12),OR(CETAK!$J$13="",$N890=CETAK!$J$13),OR(CETAK!$J$14="",$T890=CETAK!$J$14)),MAX($AC$3:AC889)+1,""))</f>
        <v/>
      </c>
      <c r="AD890" s="40" t="str">
        <f aca="false">IF($B890="","",IF(AND(OR(ABSENSI!$H$10="",$F890=ABSENSI!$H$10),OR(ABSENSI!$H$11="",$G890=ABSENSI!$H$11),OR(ABSENSI!$H$12="",$P890=ABSENSI!$H$12)),MAX($AD$3:AD889)+1,""))</f>
        <v/>
      </c>
      <c r="AE890" s="40" t="str">
        <f aca="false">IF($B890="","",IF(AND(OR(KARTU!$K$6="",$F890=KARTU!$K$6),OR(KARTU!$K$7="",$G890=KARTU!$K$7),OR(KARTU!$K$8="",$P890=KARTU!$K$8)),MAX($AE$3:AE889)+1,""))</f>
        <v/>
      </c>
    </row>
    <row r="891" customFormat="false" ht="15" hidden="false" customHeight="false" outlineLevel="0" collapsed="false">
      <c r="A891" s="35" t="str">
        <f aca="false">IF($B891="","",COUNTA($B$4:$B891))</f>
        <v/>
      </c>
      <c r="B891" s="36"/>
      <c r="C891" s="37"/>
      <c r="D891" s="37"/>
      <c r="E891" s="38"/>
      <c r="F891" s="36"/>
      <c r="G891" s="39"/>
      <c r="H891" s="39"/>
      <c r="I891" s="36"/>
      <c r="J891" s="36"/>
      <c r="K891" s="36"/>
      <c r="L891" s="36"/>
      <c r="M891" s="40" t="str">
        <f aca="false">IF($F891="","",$F891&amp;IF($G891="",""," - RT "&amp;$G891&amp;IF($H891="","","/"&amp;$H891)))</f>
        <v/>
      </c>
      <c r="N891" s="36"/>
      <c r="O891" s="37"/>
      <c r="P891" s="39"/>
      <c r="Q891" s="41"/>
      <c r="R891" s="35" t="str">
        <f aca="true">IF(OR($B891="",$Q891=""),"",DATEDIF($Q891,TODAY(),"Y"))</f>
        <v/>
      </c>
      <c r="S891" s="40" t="str">
        <f aca="false">IF($R891="","",INDEX(usia_label,MATCH($R891,usia_min,1)))</f>
        <v/>
      </c>
      <c r="T891" s="36"/>
      <c r="U891" s="41"/>
      <c r="V891" s="36"/>
      <c r="W891" s="36"/>
      <c r="X891" s="40" t="str">
        <f aca="false">IF($M891="","",$M891&amp;"#"&amp;COUNTIF($M$4:$M891,$M891))</f>
        <v/>
      </c>
      <c r="Y891" s="40" t="str">
        <f aca="false">IF($B891="","",IF($C891="","NIK kosong",IF(LEN($C891)&lt;&gt;16,"NIK bukan 16 digit",IF(COUNTIF($C$4:$C$2003,$C891&amp;"*")&gt;1,"NIK ganda",IF(AND($D891&lt;&gt;"",LEN($D891)&lt;&gt;16),"No. KK bukan 16 digit",IF(AND($F891="",$I891=""),"Alamat kosong",IF($N891="","Jabatan kosong",IF($O891="","No. HP kosong",IF(AND($R891&lt;&gt;"",$R891&lt;17),"Usia di bawah 17","")))))))))</f>
        <v/>
      </c>
      <c r="Z891" s="40" t="str">
        <f aca="false">IF($B891="","",IF(AND(OR(CARI!$C$5="",ISNUMBER(SEARCH(CARI!$C$5,$B891&amp;" "&amp;$C891&amp;" "&amp;$D891&amp;" "&amp;$O891&amp;" "&amp;$I891&amp;" "&amp;$F891&amp;" "&amp;$J891&amp;" "&amp;$K891&amp;" "&amp;$L891&amp;" "&amp;$V891))),OR(CARI!$C$6="",$F891=CARI!$C$6),OR(CARI!$C$7="",$G891=CARI!$C$7),OR(CARI!$C$8="",$T891=CARI!$C$8)),MAX($Z$3:Z890)+1,""))</f>
        <v/>
      </c>
      <c r="AA891" s="40" t="str">
        <f aca="false">IF($Y891="","",MAX($AA$3:AA890)+1)</f>
        <v/>
      </c>
      <c r="AB891" s="40" t="str">
        <f aca="false">IF($F891="","",$F891&amp;"#"&amp;COUNTIF($F$4:$F891,$F891))</f>
        <v/>
      </c>
      <c r="AC891" s="40" t="str">
        <f aca="false">IF($B891="","",IF(AND(OR(CETAK!$J$10="",$F891=CETAK!$J$10),OR(CETAK!$J$11="",$G891=CETAK!$J$11),OR(CETAK!$J$12="",$P891=CETAK!$J$12),OR(CETAK!$J$13="",$N891=CETAK!$J$13),OR(CETAK!$J$14="",$T891=CETAK!$J$14)),MAX($AC$3:AC890)+1,""))</f>
        <v/>
      </c>
      <c r="AD891" s="40" t="str">
        <f aca="false">IF($B891="","",IF(AND(OR(ABSENSI!$H$10="",$F891=ABSENSI!$H$10),OR(ABSENSI!$H$11="",$G891=ABSENSI!$H$11),OR(ABSENSI!$H$12="",$P891=ABSENSI!$H$12)),MAX($AD$3:AD890)+1,""))</f>
        <v/>
      </c>
      <c r="AE891" s="40" t="str">
        <f aca="false">IF($B891="","",IF(AND(OR(KARTU!$K$6="",$F891=KARTU!$K$6),OR(KARTU!$K$7="",$G891=KARTU!$K$7),OR(KARTU!$K$8="",$P891=KARTU!$K$8)),MAX($AE$3:AE890)+1,""))</f>
        <v/>
      </c>
    </row>
    <row r="892" customFormat="false" ht="15" hidden="false" customHeight="false" outlineLevel="0" collapsed="false">
      <c r="A892" s="35" t="str">
        <f aca="false">IF($B892="","",COUNTA($B$4:$B892))</f>
        <v/>
      </c>
      <c r="B892" s="36"/>
      <c r="C892" s="37"/>
      <c r="D892" s="37"/>
      <c r="E892" s="38"/>
      <c r="F892" s="36"/>
      <c r="G892" s="39"/>
      <c r="H892" s="39"/>
      <c r="I892" s="36"/>
      <c r="J892" s="36"/>
      <c r="K892" s="36"/>
      <c r="L892" s="36"/>
      <c r="M892" s="40" t="str">
        <f aca="false">IF($F892="","",$F892&amp;IF($G892="",""," - RT "&amp;$G892&amp;IF($H892="","","/"&amp;$H892)))</f>
        <v/>
      </c>
      <c r="N892" s="36"/>
      <c r="O892" s="37"/>
      <c r="P892" s="39"/>
      <c r="Q892" s="41"/>
      <c r="R892" s="35" t="str">
        <f aca="true">IF(OR($B892="",$Q892=""),"",DATEDIF($Q892,TODAY(),"Y"))</f>
        <v/>
      </c>
      <c r="S892" s="40" t="str">
        <f aca="false">IF($R892="","",INDEX(usia_label,MATCH($R892,usia_min,1)))</f>
        <v/>
      </c>
      <c r="T892" s="36"/>
      <c r="U892" s="41"/>
      <c r="V892" s="36"/>
      <c r="W892" s="36"/>
      <c r="X892" s="40" t="str">
        <f aca="false">IF($M892="","",$M892&amp;"#"&amp;COUNTIF($M$4:$M892,$M892))</f>
        <v/>
      </c>
      <c r="Y892" s="40" t="str">
        <f aca="false">IF($B892="","",IF($C892="","NIK kosong",IF(LEN($C892)&lt;&gt;16,"NIK bukan 16 digit",IF(COUNTIF($C$4:$C$2003,$C892&amp;"*")&gt;1,"NIK ganda",IF(AND($D892&lt;&gt;"",LEN($D892)&lt;&gt;16),"No. KK bukan 16 digit",IF(AND($F892="",$I892=""),"Alamat kosong",IF($N892="","Jabatan kosong",IF($O892="","No. HP kosong",IF(AND($R892&lt;&gt;"",$R892&lt;17),"Usia di bawah 17","")))))))))</f>
        <v/>
      </c>
      <c r="Z892" s="40" t="str">
        <f aca="false">IF($B892="","",IF(AND(OR(CARI!$C$5="",ISNUMBER(SEARCH(CARI!$C$5,$B892&amp;" "&amp;$C892&amp;" "&amp;$D892&amp;" "&amp;$O892&amp;" "&amp;$I892&amp;" "&amp;$F892&amp;" "&amp;$J892&amp;" "&amp;$K892&amp;" "&amp;$L892&amp;" "&amp;$V892))),OR(CARI!$C$6="",$F892=CARI!$C$6),OR(CARI!$C$7="",$G892=CARI!$C$7),OR(CARI!$C$8="",$T892=CARI!$C$8)),MAX($Z$3:Z891)+1,""))</f>
        <v/>
      </c>
      <c r="AA892" s="40" t="str">
        <f aca="false">IF($Y892="","",MAX($AA$3:AA891)+1)</f>
        <v/>
      </c>
      <c r="AB892" s="40" t="str">
        <f aca="false">IF($F892="","",$F892&amp;"#"&amp;COUNTIF($F$4:$F892,$F892))</f>
        <v/>
      </c>
      <c r="AC892" s="40" t="str">
        <f aca="false">IF($B892="","",IF(AND(OR(CETAK!$J$10="",$F892=CETAK!$J$10),OR(CETAK!$J$11="",$G892=CETAK!$J$11),OR(CETAK!$J$12="",$P892=CETAK!$J$12),OR(CETAK!$J$13="",$N892=CETAK!$J$13),OR(CETAK!$J$14="",$T892=CETAK!$J$14)),MAX($AC$3:AC891)+1,""))</f>
        <v/>
      </c>
      <c r="AD892" s="40" t="str">
        <f aca="false">IF($B892="","",IF(AND(OR(ABSENSI!$H$10="",$F892=ABSENSI!$H$10),OR(ABSENSI!$H$11="",$G892=ABSENSI!$H$11),OR(ABSENSI!$H$12="",$P892=ABSENSI!$H$12)),MAX($AD$3:AD891)+1,""))</f>
        <v/>
      </c>
      <c r="AE892" s="40" t="str">
        <f aca="false">IF($B892="","",IF(AND(OR(KARTU!$K$6="",$F892=KARTU!$K$6),OR(KARTU!$K$7="",$G892=KARTU!$K$7),OR(KARTU!$K$8="",$P892=KARTU!$K$8)),MAX($AE$3:AE891)+1,""))</f>
        <v/>
      </c>
    </row>
    <row r="893" customFormat="false" ht="15" hidden="false" customHeight="false" outlineLevel="0" collapsed="false">
      <c r="A893" s="35" t="str">
        <f aca="false">IF($B893="","",COUNTA($B$4:$B893))</f>
        <v/>
      </c>
      <c r="B893" s="36"/>
      <c r="C893" s="37"/>
      <c r="D893" s="37"/>
      <c r="E893" s="38"/>
      <c r="F893" s="36"/>
      <c r="G893" s="39"/>
      <c r="H893" s="39"/>
      <c r="I893" s="36"/>
      <c r="J893" s="36"/>
      <c r="K893" s="36"/>
      <c r="L893" s="36"/>
      <c r="M893" s="40" t="str">
        <f aca="false">IF($F893="","",$F893&amp;IF($G893="",""," - RT "&amp;$G893&amp;IF($H893="","","/"&amp;$H893)))</f>
        <v/>
      </c>
      <c r="N893" s="36"/>
      <c r="O893" s="37"/>
      <c r="P893" s="39"/>
      <c r="Q893" s="41"/>
      <c r="R893" s="35" t="str">
        <f aca="true">IF(OR($B893="",$Q893=""),"",DATEDIF($Q893,TODAY(),"Y"))</f>
        <v/>
      </c>
      <c r="S893" s="40" t="str">
        <f aca="false">IF($R893="","",INDEX(usia_label,MATCH($R893,usia_min,1)))</f>
        <v/>
      </c>
      <c r="T893" s="36"/>
      <c r="U893" s="41"/>
      <c r="V893" s="36"/>
      <c r="W893" s="36"/>
      <c r="X893" s="40" t="str">
        <f aca="false">IF($M893="","",$M893&amp;"#"&amp;COUNTIF($M$4:$M893,$M893))</f>
        <v/>
      </c>
      <c r="Y893" s="40" t="str">
        <f aca="false">IF($B893="","",IF($C893="","NIK kosong",IF(LEN($C893)&lt;&gt;16,"NIK bukan 16 digit",IF(COUNTIF($C$4:$C$2003,$C893&amp;"*")&gt;1,"NIK ganda",IF(AND($D893&lt;&gt;"",LEN($D893)&lt;&gt;16),"No. KK bukan 16 digit",IF(AND($F893="",$I893=""),"Alamat kosong",IF($N893="","Jabatan kosong",IF($O893="","No. HP kosong",IF(AND($R893&lt;&gt;"",$R893&lt;17),"Usia di bawah 17","")))))))))</f>
        <v/>
      </c>
      <c r="Z893" s="40" t="str">
        <f aca="false">IF($B893="","",IF(AND(OR(CARI!$C$5="",ISNUMBER(SEARCH(CARI!$C$5,$B893&amp;" "&amp;$C893&amp;" "&amp;$D893&amp;" "&amp;$O893&amp;" "&amp;$I893&amp;" "&amp;$F893&amp;" "&amp;$J893&amp;" "&amp;$K893&amp;" "&amp;$L893&amp;" "&amp;$V893))),OR(CARI!$C$6="",$F893=CARI!$C$6),OR(CARI!$C$7="",$G893=CARI!$C$7),OR(CARI!$C$8="",$T893=CARI!$C$8)),MAX($Z$3:Z892)+1,""))</f>
        <v/>
      </c>
      <c r="AA893" s="40" t="str">
        <f aca="false">IF($Y893="","",MAX($AA$3:AA892)+1)</f>
        <v/>
      </c>
      <c r="AB893" s="40" t="str">
        <f aca="false">IF($F893="","",$F893&amp;"#"&amp;COUNTIF($F$4:$F893,$F893))</f>
        <v/>
      </c>
      <c r="AC893" s="40" t="str">
        <f aca="false">IF($B893="","",IF(AND(OR(CETAK!$J$10="",$F893=CETAK!$J$10),OR(CETAK!$J$11="",$G893=CETAK!$J$11),OR(CETAK!$J$12="",$P893=CETAK!$J$12),OR(CETAK!$J$13="",$N893=CETAK!$J$13),OR(CETAK!$J$14="",$T893=CETAK!$J$14)),MAX($AC$3:AC892)+1,""))</f>
        <v/>
      </c>
      <c r="AD893" s="40" t="str">
        <f aca="false">IF($B893="","",IF(AND(OR(ABSENSI!$H$10="",$F893=ABSENSI!$H$10),OR(ABSENSI!$H$11="",$G893=ABSENSI!$H$11),OR(ABSENSI!$H$12="",$P893=ABSENSI!$H$12)),MAX($AD$3:AD892)+1,""))</f>
        <v/>
      </c>
      <c r="AE893" s="40" t="str">
        <f aca="false">IF($B893="","",IF(AND(OR(KARTU!$K$6="",$F893=KARTU!$K$6),OR(KARTU!$K$7="",$G893=KARTU!$K$7),OR(KARTU!$K$8="",$P893=KARTU!$K$8)),MAX($AE$3:AE892)+1,""))</f>
        <v/>
      </c>
    </row>
    <row r="894" customFormat="false" ht="15" hidden="false" customHeight="false" outlineLevel="0" collapsed="false">
      <c r="A894" s="35" t="str">
        <f aca="false">IF($B894="","",COUNTA($B$4:$B894))</f>
        <v/>
      </c>
      <c r="B894" s="36"/>
      <c r="C894" s="37"/>
      <c r="D894" s="37"/>
      <c r="E894" s="38"/>
      <c r="F894" s="36"/>
      <c r="G894" s="39"/>
      <c r="H894" s="39"/>
      <c r="I894" s="36"/>
      <c r="J894" s="36"/>
      <c r="K894" s="36"/>
      <c r="L894" s="36"/>
      <c r="M894" s="40" t="str">
        <f aca="false">IF($F894="","",$F894&amp;IF($G894="",""," - RT "&amp;$G894&amp;IF($H894="","","/"&amp;$H894)))</f>
        <v/>
      </c>
      <c r="N894" s="36"/>
      <c r="O894" s="37"/>
      <c r="P894" s="39"/>
      <c r="Q894" s="41"/>
      <c r="R894" s="35" t="str">
        <f aca="true">IF(OR($B894="",$Q894=""),"",DATEDIF($Q894,TODAY(),"Y"))</f>
        <v/>
      </c>
      <c r="S894" s="40" t="str">
        <f aca="false">IF($R894="","",INDEX(usia_label,MATCH($R894,usia_min,1)))</f>
        <v/>
      </c>
      <c r="T894" s="36"/>
      <c r="U894" s="41"/>
      <c r="V894" s="36"/>
      <c r="W894" s="36"/>
      <c r="X894" s="40" t="str">
        <f aca="false">IF($M894="","",$M894&amp;"#"&amp;COUNTIF($M$4:$M894,$M894))</f>
        <v/>
      </c>
      <c r="Y894" s="40" t="str">
        <f aca="false">IF($B894="","",IF($C894="","NIK kosong",IF(LEN($C894)&lt;&gt;16,"NIK bukan 16 digit",IF(COUNTIF($C$4:$C$2003,$C894&amp;"*")&gt;1,"NIK ganda",IF(AND($D894&lt;&gt;"",LEN($D894)&lt;&gt;16),"No. KK bukan 16 digit",IF(AND($F894="",$I894=""),"Alamat kosong",IF($N894="","Jabatan kosong",IF($O894="","No. HP kosong",IF(AND($R894&lt;&gt;"",$R894&lt;17),"Usia di bawah 17","")))))))))</f>
        <v/>
      </c>
      <c r="Z894" s="40" t="str">
        <f aca="false">IF($B894="","",IF(AND(OR(CARI!$C$5="",ISNUMBER(SEARCH(CARI!$C$5,$B894&amp;" "&amp;$C894&amp;" "&amp;$D894&amp;" "&amp;$O894&amp;" "&amp;$I894&amp;" "&amp;$F894&amp;" "&amp;$J894&amp;" "&amp;$K894&amp;" "&amp;$L894&amp;" "&amp;$V894))),OR(CARI!$C$6="",$F894=CARI!$C$6),OR(CARI!$C$7="",$G894=CARI!$C$7),OR(CARI!$C$8="",$T894=CARI!$C$8)),MAX($Z$3:Z893)+1,""))</f>
        <v/>
      </c>
      <c r="AA894" s="40" t="str">
        <f aca="false">IF($Y894="","",MAX($AA$3:AA893)+1)</f>
        <v/>
      </c>
      <c r="AB894" s="40" t="str">
        <f aca="false">IF($F894="","",$F894&amp;"#"&amp;COUNTIF($F$4:$F894,$F894))</f>
        <v/>
      </c>
      <c r="AC894" s="40" t="str">
        <f aca="false">IF($B894="","",IF(AND(OR(CETAK!$J$10="",$F894=CETAK!$J$10),OR(CETAK!$J$11="",$G894=CETAK!$J$11),OR(CETAK!$J$12="",$P894=CETAK!$J$12),OR(CETAK!$J$13="",$N894=CETAK!$J$13),OR(CETAK!$J$14="",$T894=CETAK!$J$14)),MAX($AC$3:AC893)+1,""))</f>
        <v/>
      </c>
      <c r="AD894" s="40" t="str">
        <f aca="false">IF($B894="","",IF(AND(OR(ABSENSI!$H$10="",$F894=ABSENSI!$H$10),OR(ABSENSI!$H$11="",$G894=ABSENSI!$H$11),OR(ABSENSI!$H$12="",$P894=ABSENSI!$H$12)),MAX($AD$3:AD893)+1,""))</f>
        <v/>
      </c>
      <c r="AE894" s="40" t="str">
        <f aca="false">IF($B894="","",IF(AND(OR(KARTU!$K$6="",$F894=KARTU!$K$6),OR(KARTU!$K$7="",$G894=KARTU!$K$7),OR(KARTU!$K$8="",$P894=KARTU!$K$8)),MAX($AE$3:AE893)+1,""))</f>
        <v/>
      </c>
    </row>
    <row r="895" customFormat="false" ht="15" hidden="false" customHeight="false" outlineLevel="0" collapsed="false">
      <c r="A895" s="35" t="str">
        <f aca="false">IF($B895="","",COUNTA($B$4:$B895))</f>
        <v/>
      </c>
      <c r="B895" s="36"/>
      <c r="C895" s="37"/>
      <c r="D895" s="37"/>
      <c r="E895" s="38"/>
      <c r="F895" s="36"/>
      <c r="G895" s="39"/>
      <c r="H895" s="39"/>
      <c r="I895" s="36"/>
      <c r="J895" s="36"/>
      <c r="K895" s="36"/>
      <c r="L895" s="36"/>
      <c r="M895" s="40" t="str">
        <f aca="false">IF($F895="","",$F895&amp;IF($G895="",""," - RT "&amp;$G895&amp;IF($H895="","","/"&amp;$H895)))</f>
        <v/>
      </c>
      <c r="N895" s="36"/>
      <c r="O895" s="37"/>
      <c r="P895" s="39"/>
      <c r="Q895" s="41"/>
      <c r="R895" s="35" t="str">
        <f aca="true">IF(OR($B895="",$Q895=""),"",DATEDIF($Q895,TODAY(),"Y"))</f>
        <v/>
      </c>
      <c r="S895" s="40" t="str">
        <f aca="false">IF($R895="","",INDEX(usia_label,MATCH($R895,usia_min,1)))</f>
        <v/>
      </c>
      <c r="T895" s="36"/>
      <c r="U895" s="41"/>
      <c r="V895" s="36"/>
      <c r="W895" s="36"/>
      <c r="X895" s="40" t="str">
        <f aca="false">IF($M895="","",$M895&amp;"#"&amp;COUNTIF($M$4:$M895,$M895))</f>
        <v/>
      </c>
      <c r="Y895" s="40" t="str">
        <f aca="false">IF($B895="","",IF($C895="","NIK kosong",IF(LEN($C895)&lt;&gt;16,"NIK bukan 16 digit",IF(COUNTIF($C$4:$C$2003,$C895&amp;"*")&gt;1,"NIK ganda",IF(AND($D895&lt;&gt;"",LEN($D895)&lt;&gt;16),"No. KK bukan 16 digit",IF(AND($F895="",$I895=""),"Alamat kosong",IF($N895="","Jabatan kosong",IF($O895="","No. HP kosong",IF(AND($R895&lt;&gt;"",$R895&lt;17),"Usia di bawah 17","")))))))))</f>
        <v/>
      </c>
      <c r="Z895" s="40" t="str">
        <f aca="false">IF($B895="","",IF(AND(OR(CARI!$C$5="",ISNUMBER(SEARCH(CARI!$C$5,$B895&amp;" "&amp;$C895&amp;" "&amp;$D895&amp;" "&amp;$O895&amp;" "&amp;$I895&amp;" "&amp;$F895&amp;" "&amp;$J895&amp;" "&amp;$K895&amp;" "&amp;$L895&amp;" "&amp;$V895))),OR(CARI!$C$6="",$F895=CARI!$C$6),OR(CARI!$C$7="",$G895=CARI!$C$7),OR(CARI!$C$8="",$T895=CARI!$C$8)),MAX($Z$3:Z894)+1,""))</f>
        <v/>
      </c>
      <c r="AA895" s="40" t="str">
        <f aca="false">IF($Y895="","",MAX($AA$3:AA894)+1)</f>
        <v/>
      </c>
      <c r="AB895" s="40" t="str">
        <f aca="false">IF($F895="","",$F895&amp;"#"&amp;COUNTIF($F$4:$F895,$F895))</f>
        <v/>
      </c>
      <c r="AC895" s="40" t="str">
        <f aca="false">IF($B895="","",IF(AND(OR(CETAK!$J$10="",$F895=CETAK!$J$10),OR(CETAK!$J$11="",$G895=CETAK!$J$11),OR(CETAK!$J$12="",$P895=CETAK!$J$12),OR(CETAK!$J$13="",$N895=CETAK!$J$13),OR(CETAK!$J$14="",$T895=CETAK!$J$14)),MAX($AC$3:AC894)+1,""))</f>
        <v/>
      </c>
      <c r="AD895" s="40" t="str">
        <f aca="false">IF($B895="","",IF(AND(OR(ABSENSI!$H$10="",$F895=ABSENSI!$H$10),OR(ABSENSI!$H$11="",$G895=ABSENSI!$H$11),OR(ABSENSI!$H$12="",$P895=ABSENSI!$H$12)),MAX($AD$3:AD894)+1,""))</f>
        <v/>
      </c>
      <c r="AE895" s="40" t="str">
        <f aca="false">IF($B895="","",IF(AND(OR(KARTU!$K$6="",$F895=KARTU!$K$6),OR(KARTU!$K$7="",$G895=KARTU!$K$7),OR(KARTU!$K$8="",$P895=KARTU!$K$8)),MAX($AE$3:AE894)+1,""))</f>
        <v/>
      </c>
    </row>
    <row r="896" customFormat="false" ht="15" hidden="false" customHeight="false" outlineLevel="0" collapsed="false">
      <c r="A896" s="35" t="str">
        <f aca="false">IF($B896="","",COUNTA($B$4:$B896))</f>
        <v/>
      </c>
      <c r="B896" s="36"/>
      <c r="C896" s="37"/>
      <c r="D896" s="37"/>
      <c r="E896" s="38"/>
      <c r="F896" s="36"/>
      <c r="G896" s="39"/>
      <c r="H896" s="39"/>
      <c r="I896" s="36"/>
      <c r="J896" s="36"/>
      <c r="K896" s="36"/>
      <c r="L896" s="36"/>
      <c r="M896" s="40" t="str">
        <f aca="false">IF($F896="","",$F896&amp;IF($G896="",""," - RT "&amp;$G896&amp;IF($H896="","","/"&amp;$H896)))</f>
        <v/>
      </c>
      <c r="N896" s="36"/>
      <c r="O896" s="37"/>
      <c r="P896" s="39"/>
      <c r="Q896" s="41"/>
      <c r="R896" s="35" t="str">
        <f aca="true">IF(OR($B896="",$Q896=""),"",DATEDIF($Q896,TODAY(),"Y"))</f>
        <v/>
      </c>
      <c r="S896" s="40" t="str">
        <f aca="false">IF($R896="","",INDEX(usia_label,MATCH($R896,usia_min,1)))</f>
        <v/>
      </c>
      <c r="T896" s="36"/>
      <c r="U896" s="41"/>
      <c r="V896" s="36"/>
      <c r="W896" s="36"/>
      <c r="X896" s="40" t="str">
        <f aca="false">IF($M896="","",$M896&amp;"#"&amp;COUNTIF($M$4:$M896,$M896))</f>
        <v/>
      </c>
      <c r="Y896" s="40" t="str">
        <f aca="false">IF($B896="","",IF($C896="","NIK kosong",IF(LEN($C896)&lt;&gt;16,"NIK bukan 16 digit",IF(COUNTIF($C$4:$C$2003,$C896&amp;"*")&gt;1,"NIK ganda",IF(AND($D896&lt;&gt;"",LEN($D896)&lt;&gt;16),"No. KK bukan 16 digit",IF(AND($F896="",$I896=""),"Alamat kosong",IF($N896="","Jabatan kosong",IF($O896="","No. HP kosong",IF(AND($R896&lt;&gt;"",$R896&lt;17),"Usia di bawah 17","")))))))))</f>
        <v/>
      </c>
      <c r="Z896" s="40" t="str">
        <f aca="false">IF($B896="","",IF(AND(OR(CARI!$C$5="",ISNUMBER(SEARCH(CARI!$C$5,$B896&amp;" "&amp;$C896&amp;" "&amp;$D896&amp;" "&amp;$O896&amp;" "&amp;$I896&amp;" "&amp;$F896&amp;" "&amp;$J896&amp;" "&amp;$K896&amp;" "&amp;$L896&amp;" "&amp;$V896))),OR(CARI!$C$6="",$F896=CARI!$C$6),OR(CARI!$C$7="",$G896=CARI!$C$7),OR(CARI!$C$8="",$T896=CARI!$C$8)),MAX($Z$3:Z895)+1,""))</f>
        <v/>
      </c>
      <c r="AA896" s="40" t="str">
        <f aca="false">IF($Y896="","",MAX($AA$3:AA895)+1)</f>
        <v/>
      </c>
      <c r="AB896" s="40" t="str">
        <f aca="false">IF($F896="","",$F896&amp;"#"&amp;COUNTIF($F$4:$F896,$F896))</f>
        <v/>
      </c>
      <c r="AC896" s="40" t="str">
        <f aca="false">IF($B896="","",IF(AND(OR(CETAK!$J$10="",$F896=CETAK!$J$10),OR(CETAK!$J$11="",$G896=CETAK!$J$11),OR(CETAK!$J$12="",$P896=CETAK!$J$12),OR(CETAK!$J$13="",$N896=CETAK!$J$13),OR(CETAK!$J$14="",$T896=CETAK!$J$14)),MAX($AC$3:AC895)+1,""))</f>
        <v/>
      </c>
      <c r="AD896" s="40" t="str">
        <f aca="false">IF($B896="","",IF(AND(OR(ABSENSI!$H$10="",$F896=ABSENSI!$H$10),OR(ABSENSI!$H$11="",$G896=ABSENSI!$H$11),OR(ABSENSI!$H$12="",$P896=ABSENSI!$H$12)),MAX($AD$3:AD895)+1,""))</f>
        <v/>
      </c>
      <c r="AE896" s="40" t="str">
        <f aca="false">IF($B896="","",IF(AND(OR(KARTU!$K$6="",$F896=KARTU!$K$6),OR(KARTU!$K$7="",$G896=KARTU!$K$7),OR(KARTU!$K$8="",$P896=KARTU!$K$8)),MAX($AE$3:AE895)+1,""))</f>
        <v/>
      </c>
    </row>
    <row r="897" customFormat="false" ht="15" hidden="false" customHeight="false" outlineLevel="0" collapsed="false">
      <c r="A897" s="35" t="str">
        <f aca="false">IF($B897="","",COUNTA($B$4:$B897))</f>
        <v/>
      </c>
      <c r="B897" s="36"/>
      <c r="C897" s="37"/>
      <c r="D897" s="37"/>
      <c r="E897" s="38"/>
      <c r="F897" s="36"/>
      <c r="G897" s="39"/>
      <c r="H897" s="39"/>
      <c r="I897" s="36"/>
      <c r="J897" s="36"/>
      <c r="K897" s="36"/>
      <c r="L897" s="36"/>
      <c r="M897" s="40" t="str">
        <f aca="false">IF($F897="","",$F897&amp;IF($G897="",""," - RT "&amp;$G897&amp;IF($H897="","","/"&amp;$H897)))</f>
        <v/>
      </c>
      <c r="N897" s="36"/>
      <c r="O897" s="37"/>
      <c r="P897" s="39"/>
      <c r="Q897" s="41"/>
      <c r="R897" s="35" t="str">
        <f aca="true">IF(OR($B897="",$Q897=""),"",DATEDIF($Q897,TODAY(),"Y"))</f>
        <v/>
      </c>
      <c r="S897" s="40" t="str">
        <f aca="false">IF($R897="","",INDEX(usia_label,MATCH($R897,usia_min,1)))</f>
        <v/>
      </c>
      <c r="T897" s="36"/>
      <c r="U897" s="41"/>
      <c r="V897" s="36"/>
      <c r="W897" s="36"/>
      <c r="X897" s="40" t="str">
        <f aca="false">IF($M897="","",$M897&amp;"#"&amp;COUNTIF($M$4:$M897,$M897))</f>
        <v/>
      </c>
      <c r="Y897" s="40" t="str">
        <f aca="false">IF($B897="","",IF($C897="","NIK kosong",IF(LEN($C897)&lt;&gt;16,"NIK bukan 16 digit",IF(COUNTIF($C$4:$C$2003,$C897&amp;"*")&gt;1,"NIK ganda",IF(AND($D897&lt;&gt;"",LEN($D897)&lt;&gt;16),"No. KK bukan 16 digit",IF(AND($F897="",$I897=""),"Alamat kosong",IF($N897="","Jabatan kosong",IF($O897="","No. HP kosong",IF(AND($R897&lt;&gt;"",$R897&lt;17),"Usia di bawah 17","")))))))))</f>
        <v/>
      </c>
      <c r="Z897" s="40" t="str">
        <f aca="false">IF($B897="","",IF(AND(OR(CARI!$C$5="",ISNUMBER(SEARCH(CARI!$C$5,$B897&amp;" "&amp;$C897&amp;" "&amp;$D897&amp;" "&amp;$O897&amp;" "&amp;$I897&amp;" "&amp;$F897&amp;" "&amp;$J897&amp;" "&amp;$K897&amp;" "&amp;$L897&amp;" "&amp;$V897))),OR(CARI!$C$6="",$F897=CARI!$C$6),OR(CARI!$C$7="",$G897=CARI!$C$7),OR(CARI!$C$8="",$T897=CARI!$C$8)),MAX($Z$3:Z896)+1,""))</f>
        <v/>
      </c>
      <c r="AA897" s="40" t="str">
        <f aca="false">IF($Y897="","",MAX($AA$3:AA896)+1)</f>
        <v/>
      </c>
      <c r="AB897" s="40" t="str">
        <f aca="false">IF($F897="","",$F897&amp;"#"&amp;COUNTIF($F$4:$F897,$F897))</f>
        <v/>
      </c>
      <c r="AC897" s="40" t="str">
        <f aca="false">IF($B897="","",IF(AND(OR(CETAK!$J$10="",$F897=CETAK!$J$10),OR(CETAK!$J$11="",$G897=CETAK!$J$11),OR(CETAK!$J$12="",$P897=CETAK!$J$12),OR(CETAK!$J$13="",$N897=CETAK!$J$13),OR(CETAK!$J$14="",$T897=CETAK!$J$14)),MAX($AC$3:AC896)+1,""))</f>
        <v/>
      </c>
      <c r="AD897" s="40" t="str">
        <f aca="false">IF($B897="","",IF(AND(OR(ABSENSI!$H$10="",$F897=ABSENSI!$H$10),OR(ABSENSI!$H$11="",$G897=ABSENSI!$H$11),OR(ABSENSI!$H$12="",$P897=ABSENSI!$H$12)),MAX($AD$3:AD896)+1,""))</f>
        <v/>
      </c>
      <c r="AE897" s="40" t="str">
        <f aca="false">IF($B897="","",IF(AND(OR(KARTU!$K$6="",$F897=KARTU!$K$6),OR(KARTU!$K$7="",$G897=KARTU!$K$7),OR(KARTU!$K$8="",$P897=KARTU!$K$8)),MAX($AE$3:AE896)+1,""))</f>
        <v/>
      </c>
    </row>
    <row r="898" customFormat="false" ht="15" hidden="false" customHeight="false" outlineLevel="0" collapsed="false">
      <c r="A898" s="35" t="str">
        <f aca="false">IF($B898="","",COUNTA($B$4:$B898))</f>
        <v/>
      </c>
      <c r="B898" s="36"/>
      <c r="C898" s="37"/>
      <c r="D898" s="37"/>
      <c r="E898" s="38"/>
      <c r="F898" s="36"/>
      <c r="G898" s="39"/>
      <c r="H898" s="39"/>
      <c r="I898" s="36"/>
      <c r="J898" s="36"/>
      <c r="K898" s="36"/>
      <c r="L898" s="36"/>
      <c r="M898" s="40" t="str">
        <f aca="false">IF($F898="","",$F898&amp;IF($G898="",""," - RT "&amp;$G898&amp;IF($H898="","","/"&amp;$H898)))</f>
        <v/>
      </c>
      <c r="N898" s="36"/>
      <c r="O898" s="37"/>
      <c r="P898" s="39"/>
      <c r="Q898" s="41"/>
      <c r="R898" s="35" t="str">
        <f aca="true">IF(OR($B898="",$Q898=""),"",DATEDIF($Q898,TODAY(),"Y"))</f>
        <v/>
      </c>
      <c r="S898" s="40" t="str">
        <f aca="false">IF($R898="","",INDEX(usia_label,MATCH($R898,usia_min,1)))</f>
        <v/>
      </c>
      <c r="T898" s="36"/>
      <c r="U898" s="41"/>
      <c r="V898" s="36"/>
      <c r="W898" s="36"/>
      <c r="X898" s="40" t="str">
        <f aca="false">IF($M898="","",$M898&amp;"#"&amp;COUNTIF($M$4:$M898,$M898))</f>
        <v/>
      </c>
      <c r="Y898" s="40" t="str">
        <f aca="false">IF($B898="","",IF($C898="","NIK kosong",IF(LEN($C898)&lt;&gt;16,"NIK bukan 16 digit",IF(COUNTIF($C$4:$C$2003,$C898&amp;"*")&gt;1,"NIK ganda",IF(AND($D898&lt;&gt;"",LEN($D898)&lt;&gt;16),"No. KK bukan 16 digit",IF(AND($F898="",$I898=""),"Alamat kosong",IF($N898="","Jabatan kosong",IF($O898="","No. HP kosong",IF(AND($R898&lt;&gt;"",$R898&lt;17),"Usia di bawah 17","")))))))))</f>
        <v/>
      </c>
      <c r="Z898" s="40" t="str">
        <f aca="false">IF($B898="","",IF(AND(OR(CARI!$C$5="",ISNUMBER(SEARCH(CARI!$C$5,$B898&amp;" "&amp;$C898&amp;" "&amp;$D898&amp;" "&amp;$O898&amp;" "&amp;$I898&amp;" "&amp;$F898&amp;" "&amp;$J898&amp;" "&amp;$K898&amp;" "&amp;$L898&amp;" "&amp;$V898))),OR(CARI!$C$6="",$F898=CARI!$C$6),OR(CARI!$C$7="",$G898=CARI!$C$7),OR(CARI!$C$8="",$T898=CARI!$C$8)),MAX($Z$3:Z897)+1,""))</f>
        <v/>
      </c>
      <c r="AA898" s="40" t="str">
        <f aca="false">IF($Y898="","",MAX($AA$3:AA897)+1)</f>
        <v/>
      </c>
      <c r="AB898" s="40" t="str">
        <f aca="false">IF($F898="","",$F898&amp;"#"&amp;COUNTIF($F$4:$F898,$F898))</f>
        <v/>
      </c>
      <c r="AC898" s="40" t="str">
        <f aca="false">IF($B898="","",IF(AND(OR(CETAK!$J$10="",$F898=CETAK!$J$10),OR(CETAK!$J$11="",$G898=CETAK!$J$11),OR(CETAK!$J$12="",$P898=CETAK!$J$12),OR(CETAK!$J$13="",$N898=CETAK!$J$13),OR(CETAK!$J$14="",$T898=CETAK!$J$14)),MAX($AC$3:AC897)+1,""))</f>
        <v/>
      </c>
      <c r="AD898" s="40" t="str">
        <f aca="false">IF($B898="","",IF(AND(OR(ABSENSI!$H$10="",$F898=ABSENSI!$H$10),OR(ABSENSI!$H$11="",$G898=ABSENSI!$H$11),OR(ABSENSI!$H$12="",$P898=ABSENSI!$H$12)),MAX($AD$3:AD897)+1,""))</f>
        <v/>
      </c>
      <c r="AE898" s="40" t="str">
        <f aca="false">IF($B898="","",IF(AND(OR(KARTU!$K$6="",$F898=KARTU!$K$6),OR(KARTU!$K$7="",$G898=KARTU!$K$7),OR(KARTU!$K$8="",$P898=KARTU!$K$8)),MAX($AE$3:AE897)+1,""))</f>
        <v/>
      </c>
    </row>
    <row r="899" customFormat="false" ht="15" hidden="false" customHeight="false" outlineLevel="0" collapsed="false">
      <c r="A899" s="35" t="str">
        <f aca="false">IF($B899="","",COUNTA($B$4:$B899))</f>
        <v/>
      </c>
      <c r="B899" s="36"/>
      <c r="C899" s="37"/>
      <c r="D899" s="37"/>
      <c r="E899" s="38"/>
      <c r="F899" s="36"/>
      <c r="G899" s="39"/>
      <c r="H899" s="39"/>
      <c r="I899" s="36"/>
      <c r="J899" s="36"/>
      <c r="K899" s="36"/>
      <c r="L899" s="36"/>
      <c r="M899" s="40" t="str">
        <f aca="false">IF($F899="","",$F899&amp;IF($G899="",""," - RT "&amp;$G899&amp;IF($H899="","","/"&amp;$H899)))</f>
        <v/>
      </c>
      <c r="N899" s="36"/>
      <c r="O899" s="37"/>
      <c r="P899" s="39"/>
      <c r="Q899" s="41"/>
      <c r="R899" s="35" t="str">
        <f aca="true">IF(OR($B899="",$Q899=""),"",DATEDIF($Q899,TODAY(),"Y"))</f>
        <v/>
      </c>
      <c r="S899" s="40" t="str">
        <f aca="false">IF($R899="","",INDEX(usia_label,MATCH($R899,usia_min,1)))</f>
        <v/>
      </c>
      <c r="T899" s="36"/>
      <c r="U899" s="41"/>
      <c r="V899" s="36"/>
      <c r="W899" s="36"/>
      <c r="X899" s="40" t="str">
        <f aca="false">IF($M899="","",$M899&amp;"#"&amp;COUNTIF($M$4:$M899,$M899))</f>
        <v/>
      </c>
      <c r="Y899" s="40" t="str">
        <f aca="false">IF($B899="","",IF($C899="","NIK kosong",IF(LEN($C899)&lt;&gt;16,"NIK bukan 16 digit",IF(COUNTIF($C$4:$C$2003,$C899&amp;"*")&gt;1,"NIK ganda",IF(AND($D899&lt;&gt;"",LEN($D899)&lt;&gt;16),"No. KK bukan 16 digit",IF(AND($F899="",$I899=""),"Alamat kosong",IF($N899="","Jabatan kosong",IF($O899="","No. HP kosong",IF(AND($R899&lt;&gt;"",$R899&lt;17),"Usia di bawah 17","")))))))))</f>
        <v/>
      </c>
      <c r="Z899" s="40" t="str">
        <f aca="false">IF($B899="","",IF(AND(OR(CARI!$C$5="",ISNUMBER(SEARCH(CARI!$C$5,$B899&amp;" "&amp;$C899&amp;" "&amp;$D899&amp;" "&amp;$O899&amp;" "&amp;$I899&amp;" "&amp;$F899&amp;" "&amp;$J899&amp;" "&amp;$K899&amp;" "&amp;$L899&amp;" "&amp;$V899))),OR(CARI!$C$6="",$F899=CARI!$C$6),OR(CARI!$C$7="",$G899=CARI!$C$7),OR(CARI!$C$8="",$T899=CARI!$C$8)),MAX($Z$3:Z898)+1,""))</f>
        <v/>
      </c>
      <c r="AA899" s="40" t="str">
        <f aca="false">IF($Y899="","",MAX($AA$3:AA898)+1)</f>
        <v/>
      </c>
      <c r="AB899" s="40" t="str">
        <f aca="false">IF($F899="","",$F899&amp;"#"&amp;COUNTIF($F$4:$F899,$F899))</f>
        <v/>
      </c>
      <c r="AC899" s="40" t="str">
        <f aca="false">IF($B899="","",IF(AND(OR(CETAK!$J$10="",$F899=CETAK!$J$10),OR(CETAK!$J$11="",$G899=CETAK!$J$11),OR(CETAK!$J$12="",$P899=CETAK!$J$12),OR(CETAK!$J$13="",$N899=CETAK!$J$13),OR(CETAK!$J$14="",$T899=CETAK!$J$14)),MAX($AC$3:AC898)+1,""))</f>
        <v/>
      </c>
      <c r="AD899" s="40" t="str">
        <f aca="false">IF($B899="","",IF(AND(OR(ABSENSI!$H$10="",$F899=ABSENSI!$H$10),OR(ABSENSI!$H$11="",$G899=ABSENSI!$H$11),OR(ABSENSI!$H$12="",$P899=ABSENSI!$H$12)),MAX($AD$3:AD898)+1,""))</f>
        <v/>
      </c>
      <c r="AE899" s="40" t="str">
        <f aca="false">IF($B899="","",IF(AND(OR(KARTU!$K$6="",$F899=KARTU!$K$6),OR(KARTU!$K$7="",$G899=KARTU!$K$7),OR(KARTU!$K$8="",$P899=KARTU!$K$8)),MAX($AE$3:AE898)+1,""))</f>
        <v/>
      </c>
    </row>
    <row r="900" customFormat="false" ht="15" hidden="false" customHeight="false" outlineLevel="0" collapsed="false">
      <c r="A900" s="35" t="str">
        <f aca="false">IF($B900="","",COUNTA($B$4:$B900))</f>
        <v/>
      </c>
      <c r="B900" s="36"/>
      <c r="C900" s="37"/>
      <c r="D900" s="37"/>
      <c r="E900" s="38"/>
      <c r="F900" s="36"/>
      <c r="G900" s="39"/>
      <c r="H900" s="39"/>
      <c r="I900" s="36"/>
      <c r="J900" s="36"/>
      <c r="K900" s="36"/>
      <c r="L900" s="36"/>
      <c r="M900" s="40" t="str">
        <f aca="false">IF($F900="","",$F900&amp;IF($G900="",""," - RT "&amp;$G900&amp;IF($H900="","","/"&amp;$H900)))</f>
        <v/>
      </c>
      <c r="N900" s="36"/>
      <c r="O900" s="37"/>
      <c r="P900" s="39"/>
      <c r="Q900" s="41"/>
      <c r="R900" s="35" t="str">
        <f aca="true">IF(OR($B900="",$Q900=""),"",DATEDIF($Q900,TODAY(),"Y"))</f>
        <v/>
      </c>
      <c r="S900" s="40" t="str">
        <f aca="false">IF($R900="","",INDEX(usia_label,MATCH($R900,usia_min,1)))</f>
        <v/>
      </c>
      <c r="T900" s="36"/>
      <c r="U900" s="41"/>
      <c r="V900" s="36"/>
      <c r="W900" s="36"/>
      <c r="X900" s="40" t="str">
        <f aca="false">IF($M900="","",$M900&amp;"#"&amp;COUNTIF($M$4:$M900,$M900))</f>
        <v/>
      </c>
      <c r="Y900" s="40" t="str">
        <f aca="false">IF($B900="","",IF($C900="","NIK kosong",IF(LEN($C900)&lt;&gt;16,"NIK bukan 16 digit",IF(COUNTIF($C$4:$C$2003,$C900&amp;"*")&gt;1,"NIK ganda",IF(AND($D900&lt;&gt;"",LEN($D900)&lt;&gt;16),"No. KK bukan 16 digit",IF(AND($F900="",$I900=""),"Alamat kosong",IF($N900="","Jabatan kosong",IF($O900="","No. HP kosong",IF(AND($R900&lt;&gt;"",$R900&lt;17),"Usia di bawah 17","")))))))))</f>
        <v/>
      </c>
      <c r="Z900" s="40" t="str">
        <f aca="false">IF($B900="","",IF(AND(OR(CARI!$C$5="",ISNUMBER(SEARCH(CARI!$C$5,$B900&amp;" "&amp;$C900&amp;" "&amp;$D900&amp;" "&amp;$O900&amp;" "&amp;$I900&amp;" "&amp;$F900&amp;" "&amp;$J900&amp;" "&amp;$K900&amp;" "&amp;$L900&amp;" "&amp;$V900))),OR(CARI!$C$6="",$F900=CARI!$C$6),OR(CARI!$C$7="",$G900=CARI!$C$7),OR(CARI!$C$8="",$T900=CARI!$C$8)),MAX($Z$3:Z899)+1,""))</f>
        <v/>
      </c>
      <c r="AA900" s="40" t="str">
        <f aca="false">IF($Y900="","",MAX($AA$3:AA899)+1)</f>
        <v/>
      </c>
      <c r="AB900" s="40" t="str">
        <f aca="false">IF($F900="","",$F900&amp;"#"&amp;COUNTIF($F$4:$F900,$F900))</f>
        <v/>
      </c>
      <c r="AC900" s="40" t="str">
        <f aca="false">IF($B900="","",IF(AND(OR(CETAK!$J$10="",$F900=CETAK!$J$10),OR(CETAK!$J$11="",$G900=CETAK!$J$11),OR(CETAK!$J$12="",$P900=CETAK!$J$12),OR(CETAK!$J$13="",$N900=CETAK!$J$13),OR(CETAK!$J$14="",$T900=CETAK!$J$14)),MAX($AC$3:AC899)+1,""))</f>
        <v/>
      </c>
      <c r="AD900" s="40" t="str">
        <f aca="false">IF($B900="","",IF(AND(OR(ABSENSI!$H$10="",$F900=ABSENSI!$H$10),OR(ABSENSI!$H$11="",$G900=ABSENSI!$H$11),OR(ABSENSI!$H$12="",$P900=ABSENSI!$H$12)),MAX($AD$3:AD899)+1,""))</f>
        <v/>
      </c>
      <c r="AE900" s="40" t="str">
        <f aca="false">IF($B900="","",IF(AND(OR(KARTU!$K$6="",$F900=KARTU!$K$6),OR(KARTU!$K$7="",$G900=KARTU!$K$7),OR(KARTU!$K$8="",$P900=KARTU!$K$8)),MAX($AE$3:AE899)+1,""))</f>
        <v/>
      </c>
    </row>
    <row r="901" customFormat="false" ht="15" hidden="false" customHeight="false" outlineLevel="0" collapsed="false">
      <c r="A901" s="35" t="str">
        <f aca="false">IF($B901="","",COUNTA($B$4:$B901))</f>
        <v/>
      </c>
      <c r="B901" s="36"/>
      <c r="C901" s="37"/>
      <c r="D901" s="37"/>
      <c r="E901" s="38"/>
      <c r="F901" s="36"/>
      <c r="G901" s="39"/>
      <c r="H901" s="39"/>
      <c r="I901" s="36"/>
      <c r="J901" s="36"/>
      <c r="K901" s="36"/>
      <c r="L901" s="36"/>
      <c r="M901" s="40" t="str">
        <f aca="false">IF($F901="","",$F901&amp;IF($G901="",""," - RT "&amp;$G901&amp;IF($H901="","","/"&amp;$H901)))</f>
        <v/>
      </c>
      <c r="N901" s="36"/>
      <c r="O901" s="37"/>
      <c r="P901" s="39"/>
      <c r="Q901" s="41"/>
      <c r="R901" s="35" t="str">
        <f aca="true">IF(OR($B901="",$Q901=""),"",DATEDIF($Q901,TODAY(),"Y"))</f>
        <v/>
      </c>
      <c r="S901" s="40" t="str">
        <f aca="false">IF($R901="","",INDEX(usia_label,MATCH($R901,usia_min,1)))</f>
        <v/>
      </c>
      <c r="T901" s="36"/>
      <c r="U901" s="41"/>
      <c r="V901" s="36"/>
      <c r="W901" s="36"/>
      <c r="X901" s="40" t="str">
        <f aca="false">IF($M901="","",$M901&amp;"#"&amp;COUNTIF($M$4:$M901,$M901))</f>
        <v/>
      </c>
      <c r="Y901" s="40" t="str">
        <f aca="false">IF($B901="","",IF($C901="","NIK kosong",IF(LEN($C901)&lt;&gt;16,"NIK bukan 16 digit",IF(COUNTIF($C$4:$C$2003,$C901&amp;"*")&gt;1,"NIK ganda",IF(AND($D901&lt;&gt;"",LEN($D901)&lt;&gt;16),"No. KK bukan 16 digit",IF(AND($F901="",$I901=""),"Alamat kosong",IF($N901="","Jabatan kosong",IF($O901="","No. HP kosong",IF(AND($R901&lt;&gt;"",$R901&lt;17),"Usia di bawah 17","")))))))))</f>
        <v/>
      </c>
      <c r="Z901" s="40" t="str">
        <f aca="false">IF($B901="","",IF(AND(OR(CARI!$C$5="",ISNUMBER(SEARCH(CARI!$C$5,$B901&amp;" "&amp;$C901&amp;" "&amp;$D901&amp;" "&amp;$O901&amp;" "&amp;$I901&amp;" "&amp;$F901&amp;" "&amp;$J901&amp;" "&amp;$K901&amp;" "&amp;$L901&amp;" "&amp;$V901))),OR(CARI!$C$6="",$F901=CARI!$C$6),OR(CARI!$C$7="",$G901=CARI!$C$7),OR(CARI!$C$8="",$T901=CARI!$C$8)),MAX($Z$3:Z900)+1,""))</f>
        <v/>
      </c>
      <c r="AA901" s="40" t="str">
        <f aca="false">IF($Y901="","",MAX($AA$3:AA900)+1)</f>
        <v/>
      </c>
      <c r="AB901" s="40" t="str">
        <f aca="false">IF($F901="","",$F901&amp;"#"&amp;COUNTIF($F$4:$F901,$F901))</f>
        <v/>
      </c>
      <c r="AC901" s="40" t="str">
        <f aca="false">IF($B901="","",IF(AND(OR(CETAK!$J$10="",$F901=CETAK!$J$10),OR(CETAK!$J$11="",$G901=CETAK!$J$11),OR(CETAK!$J$12="",$P901=CETAK!$J$12),OR(CETAK!$J$13="",$N901=CETAK!$J$13),OR(CETAK!$J$14="",$T901=CETAK!$J$14)),MAX($AC$3:AC900)+1,""))</f>
        <v/>
      </c>
      <c r="AD901" s="40" t="str">
        <f aca="false">IF($B901="","",IF(AND(OR(ABSENSI!$H$10="",$F901=ABSENSI!$H$10),OR(ABSENSI!$H$11="",$G901=ABSENSI!$H$11),OR(ABSENSI!$H$12="",$P901=ABSENSI!$H$12)),MAX($AD$3:AD900)+1,""))</f>
        <v/>
      </c>
      <c r="AE901" s="40" t="str">
        <f aca="false">IF($B901="","",IF(AND(OR(KARTU!$K$6="",$F901=KARTU!$K$6),OR(KARTU!$K$7="",$G901=KARTU!$K$7),OR(KARTU!$K$8="",$P901=KARTU!$K$8)),MAX($AE$3:AE900)+1,""))</f>
        <v/>
      </c>
    </row>
    <row r="902" customFormat="false" ht="15" hidden="false" customHeight="false" outlineLevel="0" collapsed="false">
      <c r="A902" s="35" t="str">
        <f aca="false">IF($B902="","",COUNTA($B$4:$B902))</f>
        <v/>
      </c>
      <c r="B902" s="36"/>
      <c r="C902" s="37"/>
      <c r="D902" s="37"/>
      <c r="E902" s="38"/>
      <c r="F902" s="36"/>
      <c r="G902" s="39"/>
      <c r="H902" s="39"/>
      <c r="I902" s="36"/>
      <c r="J902" s="36"/>
      <c r="K902" s="36"/>
      <c r="L902" s="36"/>
      <c r="M902" s="40" t="str">
        <f aca="false">IF($F902="","",$F902&amp;IF($G902="",""," - RT "&amp;$G902&amp;IF($H902="","","/"&amp;$H902)))</f>
        <v/>
      </c>
      <c r="N902" s="36"/>
      <c r="O902" s="37"/>
      <c r="P902" s="39"/>
      <c r="Q902" s="41"/>
      <c r="R902" s="35" t="str">
        <f aca="true">IF(OR($B902="",$Q902=""),"",DATEDIF($Q902,TODAY(),"Y"))</f>
        <v/>
      </c>
      <c r="S902" s="40" t="str">
        <f aca="false">IF($R902="","",INDEX(usia_label,MATCH($R902,usia_min,1)))</f>
        <v/>
      </c>
      <c r="T902" s="36"/>
      <c r="U902" s="41"/>
      <c r="V902" s="36"/>
      <c r="W902" s="36"/>
      <c r="X902" s="40" t="str">
        <f aca="false">IF($M902="","",$M902&amp;"#"&amp;COUNTIF($M$4:$M902,$M902))</f>
        <v/>
      </c>
      <c r="Y902" s="40" t="str">
        <f aca="false">IF($B902="","",IF($C902="","NIK kosong",IF(LEN($C902)&lt;&gt;16,"NIK bukan 16 digit",IF(COUNTIF($C$4:$C$2003,$C902&amp;"*")&gt;1,"NIK ganda",IF(AND($D902&lt;&gt;"",LEN($D902)&lt;&gt;16),"No. KK bukan 16 digit",IF(AND($F902="",$I902=""),"Alamat kosong",IF($N902="","Jabatan kosong",IF($O902="","No. HP kosong",IF(AND($R902&lt;&gt;"",$R902&lt;17),"Usia di bawah 17","")))))))))</f>
        <v/>
      </c>
      <c r="Z902" s="40" t="str">
        <f aca="false">IF($B902="","",IF(AND(OR(CARI!$C$5="",ISNUMBER(SEARCH(CARI!$C$5,$B902&amp;" "&amp;$C902&amp;" "&amp;$D902&amp;" "&amp;$O902&amp;" "&amp;$I902&amp;" "&amp;$F902&amp;" "&amp;$J902&amp;" "&amp;$K902&amp;" "&amp;$L902&amp;" "&amp;$V902))),OR(CARI!$C$6="",$F902=CARI!$C$6),OR(CARI!$C$7="",$G902=CARI!$C$7),OR(CARI!$C$8="",$T902=CARI!$C$8)),MAX($Z$3:Z901)+1,""))</f>
        <v/>
      </c>
      <c r="AA902" s="40" t="str">
        <f aca="false">IF($Y902="","",MAX($AA$3:AA901)+1)</f>
        <v/>
      </c>
      <c r="AB902" s="40" t="str">
        <f aca="false">IF($F902="","",$F902&amp;"#"&amp;COUNTIF($F$4:$F902,$F902))</f>
        <v/>
      </c>
      <c r="AC902" s="40" t="str">
        <f aca="false">IF($B902="","",IF(AND(OR(CETAK!$J$10="",$F902=CETAK!$J$10),OR(CETAK!$J$11="",$G902=CETAK!$J$11),OR(CETAK!$J$12="",$P902=CETAK!$J$12),OR(CETAK!$J$13="",$N902=CETAK!$J$13),OR(CETAK!$J$14="",$T902=CETAK!$J$14)),MAX($AC$3:AC901)+1,""))</f>
        <v/>
      </c>
      <c r="AD902" s="40" t="str">
        <f aca="false">IF($B902="","",IF(AND(OR(ABSENSI!$H$10="",$F902=ABSENSI!$H$10),OR(ABSENSI!$H$11="",$G902=ABSENSI!$H$11),OR(ABSENSI!$H$12="",$P902=ABSENSI!$H$12)),MAX($AD$3:AD901)+1,""))</f>
        <v/>
      </c>
      <c r="AE902" s="40" t="str">
        <f aca="false">IF($B902="","",IF(AND(OR(KARTU!$K$6="",$F902=KARTU!$K$6),OR(KARTU!$K$7="",$G902=KARTU!$K$7),OR(KARTU!$K$8="",$P902=KARTU!$K$8)),MAX($AE$3:AE901)+1,""))</f>
        <v/>
      </c>
    </row>
    <row r="903" customFormat="false" ht="15" hidden="false" customHeight="false" outlineLevel="0" collapsed="false">
      <c r="A903" s="35" t="str">
        <f aca="false">IF($B903="","",COUNTA($B$4:$B903))</f>
        <v/>
      </c>
      <c r="B903" s="36"/>
      <c r="C903" s="37"/>
      <c r="D903" s="37"/>
      <c r="E903" s="38"/>
      <c r="F903" s="36"/>
      <c r="G903" s="39"/>
      <c r="H903" s="39"/>
      <c r="I903" s="36"/>
      <c r="J903" s="36"/>
      <c r="K903" s="36"/>
      <c r="L903" s="36"/>
      <c r="M903" s="40" t="str">
        <f aca="false">IF($F903="","",$F903&amp;IF($G903="",""," - RT "&amp;$G903&amp;IF($H903="","","/"&amp;$H903)))</f>
        <v/>
      </c>
      <c r="N903" s="36"/>
      <c r="O903" s="37"/>
      <c r="P903" s="39"/>
      <c r="Q903" s="41"/>
      <c r="R903" s="35" t="str">
        <f aca="true">IF(OR($B903="",$Q903=""),"",DATEDIF($Q903,TODAY(),"Y"))</f>
        <v/>
      </c>
      <c r="S903" s="40" t="str">
        <f aca="false">IF($R903="","",INDEX(usia_label,MATCH($R903,usia_min,1)))</f>
        <v/>
      </c>
      <c r="T903" s="36"/>
      <c r="U903" s="41"/>
      <c r="V903" s="36"/>
      <c r="W903" s="36"/>
      <c r="X903" s="40" t="str">
        <f aca="false">IF($M903="","",$M903&amp;"#"&amp;COUNTIF($M$4:$M903,$M903))</f>
        <v/>
      </c>
      <c r="Y903" s="40" t="str">
        <f aca="false">IF($B903="","",IF($C903="","NIK kosong",IF(LEN($C903)&lt;&gt;16,"NIK bukan 16 digit",IF(COUNTIF($C$4:$C$2003,$C903&amp;"*")&gt;1,"NIK ganda",IF(AND($D903&lt;&gt;"",LEN($D903)&lt;&gt;16),"No. KK bukan 16 digit",IF(AND($F903="",$I903=""),"Alamat kosong",IF($N903="","Jabatan kosong",IF($O903="","No. HP kosong",IF(AND($R903&lt;&gt;"",$R903&lt;17),"Usia di bawah 17","")))))))))</f>
        <v/>
      </c>
      <c r="Z903" s="40" t="str">
        <f aca="false">IF($B903="","",IF(AND(OR(CARI!$C$5="",ISNUMBER(SEARCH(CARI!$C$5,$B903&amp;" "&amp;$C903&amp;" "&amp;$D903&amp;" "&amp;$O903&amp;" "&amp;$I903&amp;" "&amp;$F903&amp;" "&amp;$J903&amp;" "&amp;$K903&amp;" "&amp;$L903&amp;" "&amp;$V903))),OR(CARI!$C$6="",$F903=CARI!$C$6),OR(CARI!$C$7="",$G903=CARI!$C$7),OR(CARI!$C$8="",$T903=CARI!$C$8)),MAX($Z$3:Z902)+1,""))</f>
        <v/>
      </c>
      <c r="AA903" s="40" t="str">
        <f aca="false">IF($Y903="","",MAX($AA$3:AA902)+1)</f>
        <v/>
      </c>
      <c r="AB903" s="40" t="str">
        <f aca="false">IF($F903="","",$F903&amp;"#"&amp;COUNTIF($F$4:$F903,$F903))</f>
        <v/>
      </c>
      <c r="AC903" s="40" t="str">
        <f aca="false">IF($B903="","",IF(AND(OR(CETAK!$J$10="",$F903=CETAK!$J$10),OR(CETAK!$J$11="",$G903=CETAK!$J$11),OR(CETAK!$J$12="",$P903=CETAK!$J$12),OR(CETAK!$J$13="",$N903=CETAK!$J$13),OR(CETAK!$J$14="",$T903=CETAK!$J$14)),MAX($AC$3:AC902)+1,""))</f>
        <v/>
      </c>
      <c r="AD903" s="40" t="str">
        <f aca="false">IF($B903="","",IF(AND(OR(ABSENSI!$H$10="",$F903=ABSENSI!$H$10),OR(ABSENSI!$H$11="",$G903=ABSENSI!$H$11),OR(ABSENSI!$H$12="",$P903=ABSENSI!$H$12)),MAX($AD$3:AD902)+1,""))</f>
        <v/>
      </c>
      <c r="AE903" s="40" t="str">
        <f aca="false">IF($B903="","",IF(AND(OR(KARTU!$K$6="",$F903=KARTU!$K$6),OR(KARTU!$K$7="",$G903=KARTU!$K$7),OR(KARTU!$K$8="",$P903=KARTU!$K$8)),MAX($AE$3:AE902)+1,""))</f>
        <v/>
      </c>
    </row>
    <row r="904" customFormat="false" ht="15" hidden="false" customHeight="false" outlineLevel="0" collapsed="false">
      <c r="A904" s="35" t="str">
        <f aca="false">IF($B904="","",COUNTA($B$4:$B904))</f>
        <v/>
      </c>
      <c r="B904" s="36"/>
      <c r="C904" s="37"/>
      <c r="D904" s="37"/>
      <c r="E904" s="38"/>
      <c r="F904" s="36"/>
      <c r="G904" s="39"/>
      <c r="H904" s="39"/>
      <c r="I904" s="36"/>
      <c r="J904" s="36"/>
      <c r="K904" s="36"/>
      <c r="L904" s="36"/>
      <c r="M904" s="40" t="str">
        <f aca="false">IF($F904="","",$F904&amp;IF($G904="",""," - RT "&amp;$G904&amp;IF($H904="","","/"&amp;$H904)))</f>
        <v/>
      </c>
      <c r="N904" s="36"/>
      <c r="O904" s="37"/>
      <c r="P904" s="39"/>
      <c r="Q904" s="41"/>
      <c r="R904" s="35" t="str">
        <f aca="true">IF(OR($B904="",$Q904=""),"",DATEDIF($Q904,TODAY(),"Y"))</f>
        <v/>
      </c>
      <c r="S904" s="40" t="str">
        <f aca="false">IF($R904="","",INDEX(usia_label,MATCH($R904,usia_min,1)))</f>
        <v/>
      </c>
      <c r="T904" s="36"/>
      <c r="U904" s="41"/>
      <c r="V904" s="36"/>
      <c r="W904" s="36"/>
      <c r="X904" s="40" t="str">
        <f aca="false">IF($M904="","",$M904&amp;"#"&amp;COUNTIF($M$4:$M904,$M904))</f>
        <v/>
      </c>
      <c r="Y904" s="40" t="str">
        <f aca="false">IF($B904="","",IF($C904="","NIK kosong",IF(LEN($C904)&lt;&gt;16,"NIK bukan 16 digit",IF(COUNTIF($C$4:$C$2003,$C904&amp;"*")&gt;1,"NIK ganda",IF(AND($D904&lt;&gt;"",LEN($D904)&lt;&gt;16),"No. KK bukan 16 digit",IF(AND($F904="",$I904=""),"Alamat kosong",IF($N904="","Jabatan kosong",IF($O904="","No. HP kosong",IF(AND($R904&lt;&gt;"",$R904&lt;17),"Usia di bawah 17","")))))))))</f>
        <v/>
      </c>
      <c r="Z904" s="40" t="str">
        <f aca="false">IF($B904="","",IF(AND(OR(CARI!$C$5="",ISNUMBER(SEARCH(CARI!$C$5,$B904&amp;" "&amp;$C904&amp;" "&amp;$D904&amp;" "&amp;$O904&amp;" "&amp;$I904&amp;" "&amp;$F904&amp;" "&amp;$J904&amp;" "&amp;$K904&amp;" "&amp;$L904&amp;" "&amp;$V904))),OR(CARI!$C$6="",$F904=CARI!$C$6),OR(CARI!$C$7="",$G904=CARI!$C$7),OR(CARI!$C$8="",$T904=CARI!$C$8)),MAX($Z$3:Z903)+1,""))</f>
        <v/>
      </c>
      <c r="AA904" s="40" t="str">
        <f aca="false">IF($Y904="","",MAX($AA$3:AA903)+1)</f>
        <v/>
      </c>
      <c r="AB904" s="40" t="str">
        <f aca="false">IF($F904="","",$F904&amp;"#"&amp;COUNTIF($F$4:$F904,$F904))</f>
        <v/>
      </c>
      <c r="AC904" s="40" t="str">
        <f aca="false">IF($B904="","",IF(AND(OR(CETAK!$J$10="",$F904=CETAK!$J$10),OR(CETAK!$J$11="",$G904=CETAK!$J$11),OR(CETAK!$J$12="",$P904=CETAK!$J$12),OR(CETAK!$J$13="",$N904=CETAK!$J$13),OR(CETAK!$J$14="",$T904=CETAK!$J$14)),MAX($AC$3:AC903)+1,""))</f>
        <v/>
      </c>
      <c r="AD904" s="40" t="str">
        <f aca="false">IF($B904="","",IF(AND(OR(ABSENSI!$H$10="",$F904=ABSENSI!$H$10),OR(ABSENSI!$H$11="",$G904=ABSENSI!$H$11),OR(ABSENSI!$H$12="",$P904=ABSENSI!$H$12)),MAX($AD$3:AD903)+1,""))</f>
        <v/>
      </c>
      <c r="AE904" s="40" t="str">
        <f aca="false">IF($B904="","",IF(AND(OR(KARTU!$K$6="",$F904=KARTU!$K$6),OR(KARTU!$K$7="",$G904=KARTU!$K$7),OR(KARTU!$K$8="",$P904=KARTU!$K$8)),MAX($AE$3:AE903)+1,""))</f>
        <v/>
      </c>
    </row>
    <row r="905" customFormat="false" ht="15" hidden="false" customHeight="false" outlineLevel="0" collapsed="false">
      <c r="A905" s="35" t="str">
        <f aca="false">IF($B905="","",COUNTA($B$4:$B905))</f>
        <v/>
      </c>
      <c r="B905" s="36"/>
      <c r="C905" s="37"/>
      <c r="D905" s="37"/>
      <c r="E905" s="38"/>
      <c r="F905" s="36"/>
      <c r="G905" s="39"/>
      <c r="H905" s="39"/>
      <c r="I905" s="36"/>
      <c r="J905" s="36"/>
      <c r="K905" s="36"/>
      <c r="L905" s="36"/>
      <c r="M905" s="40" t="str">
        <f aca="false">IF($F905="","",$F905&amp;IF($G905="",""," - RT "&amp;$G905&amp;IF($H905="","","/"&amp;$H905)))</f>
        <v/>
      </c>
      <c r="N905" s="36"/>
      <c r="O905" s="37"/>
      <c r="P905" s="39"/>
      <c r="Q905" s="41"/>
      <c r="R905" s="35" t="str">
        <f aca="true">IF(OR($B905="",$Q905=""),"",DATEDIF($Q905,TODAY(),"Y"))</f>
        <v/>
      </c>
      <c r="S905" s="40" t="str">
        <f aca="false">IF($R905="","",INDEX(usia_label,MATCH($R905,usia_min,1)))</f>
        <v/>
      </c>
      <c r="T905" s="36"/>
      <c r="U905" s="41"/>
      <c r="V905" s="36"/>
      <c r="W905" s="36"/>
      <c r="X905" s="40" t="str">
        <f aca="false">IF($M905="","",$M905&amp;"#"&amp;COUNTIF($M$4:$M905,$M905))</f>
        <v/>
      </c>
      <c r="Y905" s="40" t="str">
        <f aca="false">IF($B905="","",IF($C905="","NIK kosong",IF(LEN($C905)&lt;&gt;16,"NIK bukan 16 digit",IF(COUNTIF($C$4:$C$2003,$C905&amp;"*")&gt;1,"NIK ganda",IF(AND($D905&lt;&gt;"",LEN($D905)&lt;&gt;16),"No. KK bukan 16 digit",IF(AND($F905="",$I905=""),"Alamat kosong",IF($N905="","Jabatan kosong",IF($O905="","No. HP kosong",IF(AND($R905&lt;&gt;"",$R905&lt;17),"Usia di bawah 17","")))))))))</f>
        <v/>
      </c>
      <c r="Z905" s="40" t="str">
        <f aca="false">IF($B905="","",IF(AND(OR(CARI!$C$5="",ISNUMBER(SEARCH(CARI!$C$5,$B905&amp;" "&amp;$C905&amp;" "&amp;$D905&amp;" "&amp;$O905&amp;" "&amp;$I905&amp;" "&amp;$F905&amp;" "&amp;$J905&amp;" "&amp;$K905&amp;" "&amp;$L905&amp;" "&amp;$V905))),OR(CARI!$C$6="",$F905=CARI!$C$6),OR(CARI!$C$7="",$G905=CARI!$C$7),OR(CARI!$C$8="",$T905=CARI!$C$8)),MAX($Z$3:Z904)+1,""))</f>
        <v/>
      </c>
      <c r="AA905" s="40" t="str">
        <f aca="false">IF($Y905="","",MAX($AA$3:AA904)+1)</f>
        <v/>
      </c>
      <c r="AB905" s="40" t="str">
        <f aca="false">IF($F905="","",$F905&amp;"#"&amp;COUNTIF($F$4:$F905,$F905))</f>
        <v/>
      </c>
      <c r="AC905" s="40" t="str">
        <f aca="false">IF($B905="","",IF(AND(OR(CETAK!$J$10="",$F905=CETAK!$J$10),OR(CETAK!$J$11="",$G905=CETAK!$J$11),OR(CETAK!$J$12="",$P905=CETAK!$J$12),OR(CETAK!$J$13="",$N905=CETAK!$J$13),OR(CETAK!$J$14="",$T905=CETAK!$J$14)),MAX($AC$3:AC904)+1,""))</f>
        <v/>
      </c>
      <c r="AD905" s="40" t="str">
        <f aca="false">IF($B905="","",IF(AND(OR(ABSENSI!$H$10="",$F905=ABSENSI!$H$10),OR(ABSENSI!$H$11="",$G905=ABSENSI!$H$11),OR(ABSENSI!$H$12="",$P905=ABSENSI!$H$12)),MAX($AD$3:AD904)+1,""))</f>
        <v/>
      </c>
      <c r="AE905" s="40" t="str">
        <f aca="false">IF($B905="","",IF(AND(OR(KARTU!$K$6="",$F905=KARTU!$K$6),OR(KARTU!$K$7="",$G905=KARTU!$K$7),OR(KARTU!$K$8="",$P905=KARTU!$K$8)),MAX($AE$3:AE904)+1,""))</f>
        <v/>
      </c>
    </row>
    <row r="906" customFormat="false" ht="15" hidden="false" customHeight="false" outlineLevel="0" collapsed="false">
      <c r="A906" s="35" t="str">
        <f aca="false">IF($B906="","",COUNTA($B$4:$B906))</f>
        <v/>
      </c>
      <c r="B906" s="36"/>
      <c r="C906" s="37"/>
      <c r="D906" s="37"/>
      <c r="E906" s="38"/>
      <c r="F906" s="36"/>
      <c r="G906" s="39"/>
      <c r="H906" s="39"/>
      <c r="I906" s="36"/>
      <c r="J906" s="36"/>
      <c r="K906" s="36"/>
      <c r="L906" s="36"/>
      <c r="M906" s="40" t="str">
        <f aca="false">IF($F906="","",$F906&amp;IF($G906="",""," - RT "&amp;$G906&amp;IF($H906="","","/"&amp;$H906)))</f>
        <v/>
      </c>
      <c r="N906" s="36"/>
      <c r="O906" s="37"/>
      <c r="P906" s="39"/>
      <c r="Q906" s="41"/>
      <c r="R906" s="35" t="str">
        <f aca="true">IF(OR($B906="",$Q906=""),"",DATEDIF($Q906,TODAY(),"Y"))</f>
        <v/>
      </c>
      <c r="S906" s="40" t="str">
        <f aca="false">IF($R906="","",INDEX(usia_label,MATCH($R906,usia_min,1)))</f>
        <v/>
      </c>
      <c r="T906" s="36"/>
      <c r="U906" s="41"/>
      <c r="V906" s="36"/>
      <c r="W906" s="36"/>
      <c r="X906" s="40" t="str">
        <f aca="false">IF($M906="","",$M906&amp;"#"&amp;COUNTIF($M$4:$M906,$M906))</f>
        <v/>
      </c>
      <c r="Y906" s="40" t="str">
        <f aca="false">IF($B906="","",IF($C906="","NIK kosong",IF(LEN($C906)&lt;&gt;16,"NIK bukan 16 digit",IF(COUNTIF($C$4:$C$2003,$C906&amp;"*")&gt;1,"NIK ganda",IF(AND($D906&lt;&gt;"",LEN($D906)&lt;&gt;16),"No. KK bukan 16 digit",IF(AND($F906="",$I906=""),"Alamat kosong",IF($N906="","Jabatan kosong",IF($O906="","No. HP kosong",IF(AND($R906&lt;&gt;"",$R906&lt;17),"Usia di bawah 17","")))))))))</f>
        <v/>
      </c>
      <c r="Z906" s="40" t="str">
        <f aca="false">IF($B906="","",IF(AND(OR(CARI!$C$5="",ISNUMBER(SEARCH(CARI!$C$5,$B906&amp;" "&amp;$C906&amp;" "&amp;$D906&amp;" "&amp;$O906&amp;" "&amp;$I906&amp;" "&amp;$F906&amp;" "&amp;$J906&amp;" "&amp;$K906&amp;" "&amp;$L906&amp;" "&amp;$V906))),OR(CARI!$C$6="",$F906=CARI!$C$6),OR(CARI!$C$7="",$G906=CARI!$C$7),OR(CARI!$C$8="",$T906=CARI!$C$8)),MAX($Z$3:Z905)+1,""))</f>
        <v/>
      </c>
      <c r="AA906" s="40" t="str">
        <f aca="false">IF($Y906="","",MAX($AA$3:AA905)+1)</f>
        <v/>
      </c>
      <c r="AB906" s="40" t="str">
        <f aca="false">IF($F906="","",$F906&amp;"#"&amp;COUNTIF($F$4:$F906,$F906))</f>
        <v/>
      </c>
      <c r="AC906" s="40" t="str">
        <f aca="false">IF($B906="","",IF(AND(OR(CETAK!$J$10="",$F906=CETAK!$J$10),OR(CETAK!$J$11="",$G906=CETAK!$J$11),OR(CETAK!$J$12="",$P906=CETAK!$J$12),OR(CETAK!$J$13="",$N906=CETAK!$J$13),OR(CETAK!$J$14="",$T906=CETAK!$J$14)),MAX($AC$3:AC905)+1,""))</f>
        <v/>
      </c>
      <c r="AD906" s="40" t="str">
        <f aca="false">IF($B906="","",IF(AND(OR(ABSENSI!$H$10="",$F906=ABSENSI!$H$10),OR(ABSENSI!$H$11="",$G906=ABSENSI!$H$11),OR(ABSENSI!$H$12="",$P906=ABSENSI!$H$12)),MAX($AD$3:AD905)+1,""))</f>
        <v/>
      </c>
      <c r="AE906" s="40" t="str">
        <f aca="false">IF($B906="","",IF(AND(OR(KARTU!$K$6="",$F906=KARTU!$K$6),OR(KARTU!$K$7="",$G906=KARTU!$K$7),OR(KARTU!$K$8="",$P906=KARTU!$K$8)),MAX($AE$3:AE905)+1,""))</f>
        <v/>
      </c>
    </row>
    <row r="907" customFormat="false" ht="15" hidden="false" customHeight="false" outlineLevel="0" collapsed="false">
      <c r="A907" s="35" t="str">
        <f aca="false">IF($B907="","",COUNTA($B$4:$B907))</f>
        <v/>
      </c>
      <c r="B907" s="36"/>
      <c r="C907" s="37"/>
      <c r="D907" s="37"/>
      <c r="E907" s="38"/>
      <c r="F907" s="36"/>
      <c r="G907" s="39"/>
      <c r="H907" s="39"/>
      <c r="I907" s="36"/>
      <c r="J907" s="36"/>
      <c r="K907" s="36"/>
      <c r="L907" s="36"/>
      <c r="M907" s="40" t="str">
        <f aca="false">IF($F907="","",$F907&amp;IF($G907="",""," - RT "&amp;$G907&amp;IF($H907="","","/"&amp;$H907)))</f>
        <v/>
      </c>
      <c r="N907" s="36"/>
      <c r="O907" s="37"/>
      <c r="P907" s="39"/>
      <c r="Q907" s="41"/>
      <c r="R907" s="35" t="str">
        <f aca="true">IF(OR($B907="",$Q907=""),"",DATEDIF($Q907,TODAY(),"Y"))</f>
        <v/>
      </c>
      <c r="S907" s="40" t="str">
        <f aca="false">IF($R907="","",INDEX(usia_label,MATCH($R907,usia_min,1)))</f>
        <v/>
      </c>
      <c r="T907" s="36"/>
      <c r="U907" s="41"/>
      <c r="V907" s="36"/>
      <c r="W907" s="36"/>
      <c r="X907" s="40" t="str">
        <f aca="false">IF($M907="","",$M907&amp;"#"&amp;COUNTIF($M$4:$M907,$M907))</f>
        <v/>
      </c>
      <c r="Y907" s="40" t="str">
        <f aca="false">IF($B907="","",IF($C907="","NIK kosong",IF(LEN($C907)&lt;&gt;16,"NIK bukan 16 digit",IF(COUNTIF($C$4:$C$2003,$C907&amp;"*")&gt;1,"NIK ganda",IF(AND($D907&lt;&gt;"",LEN($D907)&lt;&gt;16),"No. KK bukan 16 digit",IF(AND($F907="",$I907=""),"Alamat kosong",IF($N907="","Jabatan kosong",IF($O907="","No. HP kosong",IF(AND($R907&lt;&gt;"",$R907&lt;17),"Usia di bawah 17","")))))))))</f>
        <v/>
      </c>
      <c r="Z907" s="40" t="str">
        <f aca="false">IF($B907="","",IF(AND(OR(CARI!$C$5="",ISNUMBER(SEARCH(CARI!$C$5,$B907&amp;" "&amp;$C907&amp;" "&amp;$D907&amp;" "&amp;$O907&amp;" "&amp;$I907&amp;" "&amp;$F907&amp;" "&amp;$J907&amp;" "&amp;$K907&amp;" "&amp;$L907&amp;" "&amp;$V907))),OR(CARI!$C$6="",$F907=CARI!$C$6),OR(CARI!$C$7="",$G907=CARI!$C$7),OR(CARI!$C$8="",$T907=CARI!$C$8)),MAX($Z$3:Z906)+1,""))</f>
        <v/>
      </c>
      <c r="AA907" s="40" t="str">
        <f aca="false">IF($Y907="","",MAX($AA$3:AA906)+1)</f>
        <v/>
      </c>
      <c r="AB907" s="40" t="str">
        <f aca="false">IF($F907="","",$F907&amp;"#"&amp;COUNTIF($F$4:$F907,$F907))</f>
        <v/>
      </c>
      <c r="AC907" s="40" t="str">
        <f aca="false">IF($B907="","",IF(AND(OR(CETAK!$J$10="",$F907=CETAK!$J$10),OR(CETAK!$J$11="",$G907=CETAK!$J$11),OR(CETAK!$J$12="",$P907=CETAK!$J$12),OR(CETAK!$J$13="",$N907=CETAK!$J$13),OR(CETAK!$J$14="",$T907=CETAK!$J$14)),MAX($AC$3:AC906)+1,""))</f>
        <v/>
      </c>
      <c r="AD907" s="40" t="str">
        <f aca="false">IF($B907="","",IF(AND(OR(ABSENSI!$H$10="",$F907=ABSENSI!$H$10),OR(ABSENSI!$H$11="",$G907=ABSENSI!$H$11),OR(ABSENSI!$H$12="",$P907=ABSENSI!$H$12)),MAX($AD$3:AD906)+1,""))</f>
        <v/>
      </c>
      <c r="AE907" s="40" t="str">
        <f aca="false">IF($B907="","",IF(AND(OR(KARTU!$K$6="",$F907=KARTU!$K$6),OR(KARTU!$K$7="",$G907=KARTU!$K$7),OR(KARTU!$K$8="",$P907=KARTU!$K$8)),MAX($AE$3:AE906)+1,""))</f>
        <v/>
      </c>
    </row>
    <row r="908" customFormat="false" ht="15" hidden="false" customHeight="false" outlineLevel="0" collapsed="false">
      <c r="A908" s="35" t="str">
        <f aca="false">IF($B908="","",COUNTA($B$4:$B908))</f>
        <v/>
      </c>
      <c r="B908" s="36"/>
      <c r="C908" s="37"/>
      <c r="D908" s="37"/>
      <c r="E908" s="38"/>
      <c r="F908" s="36"/>
      <c r="G908" s="39"/>
      <c r="H908" s="39"/>
      <c r="I908" s="36"/>
      <c r="J908" s="36"/>
      <c r="K908" s="36"/>
      <c r="L908" s="36"/>
      <c r="M908" s="40" t="str">
        <f aca="false">IF($F908="","",$F908&amp;IF($G908="",""," - RT "&amp;$G908&amp;IF($H908="","","/"&amp;$H908)))</f>
        <v/>
      </c>
      <c r="N908" s="36"/>
      <c r="O908" s="37"/>
      <c r="P908" s="39"/>
      <c r="Q908" s="41"/>
      <c r="R908" s="35" t="str">
        <f aca="true">IF(OR($B908="",$Q908=""),"",DATEDIF($Q908,TODAY(),"Y"))</f>
        <v/>
      </c>
      <c r="S908" s="40" t="str">
        <f aca="false">IF($R908="","",INDEX(usia_label,MATCH($R908,usia_min,1)))</f>
        <v/>
      </c>
      <c r="T908" s="36"/>
      <c r="U908" s="41"/>
      <c r="V908" s="36"/>
      <c r="W908" s="36"/>
      <c r="X908" s="40" t="str">
        <f aca="false">IF($M908="","",$M908&amp;"#"&amp;COUNTIF($M$4:$M908,$M908))</f>
        <v/>
      </c>
      <c r="Y908" s="40" t="str">
        <f aca="false">IF($B908="","",IF($C908="","NIK kosong",IF(LEN($C908)&lt;&gt;16,"NIK bukan 16 digit",IF(COUNTIF($C$4:$C$2003,$C908&amp;"*")&gt;1,"NIK ganda",IF(AND($D908&lt;&gt;"",LEN($D908)&lt;&gt;16),"No. KK bukan 16 digit",IF(AND($F908="",$I908=""),"Alamat kosong",IF($N908="","Jabatan kosong",IF($O908="","No. HP kosong",IF(AND($R908&lt;&gt;"",$R908&lt;17),"Usia di bawah 17","")))))))))</f>
        <v/>
      </c>
      <c r="Z908" s="40" t="str">
        <f aca="false">IF($B908="","",IF(AND(OR(CARI!$C$5="",ISNUMBER(SEARCH(CARI!$C$5,$B908&amp;" "&amp;$C908&amp;" "&amp;$D908&amp;" "&amp;$O908&amp;" "&amp;$I908&amp;" "&amp;$F908&amp;" "&amp;$J908&amp;" "&amp;$K908&amp;" "&amp;$L908&amp;" "&amp;$V908))),OR(CARI!$C$6="",$F908=CARI!$C$6),OR(CARI!$C$7="",$G908=CARI!$C$7),OR(CARI!$C$8="",$T908=CARI!$C$8)),MAX($Z$3:Z907)+1,""))</f>
        <v/>
      </c>
      <c r="AA908" s="40" t="str">
        <f aca="false">IF($Y908="","",MAX($AA$3:AA907)+1)</f>
        <v/>
      </c>
      <c r="AB908" s="40" t="str">
        <f aca="false">IF($F908="","",$F908&amp;"#"&amp;COUNTIF($F$4:$F908,$F908))</f>
        <v/>
      </c>
      <c r="AC908" s="40" t="str">
        <f aca="false">IF($B908="","",IF(AND(OR(CETAK!$J$10="",$F908=CETAK!$J$10),OR(CETAK!$J$11="",$G908=CETAK!$J$11),OR(CETAK!$J$12="",$P908=CETAK!$J$12),OR(CETAK!$J$13="",$N908=CETAK!$J$13),OR(CETAK!$J$14="",$T908=CETAK!$J$14)),MAX($AC$3:AC907)+1,""))</f>
        <v/>
      </c>
      <c r="AD908" s="40" t="str">
        <f aca="false">IF($B908="","",IF(AND(OR(ABSENSI!$H$10="",$F908=ABSENSI!$H$10),OR(ABSENSI!$H$11="",$G908=ABSENSI!$H$11),OR(ABSENSI!$H$12="",$P908=ABSENSI!$H$12)),MAX($AD$3:AD907)+1,""))</f>
        <v/>
      </c>
      <c r="AE908" s="40" t="str">
        <f aca="false">IF($B908="","",IF(AND(OR(KARTU!$K$6="",$F908=KARTU!$K$6),OR(KARTU!$K$7="",$G908=KARTU!$K$7),OR(KARTU!$K$8="",$P908=KARTU!$K$8)),MAX($AE$3:AE907)+1,""))</f>
        <v/>
      </c>
    </row>
    <row r="909" customFormat="false" ht="15" hidden="false" customHeight="false" outlineLevel="0" collapsed="false">
      <c r="A909" s="35" t="str">
        <f aca="false">IF($B909="","",COUNTA($B$4:$B909))</f>
        <v/>
      </c>
      <c r="B909" s="36"/>
      <c r="C909" s="37"/>
      <c r="D909" s="37"/>
      <c r="E909" s="38"/>
      <c r="F909" s="36"/>
      <c r="G909" s="39"/>
      <c r="H909" s="39"/>
      <c r="I909" s="36"/>
      <c r="J909" s="36"/>
      <c r="K909" s="36"/>
      <c r="L909" s="36"/>
      <c r="M909" s="40" t="str">
        <f aca="false">IF($F909="","",$F909&amp;IF($G909="",""," - RT "&amp;$G909&amp;IF($H909="","","/"&amp;$H909)))</f>
        <v/>
      </c>
      <c r="N909" s="36"/>
      <c r="O909" s="37"/>
      <c r="P909" s="39"/>
      <c r="Q909" s="41"/>
      <c r="R909" s="35" t="str">
        <f aca="true">IF(OR($B909="",$Q909=""),"",DATEDIF($Q909,TODAY(),"Y"))</f>
        <v/>
      </c>
      <c r="S909" s="40" t="str">
        <f aca="false">IF($R909="","",INDEX(usia_label,MATCH($R909,usia_min,1)))</f>
        <v/>
      </c>
      <c r="T909" s="36"/>
      <c r="U909" s="41"/>
      <c r="V909" s="36"/>
      <c r="W909" s="36"/>
      <c r="X909" s="40" t="str">
        <f aca="false">IF($M909="","",$M909&amp;"#"&amp;COUNTIF($M$4:$M909,$M909))</f>
        <v/>
      </c>
      <c r="Y909" s="40" t="str">
        <f aca="false">IF($B909="","",IF($C909="","NIK kosong",IF(LEN($C909)&lt;&gt;16,"NIK bukan 16 digit",IF(COUNTIF($C$4:$C$2003,$C909&amp;"*")&gt;1,"NIK ganda",IF(AND($D909&lt;&gt;"",LEN($D909)&lt;&gt;16),"No. KK bukan 16 digit",IF(AND($F909="",$I909=""),"Alamat kosong",IF($N909="","Jabatan kosong",IF($O909="","No. HP kosong",IF(AND($R909&lt;&gt;"",$R909&lt;17),"Usia di bawah 17","")))))))))</f>
        <v/>
      </c>
      <c r="Z909" s="40" t="str">
        <f aca="false">IF($B909="","",IF(AND(OR(CARI!$C$5="",ISNUMBER(SEARCH(CARI!$C$5,$B909&amp;" "&amp;$C909&amp;" "&amp;$D909&amp;" "&amp;$O909&amp;" "&amp;$I909&amp;" "&amp;$F909&amp;" "&amp;$J909&amp;" "&amp;$K909&amp;" "&amp;$L909&amp;" "&amp;$V909))),OR(CARI!$C$6="",$F909=CARI!$C$6),OR(CARI!$C$7="",$G909=CARI!$C$7),OR(CARI!$C$8="",$T909=CARI!$C$8)),MAX($Z$3:Z908)+1,""))</f>
        <v/>
      </c>
      <c r="AA909" s="40" t="str">
        <f aca="false">IF($Y909="","",MAX($AA$3:AA908)+1)</f>
        <v/>
      </c>
      <c r="AB909" s="40" t="str">
        <f aca="false">IF($F909="","",$F909&amp;"#"&amp;COUNTIF($F$4:$F909,$F909))</f>
        <v/>
      </c>
      <c r="AC909" s="40" t="str">
        <f aca="false">IF($B909="","",IF(AND(OR(CETAK!$J$10="",$F909=CETAK!$J$10),OR(CETAK!$J$11="",$G909=CETAK!$J$11),OR(CETAK!$J$12="",$P909=CETAK!$J$12),OR(CETAK!$J$13="",$N909=CETAK!$J$13),OR(CETAK!$J$14="",$T909=CETAK!$J$14)),MAX($AC$3:AC908)+1,""))</f>
        <v/>
      </c>
      <c r="AD909" s="40" t="str">
        <f aca="false">IF($B909="","",IF(AND(OR(ABSENSI!$H$10="",$F909=ABSENSI!$H$10),OR(ABSENSI!$H$11="",$G909=ABSENSI!$H$11),OR(ABSENSI!$H$12="",$P909=ABSENSI!$H$12)),MAX($AD$3:AD908)+1,""))</f>
        <v/>
      </c>
      <c r="AE909" s="40" t="str">
        <f aca="false">IF($B909="","",IF(AND(OR(KARTU!$K$6="",$F909=KARTU!$K$6),OR(KARTU!$K$7="",$G909=KARTU!$K$7),OR(KARTU!$K$8="",$P909=KARTU!$K$8)),MAX($AE$3:AE908)+1,""))</f>
        <v/>
      </c>
    </row>
    <row r="910" customFormat="false" ht="15" hidden="false" customHeight="false" outlineLevel="0" collapsed="false">
      <c r="A910" s="35" t="str">
        <f aca="false">IF($B910="","",COUNTA($B$4:$B910))</f>
        <v/>
      </c>
      <c r="B910" s="36"/>
      <c r="C910" s="37"/>
      <c r="D910" s="37"/>
      <c r="E910" s="38"/>
      <c r="F910" s="36"/>
      <c r="G910" s="39"/>
      <c r="H910" s="39"/>
      <c r="I910" s="36"/>
      <c r="J910" s="36"/>
      <c r="K910" s="36"/>
      <c r="L910" s="36"/>
      <c r="M910" s="40" t="str">
        <f aca="false">IF($F910="","",$F910&amp;IF($G910="",""," - RT "&amp;$G910&amp;IF($H910="","","/"&amp;$H910)))</f>
        <v/>
      </c>
      <c r="N910" s="36"/>
      <c r="O910" s="37"/>
      <c r="P910" s="39"/>
      <c r="Q910" s="41"/>
      <c r="R910" s="35" t="str">
        <f aca="true">IF(OR($B910="",$Q910=""),"",DATEDIF($Q910,TODAY(),"Y"))</f>
        <v/>
      </c>
      <c r="S910" s="40" t="str">
        <f aca="false">IF($R910="","",INDEX(usia_label,MATCH($R910,usia_min,1)))</f>
        <v/>
      </c>
      <c r="T910" s="36"/>
      <c r="U910" s="41"/>
      <c r="V910" s="36"/>
      <c r="W910" s="36"/>
      <c r="X910" s="40" t="str">
        <f aca="false">IF($M910="","",$M910&amp;"#"&amp;COUNTIF($M$4:$M910,$M910))</f>
        <v/>
      </c>
      <c r="Y910" s="40" t="str">
        <f aca="false">IF($B910="","",IF($C910="","NIK kosong",IF(LEN($C910)&lt;&gt;16,"NIK bukan 16 digit",IF(COUNTIF($C$4:$C$2003,$C910&amp;"*")&gt;1,"NIK ganda",IF(AND($D910&lt;&gt;"",LEN($D910)&lt;&gt;16),"No. KK bukan 16 digit",IF(AND($F910="",$I910=""),"Alamat kosong",IF($N910="","Jabatan kosong",IF($O910="","No. HP kosong",IF(AND($R910&lt;&gt;"",$R910&lt;17),"Usia di bawah 17","")))))))))</f>
        <v/>
      </c>
      <c r="Z910" s="40" t="str">
        <f aca="false">IF($B910="","",IF(AND(OR(CARI!$C$5="",ISNUMBER(SEARCH(CARI!$C$5,$B910&amp;" "&amp;$C910&amp;" "&amp;$D910&amp;" "&amp;$O910&amp;" "&amp;$I910&amp;" "&amp;$F910&amp;" "&amp;$J910&amp;" "&amp;$K910&amp;" "&amp;$L910&amp;" "&amp;$V910))),OR(CARI!$C$6="",$F910=CARI!$C$6),OR(CARI!$C$7="",$G910=CARI!$C$7),OR(CARI!$C$8="",$T910=CARI!$C$8)),MAX($Z$3:Z909)+1,""))</f>
        <v/>
      </c>
      <c r="AA910" s="40" t="str">
        <f aca="false">IF($Y910="","",MAX($AA$3:AA909)+1)</f>
        <v/>
      </c>
      <c r="AB910" s="40" t="str">
        <f aca="false">IF($F910="","",$F910&amp;"#"&amp;COUNTIF($F$4:$F910,$F910))</f>
        <v/>
      </c>
      <c r="AC910" s="40" t="str">
        <f aca="false">IF($B910="","",IF(AND(OR(CETAK!$J$10="",$F910=CETAK!$J$10),OR(CETAK!$J$11="",$G910=CETAK!$J$11),OR(CETAK!$J$12="",$P910=CETAK!$J$12),OR(CETAK!$J$13="",$N910=CETAK!$J$13),OR(CETAK!$J$14="",$T910=CETAK!$J$14)),MAX($AC$3:AC909)+1,""))</f>
        <v/>
      </c>
      <c r="AD910" s="40" t="str">
        <f aca="false">IF($B910="","",IF(AND(OR(ABSENSI!$H$10="",$F910=ABSENSI!$H$10),OR(ABSENSI!$H$11="",$G910=ABSENSI!$H$11),OR(ABSENSI!$H$12="",$P910=ABSENSI!$H$12)),MAX($AD$3:AD909)+1,""))</f>
        <v/>
      </c>
      <c r="AE910" s="40" t="str">
        <f aca="false">IF($B910="","",IF(AND(OR(KARTU!$K$6="",$F910=KARTU!$K$6),OR(KARTU!$K$7="",$G910=KARTU!$K$7),OR(KARTU!$K$8="",$P910=KARTU!$K$8)),MAX($AE$3:AE909)+1,""))</f>
        <v/>
      </c>
    </row>
    <row r="911" customFormat="false" ht="15" hidden="false" customHeight="false" outlineLevel="0" collapsed="false">
      <c r="A911" s="35" t="str">
        <f aca="false">IF($B911="","",COUNTA($B$4:$B911))</f>
        <v/>
      </c>
      <c r="B911" s="36"/>
      <c r="C911" s="37"/>
      <c r="D911" s="37"/>
      <c r="E911" s="38"/>
      <c r="F911" s="36"/>
      <c r="G911" s="39"/>
      <c r="H911" s="39"/>
      <c r="I911" s="36"/>
      <c r="J911" s="36"/>
      <c r="K911" s="36"/>
      <c r="L911" s="36"/>
      <c r="M911" s="40" t="str">
        <f aca="false">IF($F911="","",$F911&amp;IF($G911="",""," - RT "&amp;$G911&amp;IF($H911="","","/"&amp;$H911)))</f>
        <v/>
      </c>
      <c r="N911" s="36"/>
      <c r="O911" s="37"/>
      <c r="P911" s="39"/>
      <c r="Q911" s="41"/>
      <c r="R911" s="35" t="str">
        <f aca="true">IF(OR($B911="",$Q911=""),"",DATEDIF($Q911,TODAY(),"Y"))</f>
        <v/>
      </c>
      <c r="S911" s="40" t="str">
        <f aca="false">IF($R911="","",INDEX(usia_label,MATCH($R911,usia_min,1)))</f>
        <v/>
      </c>
      <c r="T911" s="36"/>
      <c r="U911" s="41"/>
      <c r="V911" s="36"/>
      <c r="W911" s="36"/>
      <c r="X911" s="40" t="str">
        <f aca="false">IF($M911="","",$M911&amp;"#"&amp;COUNTIF($M$4:$M911,$M911))</f>
        <v/>
      </c>
      <c r="Y911" s="40" t="str">
        <f aca="false">IF($B911="","",IF($C911="","NIK kosong",IF(LEN($C911)&lt;&gt;16,"NIK bukan 16 digit",IF(COUNTIF($C$4:$C$2003,$C911&amp;"*")&gt;1,"NIK ganda",IF(AND($D911&lt;&gt;"",LEN($D911)&lt;&gt;16),"No. KK bukan 16 digit",IF(AND($F911="",$I911=""),"Alamat kosong",IF($N911="","Jabatan kosong",IF($O911="","No. HP kosong",IF(AND($R911&lt;&gt;"",$R911&lt;17),"Usia di bawah 17","")))))))))</f>
        <v/>
      </c>
      <c r="Z911" s="40" t="str">
        <f aca="false">IF($B911="","",IF(AND(OR(CARI!$C$5="",ISNUMBER(SEARCH(CARI!$C$5,$B911&amp;" "&amp;$C911&amp;" "&amp;$D911&amp;" "&amp;$O911&amp;" "&amp;$I911&amp;" "&amp;$F911&amp;" "&amp;$J911&amp;" "&amp;$K911&amp;" "&amp;$L911&amp;" "&amp;$V911))),OR(CARI!$C$6="",$F911=CARI!$C$6),OR(CARI!$C$7="",$G911=CARI!$C$7),OR(CARI!$C$8="",$T911=CARI!$C$8)),MAX($Z$3:Z910)+1,""))</f>
        <v/>
      </c>
      <c r="AA911" s="40" t="str">
        <f aca="false">IF($Y911="","",MAX($AA$3:AA910)+1)</f>
        <v/>
      </c>
      <c r="AB911" s="40" t="str">
        <f aca="false">IF($F911="","",$F911&amp;"#"&amp;COUNTIF($F$4:$F911,$F911))</f>
        <v/>
      </c>
      <c r="AC911" s="40" t="str">
        <f aca="false">IF($B911="","",IF(AND(OR(CETAK!$J$10="",$F911=CETAK!$J$10),OR(CETAK!$J$11="",$G911=CETAK!$J$11),OR(CETAK!$J$12="",$P911=CETAK!$J$12),OR(CETAK!$J$13="",$N911=CETAK!$J$13),OR(CETAK!$J$14="",$T911=CETAK!$J$14)),MAX($AC$3:AC910)+1,""))</f>
        <v/>
      </c>
      <c r="AD911" s="40" t="str">
        <f aca="false">IF($B911="","",IF(AND(OR(ABSENSI!$H$10="",$F911=ABSENSI!$H$10),OR(ABSENSI!$H$11="",$G911=ABSENSI!$H$11),OR(ABSENSI!$H$12="",$P911=ABSENSI!$H$12)),MAX($AD$3:AD910)+1,""))</f>
        <v/>
      </c>
      <c r="AE911" s="40" t="str">
        <f aca="false">IF($B911="","",IF(AND(OR(KARTU!$K$6="",$F911=KARTU!$K$6),OR(KARTU!$K$7="",$G911=KARTU!$K$7),OR(KARTU!$K$8="",$P911=KARTU!$K$8)),MAX($AE$3:AE910)+1,""))</f>
        <v/>
      </c>
    </row>
    <row r="912" customFormat="false" ht="15" hidden="false" customHeight="false" outlineLevel="0" collapsed="false">
      <c r="A912" s="35" t="str">
        <f aca="false">IF($B912="","",COUNTA($B$4:$B912))</f>
        <v/>
      </c>
      <c r="B912" s="36"/>
      <c r="C912" s="37"/>
      <c r="D912" s="37"/>
      <c r="E912" s="38"/>
      <c r="F912" s="36"/>
      <c r="G912" s="39"/>
      <c r="H912" s="39"/>
      <c r="I912" s="36"/>
      <c r="J912" s="36"/>
      <c r="K912" s="36"/>
      <c r="L912" s="36"/>
      <c r="M912" s="40" t="str">
        <f aca="false">IF($F912="","",$F912&amp;IF($G912="",""," - RT "&amp;$G912&amp;IF($H912="","","/"&amp;$H912)))</f>
        <v/>
      </c>
      <c r="N912" s="36"/>
      <c r="O912" s="37"/>
      <c r="P912" s="39"/>
      <c r="Q912" s="41"/>
      <c r="R912" s="35" t="str">
        <f aca="true">IF(OR($B912="",$Q912=""),"",DATEDIF($Q912,TODAY(),"Y"))</f>
        <v/>
      </c>
      <c r="S912" s="40" t="str">
        <f aca="false">IF($R912="","",INDEX(usia_label,MATCH($R912,usia_min,1)))</f>
        <v/>
      </c>
      <c r="T912" s="36"/>
      <c r="U912" s="41"/>
      <c r="V912" s="36"/>
      <c r="W912" s="36"/>
      <c r="X912" s="40" t="str">
        <f aca="false">IF($M912="","",$M912&amp;"#"&amp;COUNTIF($M$4:$M912,$M912))</f>
        <v/>
      </c>
      <c r="Y912" s="40" t="str">
        <f aca="false">IF($B912="","",IF($C912="","NIK kosong",IF(LEN($C912)&lt;&gt;16,"NIK bukan 16 digit",IF(COUNTIF($C$4:$C$2003,$C912&amp;"*")&gt;1,"NIK ganda",IF(AND($D912&lt;&gt;"",LEN($D912)&lt;&gt;16),"No. KK bukan 16 digit",IF(AND($F912="",$I912=""),"Alamat kosong",IF($N912="","Jabatan kosong",IF($O912="","No. HP kosong",IF(AND($R912&lt;&gt;"",$R912&lt;17),"Usia di bawah 17","")))))))))</f>
        <v/>
      </c>
      <c r="Z912" s="40" t="str">
        <f aca="false">IF($B912="","",IF(AND(OR(CARI!$C$5="",ISNUMBER(SEARCH(CARI!$C$5,$B912&amp;" "&amp;$C912&amp;" "&amp;$D912&amp;" "&amp;$O912&amp;" "&amp;$I912&amp;" "&amp;$F912&amp;" "&amp;$J912&amp;" "&amp;$K912&amp;" "&amp;$L912&amp;" "&amp;$V912))),OR(CARI!$C$6="",$F912=CARI!$C$6),OR(CARI!$C$7="",$G912=CARI!$C$7),OR(CARI!$C$8="",$T912=CARI!$C$8)),MAX($Z$3:Z911)+1,""))</f>
        <v/>
      </c>
      <c r="AA912" s="40" t="str">
        <f aca="false">IF($Y912="","",MAX($AA$3:AA911)+1)</f>
        <v/>
      </c>
      <c r="AB912" s="40" t="str">
        <f aca="false">IF($F912="","",$F912&amp;"#"&amp;COUNTIF($F$4:$F912,$F912))</f>
        <v/>
      </c>
      <c r="AC912" s="40" t="str">
        <f aca="false">IF($B912="","",IF(AND(OR(CETAK!$J$10="",$F912=CETAK!$J$10),OR(CETAK!$J$11="",$G912=CETAK!$J$11),OR(CETAK!$J$12="",$P912=CETAK!$J$12),OR(CETAK!$J$13="",$N912=CETAK!$J$13),OR(CETAK!$J$14="",$T912=CETAK!$J$14)),MAX($AC$3:AC911)+1,""))</f>
        <v/>
      </c>
      <c r="AD912" s="40" t="str">
        <f aca="false">IF($B912="","",IF(AND(OR(ABSENSI!$H$10="",$F912=ABSENSI!$H$10),OR(ABSENSI!$H$11="",$G912=ABSENSI!$H$11),OR(ABSENSI!$H$12="",$P912=ABSENSI!$H$12)),MAX($AD$3:AD911)+1,""))</f>
        <v/>
      </c>
      <c r="AE912" s="40" t="str">
        <f aca="false">IF($B912="","",IF(AND(OR(KARTU!$K$6="",$F912=KARTU!$K$6),OR(KARTU!$K$7="",$G912=KARTU!$K$7),OR(KARTU!$K$8="",$P912=KARTU!$K$8)),MAX($AE$3:AE911)+1,""))</f>
        <v/>
      </c>
    </row>
    <row r="913" customFormat="false" ht="15" hidden="false" customHeight="false" outlineLevel="0" collapsed="false">
      <c r="A913" s="35" t="str">
        <f aca="false">IF($B913="","",COUNTA($B$4:$B913))</f>
        <v/>
      </c>
      <c r="B913" s="36"/>
      <c r="C913" s="37"/>
      <c r="D913" s="37"/>
      <c r="E913" s="38"/>
      <c r="F913" s="36"/>
      <c r="G913" s="39"/>
      <c r="H913" s="39"/>
      <c r="I913" s="36"/>
      <c r="J913" s="36"/>
      <c r="K913" s="36"/>
      <c r="L913" s="36"/>
      <c r="M913" s="40" t="str">
        <f aca="false">IF($F913="","",$F913&amp;IF($G913="",""," - RT "&amp;$G913&amp;IF($H913="","","/"&amp;$H913)))</f>
        <v/>
      </c>
      <c r="N913" s="36"/>
      <c r="O913" s="37"/>
      <c r="P913" s="39"/>
      <c r="Q913" s="41"/>
      <c r="R913" s="35" t="str">
        <f aca="true">IF(OR($B913="",$Q913=""),"",DATEDIF($Q913,TODAY(),"Y"))</f>
        <v/>
      </c>
      <c r="S913" s="40" t="str">
        <f aca="false">IF($R913="","",INDEX(usia_label,MATCH($R913,usia_min,1)))</f>
        <v/>
      </c>
      <c r="T913" s="36"/>
      <c r="U913" s="41"/>
      <c r="V913" s="36"/>
      <c r="W913" s="36"/>
      <c r="X913" s="40" t="str">
        <f aca="false">IF($M913="","",$M913&amp;"#"&amp;COUNTIF($M$4:$M913,$M913))</f>
        <v/>
      </c>
      <c r="Y913" s="40" t="str">
        <f aca="false">IF($B913="","",IF($C913="","NIK kosong",IF(LEN($C913)&lt;&gt;16,"NIK bukan 16 digit",IF(COUNTIF($C$4:$C$2003,$C913&amp;"*")&gt;1,"NIK ganda",IF(AND($D913&lt;&gt;"",LEN($D913)&lt;&gt;16),"No. KK bukan 16 digit",IF(AND($F913="",$I913=""),"Alamat kosong",IF($N913="","Jabatan kosong",IF($O913="","No. HP kosong",IF(AND($R913&lt;&gt;"",$R913&lt;17),"Usia di bawah 17","")))))))))</f>
        <v/>
      </c>
      <c r="Z913" s="40" t="str">
        <f aca="false">IF($B913="","",IF(AND(OR(CARI!$C$5="",ISNUMBER(SEARCH(CARI!$C$5,$B913&amp;" "&amp;$C913&amp;" "&amp;$D913&amp;" "&amp;$O913&amp;" "&amp;$I913&amp;" "&amp;$F913&amp;" "&amp;$J913&amp;" "&amp;$K913&amp;" "&amp;$L913&amp;" "&amp;$V913))),OR(CARI!$C$6="",$F913=CARI!$C$6),OR(CARI!$C$7="",$G913=CARI!$C$7),OR(CARI!$C$8="",$T913=CARI!$C$8)),MAX($Z$3:Z912)+1,""))</f>
        <v/>
      </c>
      <c r="AA913" s="40" t="str">
        <f aca="false">IF($Y913="","",MAX($AA$3:AA912)+1)</f>
        <v/>
      </c>
      <c r="AB913" s="40" t="str">
        <f aca="false">IF($F913="","",$F913&amp;"#"&amp;COUNTIF($F$4:$F913,$F913))</f>
        <v/>
      </c>
      <c r="AC913" s="40" t="str">
        <f aca="false">IF($B913="","",IF(AND(OR(CETAK!$J$10="",$F913=CETAK!$J$10),OR(CETAK!$J$11="",$G913=CETAK!$J$11),OR(CETAK!$J$12="",$P913=CETAK!$J$12),OR(CETAK!$J$13="",$N913=CETAK!$J$13),OR(CETAK!$J$14="",$T913=CETAK!$J$14)),MAX($AC$3:AC912)+1,""))</f>
        <v/>
      </c>
      <c r="AD913" s="40" t="str">
        <f aca="false">IF($B913="","",IF(AND(OR(ABSENSI!$H$10="",$F913=ABSENSI!$H$10),OR(ABSENSI!$H$11="",$G913=ABSENSI!$H$11),OR(ABSENSI!$H$12="",$P913=ABSENSI!$H$12)),MAX($AD$3:AD912)+1,""))</f>
        <v/>
      </c>
      <c r="AE913" s="40" t="str">
        <f aca="false">IF($B913="","",IF(AND(OR(KARTU!$K$6="",$F913=KARTU!$K$6),OR(KARTU!$K$7="",$G913=KARTU!$K$7),OR(KARTU!$K$8="",$P913=KARTU!$K$8)),MAX($AE$3:AE912)+1,""))</f>
        <v/>
      </c>
    </row>
    <row r="914" customFormat="false" ht="15" hidden="false" customHeight="false" outlineLevel="0" collapsed="false">
      <c r="A914" s="35" t="str">
        <f aca="false">IF($B914="","",COUNTA($B$4:$B914))</f>
        <v/>
      </c>
      <c r="B914" s="36"/>
      <c r="C914" s="37"/>
      <c r="D914" s="37"/>
      <c r="E914" s="38"/>
      <c r="F914" s="36"/>
      <c r="G914" s="39"/>
      <c r="H914" s="39"/>
      <c r="I914" s="36"/>
      <c r="J914" s="36"/>
      <c r="K914" s="36"/>
      <c r="L914" s="36"/>
      <c r="M914" s="40" t="str">
        <f aca="false">IF($F914="","",$F914&amp;IF($G914="",""," - RT "&amp;$G914&amp;IF($H914="","","/"&amp;$H914)))</f>
        <v/>
      </c>
      <c r="N914" s="36"/>
      <c r="O914" s="37"/>
      <c r="P914" s="39"/>
      <c r="Q914" s="41"/>
      <c r="R914" s="35" t="str">
        <f aca="true">IF(OR($B914="",$Q914=""),"",DATEDIF($Q914,TODAY(),"Y"))</f>
        <v/>
      </c>
      <c r="S914" s="40" t="str">
        <f aca="false">IF($R914="","",INDEX(usia_label,MATCH($R914,usia_min,1)))</f>
        <v/>
      </c>
      <c r="T914" s="36"/>
      <c r="U914" s="41"/>
      <c r="V914" s="36"/>
      <c r="W914" s="36"/>
      <c r="X914" s="40" t="str">
        <f aca="false">IF($M914="","",$M914&amp;"#"&amp;COUNTIF($M$4:$M914,$M914))</f>
        <v/>
      </c>
      <c r="Y914" s="40" t="str">
        <f aca="false">IF($B914="","",IF($C914="","NIK kosong",IF(LEN($C914)&lt;&gt;16,"NIK bukan 16 digit",IF(COUNTIF($C$4:$C$2003,$C914&amp;"*")&gt;1,"NIK ganda",IF(AND($D914&lt;&gt;"",LEN($D914)&lt;&gt;16),"No. KK bukan 16 digit",IF(AND($F914="",$I914=""),"Alamat kosong",IF($N914="","Jabatan kosong",IF($O914="","No. HP kosong",IF(AND($R914&lt;&gt;"",$R914&lt;17),"Usia di bawah 17","")))))))))</f>
        <v/>
      </c>
      <c r="Z914" s="40" t="str">
        <f aca="false">IF($B914="","",IF(AND(OR(CARI!$C$5="",ISNUMBER(SEARCH(CARI!$C$5,$B914&amp;" "&amp;$C914&amp;" "&amp;$D914&amp;" "&amp;$O914&amp;" "&amp;$I914&amp;" "&amp;$F914&amp;" "&amp;$J914&amp;" "&amp;$K914&amp;" "&amp;$L914&amp;" "&amp;$V914))),OR(CARI!$C$6="",$F914=CARI!$C$6),OR(CARI!$C$7="",$G914=CARI!$C$7),OR(CARI!$C$8="",$T914=CARI!$C$8)),MAX($Z$3:Z913)+1,""))</f>
        <v/>
      </c>
      <c r="AA914" s="40" t="str">
        <f aca="false">IF($Y914="","",MAX($AA$3:AA913)+1)</f>
        <v/>
      </c>
      <c r="AB914" s="40" t="str">
        <f aca="false">IF($F914="","",$F914&amp;"#"&amp;COUNTIF($F$4:$F914,$F914))</f>
        <v/>
      </c>
      <c r="AC914" s="40" t="str">
        <f aca="false">IF($B914="","",IF(AND(OR(CETAK!$J$10="",$F914=CETAK!$J$10),OR(CETAK!$J$11="",$G914=CETAK!$J$11),OR(CETAK!$J$12="",$P914=CETAK!$J$12),OR(CETAK!$J$13="",$N914=CETAK!$J$13),OR(CETAK!$J$14="",$T914=CETAK!$J$14)),MAX($AC$3:AC913)+1,""))</f>
        <v/>
      </c>
      <c r="AD914" s="40" t="str">
        <f aca="false">IF($B914="","",IF(AND(OR(ABSENSI!$H$10="",$F914=ABSENSI!$H$10),OR(ABSENSI!$H$11="",$G914=ABSENSI!$H$11),OR(ABSENSI!$H$12="",$P914=ABSENSI!$H$12)),MAX($AD$3:AD913)+1,""))</f>
        <v/>
      </c>
      <c r="AE914" s="40" t="str">
        <f aca="false">IF($B914="","",IF(AND(OR(KARTU!$K$6="",$F914=KARTU!$K$6),OR(KARTU!$K$7="",$G914=KARTU!$K$7),OR(KARTU!$K$8="",$P914=KARTU!$K$8)),MAX($AE$3:AE913)+1,""))</f>
        <v/>
      </c>
    </row>
    <row r="915" customFormat="false" ht="15" hidden="false" customHeight="false" outlineLevel="0" collapsed="false">
      <c r="A915" s="35" t="str">
        <f aca="false">IF($B915="","",COUNTA($B$4:$B915))</f>
        <v/>
      </c>
      <c r="B915" s="36"/>
      <c r="C915" s="37"/>
      <c r="D915" s="37"/>
      <c r="E915" s="38"/>
      <c r="F915" s="36"/>
      <c r="G915" s="39"/>
      <c r="H915" s="39"/>
      <c r="I915" s="36"/>
      <c r="J915" s="36"/>
      <c r="K915" s="36"/>
      <c r="L915" s="36"/>
      <c r="M915" s="40" t="str">
        <f aca="false">IF($F915="","",$F915&amp;IF($G915="",""," - RT "&amp;$G915&amp;IF($H915="","","/"&amp;$H915)))</f>
        <v/>
      </c>
      <c r="N915" s="36"/>
      <c r="O915" s="37"/>
      <c r="P915" s="39"/>
      <c r="Q915" s="41"/>
      <c r="R915" s="35" t="str">
        <f aca="true">IF(OR($B915="",$Q915=""),"",DATEDIF($Q915,TODAY(),"Y"))</f>
        <v/>
      </c>
      <c r="S915" s="40" t="str">
        <f aca="false">IF($R915="","",INDEX(usia_label,MATCH($R915,usia_min,1)))</f>
        <v/>
      </c>
      <c r="T915" s="36"/>
      <c r="U915" s="41"/>
      <c r="V915" s="36"/>
      <c r="W915" s="36"/>
      <c r="X915" s="40" t="str">
        <f aca="false">IF($M915="","",$M915&amp;"#"&amp;COUNTIF($M$4:$M915,$M915))</f>
        <v/>
      </c>
      <c r="Y915" s="40" t="str">
        <f aca="false">IF($B915="","",IF($C915="","NIK kosong",IF(LEN($C915)&lt;&gt;16,"NIK bukan 16 digit",IF(COUNTIF($C$4:$C$2003,$C915&amp;"*")&gt;1,"NIK ganda",IF(AND($D915&lt;&gt;"",LEN($D915)&lt;&gt;16),"No. KK bukan 16 digit",IF(AND($F915="",$I915=""),"Alamat kosong",IF($N915="","Jabatan kosong",IF($O915="","No. HP kosong",IF(AND($R915&lt;&gt;"",$R915&lt;17),"Usia di bawah 17","")))))))))</f>
        <v/>
      </c>
      <c r="Z915" s="40" t="str">
        <f aca="false">IF($B915="","",IF(AND(OR(CARI!$C$5="",ISNUMBER(SEARCH(CARI!$C$5,$B915&amp;" "&amp;$C915&amp;" "&amp;$D915&amp;" "&amp;$O915&amp;" "&amp;$I915&amp;" "&amp;$F915&amp;" "&amp;$J915&amp;" "&amp;$K915&amp;" "&amp;$L915&amp;" "&amp;$V915))),OR(CARI!$C$6="",$F915=CARI!$C$6),OR(CARI!$C$7="",$G915=CARI!$C$7),OR(CARI!$C$8="",$T915=CARI!$C$8)),MAX($Z$3:Z914)+1,""))</f>
        <v/>
      </c>
      <c r="AA915" s="40" t="str">
        <f aca="false">IF($Y915="","",MAX($AA$3:AA914)+1)</f>
        <v/>
      </c>
      <c r="AB915" s="40" t="str">
        <f aca="false">IF($F915="","",$F915&amp;"#"&amp;COUNTIF($F$4:$F915,$F915))</f>
        <v/>
      </c>
      <c r="AC915" s="40" t="str">
        <f aca="false">IF($B915="","",IF(AND(OR(CETAK!$J$10="",$F915=CETAK!$J$10),OR(CETAK!$J$11="",$G915=CETAK!$J$11),OR(CETAK!$J$12="",$P915=CETAK!$J$12),OR(CETAK!$J$13="",$N915=CETAK!$J$13),OR(CETAK!$J$14="",$T915=CETAK!$J$14)),MAX($AC$3:AC914)+1,""))</f>
        <v/>
      </c>
      <c r="AD915" s="40" t="str">
        <f aca="false">IF($B915="","",IF(AND(OR(ABSENSI!$H$10="",$F915=ABSENSI!$H$10),OR(ABSENSI!$H$11="",$G915=ABSENSI!$H$11),OR(ABSENSI!$H$12="",$P915=ABSENSI!$H$12)),MAX($AD$3:AD914)+1,""))</f>
        <v/>
      </c>
      <c r="AE915" s="40" t="str">
        <f aca="false">IF($B915="","",IF(AND(OR(KARTU!$K$6="",$F915=KARTU!$K$6),OR(KARTU!$K$7="",$G915=KARTU!$K$7),OR(KARTU!$K$8="",$P915=KARTU!$K$8)),MAX($AE$3:AE914)+1,""))</f>
        <v/>
      </c>
    </row>
    <row r="916" customFormat="false" ht="15" hidden="false" customHeight="false" outlineLevel="0" collapsed="false">
      <c r="A916" s="35" t="str">
        <f aca="false">IF($B916="","",COUNTA($B$4:$B916))</f>
        <v/>
      </c>
      <c r="B916" s="36"/>
      <c r="C916" s="37"/>
      <c r="D916" s="37"/>
      <c r="E916" s="38"/>
      <c r="F916" s="36"/>
      <c r="G916" s="39"/>
      <c r="H916" s="39"/>
      <c r="I916" s="36"/>
      <c r="J916" s="36"/>
      <c r="K916" s="36"/>
      <c r="L916" s="36"/>
      <c r="M916" s="40" t="str">
        <f aca="false">IF($F916="","",$F916&amp;IF($G916="",""," - RT "&amp;$G916&amp;IF($H916="","","/"&amp;$H916)))</f>
        <v/>
      </c>
      <c r="N916" s="36"/>
      <c r="O916" s="37"/>
      <c r="P916" s="39"/>
      <c r="Q916" s="41"/>
      <c r="R916" s="35" t="str">
        <f aca="true">IF(OR($B916="",$Q916=""),"",DATEDIF($Q916,TODAY(),"Y"))</f>
        <v/>
      </c>
      <c r="S916" s="40" t="str">
        <f aca="false">IF($R916="","",INDEX(usia_label,MATCH($R916,usia_min,1)))</f>
        <v/>
      </c>
      <c r="T916" s="36"/>
      <c r="U916" s="41"/>
      <c r="V916" s="36"/>
      <c r="W916" s="36"/>
      <c r="X916" s="40" t="str">
        <f aca="false">IF($M916="","",$M916&amp;"#"&amp;COUNTIF($M$4:$M916,$M916))</f>
        <v/>
      </c>
      <c r="Y916" s="40" t="str">
        <f aca="false">IF($B916="","",IF($C916="","NIK kosong",IF(LEN($C916)&lt;&gt;16,"NIK bukan 16 digit",IF(COUNTIF($C$4:$C$2003,$C916&amp;"*")&gt;1,"NIK ganda",IF(AND($D916&lt;&gt;"",LEN($D916)&lt;&gt;16),"No. KK bukan 16 digit",IF(AND($F916="",$I916=""),"Alamat kosong",IF($N916="","Jabatan kosong",IF($O916="","No. HP kosong",IF(AND($R916&lt;&gt;"",$R916&lt;17),"Usia di bawah 17","")))))))))</f>
        <v/>
      </c>
      <c r="Z916" s="40" t="str">
        <f aca="false">IF($B916="","",IF(AND(OR(CARI!$C$5="",ISNUMBER(SEARCH(CARI!$C$5,$B916&amp;" "&amp;$C916&amp;" "&amp;$D916&amp;" "&amp;$O916&amp;" "&amp;$I916&amp;" "&amp;$F916&amp;" "&amp;$J916&amp;" "&amp;$K916&amp;" "&amp;$L916&amp;" "&amp;$V916))),OR(CARI!$C$6="",$F916=CARI!$C$6),OR(CARI!$C$7="",$G916=CARI!$C$7),OR(CARI!$C$8="",$T916=CARI!$C$8)),MAX($Z$3:Z915)+1,""))</f>
        <v/>
      </c>
      <c r="AA916" s="40" t="str">
        <f aca="false">IF($Y916="","",MAX($AA$3:AA915)+1)</f>
        <v/>
      </c>
      <c r="AB916" s="40" t="str">
        <f aca="false">IF($F916="","",$F916&amp;"#"&amp;COUNTIF($F$4:$F916,$F916))</f>
        <v/>
      </c>
      <c r="AC916" s="40" t="str">
        <f aca="false">IF($B916="","",IF(AND(OR(CETAK!$J$10="",$F916=CETAK!$J$10),OR(CETAK!$J$11="",$G916=CETAK!$J$11),OR(CETAK!$J$12="",$P916=CETAK!$J$12),OR(CETAK!$J$13="",$N916=CETAK!$J$13),OR(CETAK!$J$14="",$T916=CETAK!$J$14)),MAX($AC$3:AC915)+1,""))</f>
        <v/>
      </c>
      <c r="AD916" s="40" t="str">
        <f aca="false">IF($B916="","",IF(AND(OR(ABSENSI!$H$10="",$F916=ABSENSI!$H$10),OR(ABSENSI!$H$11="",$G916=ABSENSI!$H$11),OR(ABSENSI!$H$12="",$P916=ABSENSI!$H$12)),MAX($AD$3:AD915)+1,""))</f>
        <v/>
      </c>
      <c r="AE916" s="40" t="str">
        <f aca="false">IF($B916="","",IF(AND(OR(KARTU!$K$6="",$F916=KARTU!$K$6),OR(KARTU!$K$7="",$G916=KARTU!$K$7),OR(KARTU!$K$8="",$P916=KARTU!$K$8)),MAX($AE$3:AE915)+1,""))</f>
        <v/>
      </c>
    </row>
    <row r="917" customFormat="false" ht="15" hidden="false" customHeight="false" outlineLevel="0" collapsed="false">
      <c r="A917" s="35" t="str">
        <f aca="false">IF($B917="","",COUNTA($B$4:$B917))</f>
        <v/>
      </c>
      <c r="B917" s="36"/>
      <c r="C917" s="37"/>
      <c r="D917" s="37"/>
      <c r="E917" s="38"/>
      <c r="F917" s="36"/>
      <c r="G917" s="39"/>
      <c r="H917" s="39"/>
      <c r="I917" s="36"/>
      <c r="J917" s="36"/>
      <c r="K917" s="36"/>
      <c r="L917" s="36"/>
      <c r="M917" s="40" t="str">
        <f aca="false">IF($F917="","",$F917&amp;IF($G917="",""," - RT "&amp;$G917&amp;IF($H917="","","/"&amp;$H917)))</f>
        <v/>
      </c>
      <c r="N917" s="36"/>
      <c r="O917" s="37"/>
      <c r="P917" s="39"/>
      <c r="Q917" s="41"/>
      <c r="R917" s="35" t="str">
        <f aca="true">IF(OR($B917="",$Q917=""),"",DATEDIF($Q917,TODAY(),"Y"))</f>
        <v/>
      </c>
      <c r="S917" s="40" t="str">
        <f aca="false">IF($R917="","",INDEX(usia_label,MATCH($R917,usia_min,1)))</f>
        <v/>
      </c>
      <c r="T917" s="36"/>
      <c r="U917" s="41"/>
      <c r="V917" s="36"/>
      <c r="W917" s="36"/>
      <c r="X917" s="40" t="str">
        <f aca="false">IF($M917="","",$M917&amp;"#"&amp;COUNTIF($M$4:$M917,$M917))</f>
        <v/>
      </c>
      <c r="Y917" s="40" t="str">
        <f aca="false">IF($B917="","",IF($C917="","NIK kosong",IF(LEN($C917)&lt;&gt;16,"NIK bukan 16 digit",IF(COUNTIF($C$4:$C$2003,$C917&amp;"*")&gt;1,"NIK ganda",IF(AND($D917&lt;&gt;"",LEN($D917)&lt;&gt;16),"No. KK bukan 16 digit",IF(AND($F917="",$I917=""),"Alamat kosong",IF($N917="","Jabatan kosong",IF($O917="","No. HP kosong",IF(AND($R917&lt;&gt;"",$R917&lt;17),"Usia di bawah 17","")))))))))</f>
        <v/>
      </c>
      <c r="Z917" s="40" t="str">
        <f aca="false">IF($B917="","",IF(AND(OR(CARI!$C$5="",ISNUMBER(SEARCH(CARI!$C$5,$B917&amp;" "&amp;$C917&amp;" "&amp;$D917&amp;" "&amp;$O917&amp;" "&amp;$I917&amp;" "&amp;$F917&amp;" "&amp;$J917&amp;" "&amp;$K917&amp;" "&amp;$L917&amp;" "&amp;$V917))),OR(CARI!$C$6="",$F917=CARI!$C$6),OR(CARI!$C$7="",$G917=CARI!$C$7),OR(CARI!$C$8="",$T917=CARI!$C$8)),MAX($Z$3:Z916)+1,""))</f>
        <v/>
      </c>
      <c r="AA917" s="40" t="str">
        <f aca="false">IF($Y917="","",MAX($AA$3:AA916)+1)</f>
        <v/>
      </c>
      <c r="AB917" s="40" t="str">
        <f aca="false">IF($F917="","",$F917&amp;"#"&amp;COUNTIF($F$4:$F917,$F917))</f>
        <v/>
      </c>
      <c r="AC917" s="40" t="str">
        <f aca="false">IF($B917="","",IF(AND(OR(CETAK!$J$10="",$F917=CETAK!$J$10),OR(CETAK!$J$11="",$G917=CETAK!$J$11),OR(CETAK!$J$12="",$P917=CETAK!$J$12),OR(CETAK!$J$13="",$N917=CETAK!$J$13),OR(CETAK!$J$14="",$T917=CETAK!$J$14)),MAX($AC$3:AC916)+1,""))</f>
        <v/>
      </c>
      <c r="AD917" s="40" t="str">
        <f aca="false">IF($B917="","",IF(AND(OR(ABSENSI!$H$10="",$F917=ABSENSI!$H$10),OR(ABSENSI!$H$11="",$G917=ABSENSI!$H$11),OR(ABSENSI!$H$12="",$P917=ABSENSI!$H$12)),MAX($AD$3:AD916)+1,""))</f>
        <v/>
      </c>
      <c r="AE917" s="40" t="str">
        <f aca="false">IF($B917="","",IF(AND(OR(KARTU!$K$6="",$F917=KARTU!$K$6),OR(KARTU!$K$7="",$G917=KARTU!$K$7),OR(KARTU!$K$8="",$P917=KARTU!$K$8)),MAX($AE$3:AE916)+1,""))</f>
        <v/>
      </c>
    </row>
    <row r="918" customFormat="false" ht="15" hidden="false" customHeight="false" outlineLevel="0" collapsed="false">
      <c r="A918" s="35" t="str">
        <f aca="false">IF($B918="","",COUNTA($B$4:$B918))</f>
        <v/>
      </c>
      <c r="B918" s="36"/>
      <c r="C918" s="37"/>
      <c r="D918" s="37"/>
      <c r="E918" s="38"/>
      <c r="F918" s="36"/>
      <c r="G918" s="39"/>
      <c r="H918" s="39"/>
      <c r="I918" s="36"/>
      <c r="J918" s="36"/>
      <c r="K918" s="36"/>
      <c r="L918" s="36"/>
      <c r="M918" s="40" t="str">
        <f aca="false">IF($F918="","",$F918&amp;IF($G918="",""," - RT "&amp;$G918&amp;IF($H918="","","/"&amp;$H918)))</f>
        <v/>
      </c>
      <c r="N918" s="36"/>
      <c r="O918" s="37"/>
      <c r="P918" s="39"/>
      <c r="Q918" s="41"/>
      <c r="R918" s="35" t="str">
        <f aca="true">IF(OR($B918="",$Q918=""),"",DATEDIF($Q918,TODAY(),"Y"))</f>
        <v/>
      </c>
      <c r="S918" s="40" t="str">
        <f aca="false">IF($R918="","",INDEX(usia_label,MATCH($R918,usia_min,1)))</f>
        <v/>
      </c>
      <c r="T918" s="36"/>
      <c r="U918" s="41"/>
      <c r="V918" s="36"/>
      <c r="W918" s="36"/>
      <c r="X918" s="40" t="str">
        <f aca="false">IF($M918="","",$M918&amp;"#"&amp;COUNTIF($M$4:$M918,$M918))</f>
        <v/>
      </c>
      <c r="Y918" s="40" t="str">
        <f aca="false">IF($B918="","",IF($C918="","NIK kosong",IF(LEN($C918)&lt;&gt;16,"NIK bukan 16 digit",IF(COUNTIF($C$4:$C$2003,$C918&amp;"*")&gt;1,"NIK ganda",IF(AND($D918&lt;&gt;"",LEN($D918)&lt;&gt;16),"No. KK bukan 16 digit",IF(AND($F918="",$I918=""),"Alamat kosong",IF($N918="","Jabatan kosong",IF($O918="","No. HP kosong",IF(AND($R918&lt;&gt;"",$R918&lt;17),"Usia di bawah 17","")))))))))</f>
        <v/>
      </c>
      <c r="Z918" s="40" t="str">
        <f aca="false">IF($B918="","",IF(AND(OR(CARI!$C$5="",ISNUMBER(SEARCH(CARI!$C$5,$B918&amp;" "&amp;$C918&amp;" "&amp;$D918&amp;" "&amp;$O918&amp;" "&amp;$I918&amp;" "&amp;$F918&amp;" "&amp;$J918&amp;" "&amp;$K918&amp;" "&amp;$L918&amp;" "&amp;$V918))),OR(CARI!$C$6="",$F918=CARI!$C$6),OR(CARI!$C$7="",$G918=CARI!$C$7),OR(CARI!$C$8="",$T918=CARI!$C$8)),MAX($Z$3:Z917)+1,""))</f>
        <v/>
      </c>
      <c r="AA918" s="40" t="str">
        <f aca="false">IF($Y918="","",MAX($AA$3:AA917)+1)</f>
        <v/>
      </c>
      <c r="AB918" s="40" t="str">
        <f aca="false">IF($F918="","",$F918&amp;"#"&amp;COUNTIF($F$4:$F918,$F918))</f>
        <v/>
      </c>
      <c r="AC918" s="40" t="str">
        <f aca="false">IF($B918="","",IF(AND(OR(CETAK!$J$10="",$F918=CETAK!$J$10),OR(CETAK!$J$11="",$G918=CETAK!$J$11),OR(CETAK!$J$12="",$P918=CETAK!$J$12),OR(CETAK!$J$13="",$N918=CETAK!$J$13),OR(CETAK!$J$14="",$T918=CETAK!$J$14)),MAX($AC$3:AC917)+1,""))</f>
        <v/>
      </c>
      <c r="AD918" s="40" t="str">
        <f aca="false">IF($B918="","",IF(AND(OR(ABSENSI!$H$10="",$F918=ABSENSI!$H$10),OR(ABSENSI!$H$11="",$G918=ABSENSI!$H$11),OR(ABSENSI!$H$12="",$P918=ABSENSI!$H$12)),MAX($AD$3:AD917)+1,""))</f>
        <v/>
      </c>
      <c r="AE918" s="40" t="str">
        <f aca="false">IF($B918="","",IF(AND(OR(KARTU!$K$6="",$F918=KARTU!$K$6),OR(KARTU!$K$7="",$G918=KARTU!$K$7),OR(KARTU!$K$8="",$P918=KARTU!$K$8)),MAX($AE$3:AE917)+1,""))</f>
        <v/>
      </c>
    </row>
    <row r="919" customFormat="false" ht="15" hidden="false" customHeight="false" outlineLevel="0" collapsed="false">
      <c r="A919" s="35" t="str">
        <f aca="false">IF($B919="","",COUNTA($B$4:$B919))</f>
        <v/>
      </c>
      <c r="B919" s="36"/>
      <c r="C919" s="37"/>
      <c r="D919" s="37"/>
      <c r="E919" s="38"/>
      <c r="F919" s="36"/>
      <c r="G919" s="39"/>
      <c r="H919" s="39"/>
      <c r="I919" s="36"/>
      <c r="J919" s="36"/>
      <c r="K919" s="36"/>
      <c r="L919" s="36"/>
      <c r="M919" s="40" t="str">
        <f aca="false">IF($F919="","",$F919&amp;IF($G919="",""," - RT "&amp;$G919&amp;IF($H919="","","/"&amp;$H919)))</f>
        <v/>
      </c>
      <c r="N919" s="36"/>
      <c r="O919" s="37"/>
      <c r="P919" s="39"/>
      <c r="Q919" s="41"/>
      <c r="R919" s="35" t="str">
        <f aca="true">IF(OR($B919="",$Q919=""),"",DATEDIF($Q919,TODAY(),"Y"))</f>
        <v/>
      </c>
      <c r="S919" s="40" t="str">
        <f aca="false">IF($R919="","",INDEX(usia_label,MATCH($R919,usia_min,1)))</f>
        <v/>
      </c>
      <c r="T919" s="36"/>
      <c r="U919" s="41"/>
      <c r="V919" s="36"/>
      <c r="W919" s="36"/>
      <c r="X919" s="40" t="str">
        <f aca="false">IF($M919="","",$M919&amp;"#"&amp;COUNTIF($M$4:$M919,$M919))</f>
        <v/>
      </c>
      <c r="Y919" s="40" t="str">
        <f aca="false">IF($B919="","",IF($C919="","NIK kosong",IF(LEN($C919)&lt;&gt;16,"NIK bukan 16 digit",IF(COUNTIF($C$4:$C$2003,$C919&amp;"*")&gt;1,"NIK ganda",IF(AND($D919&lt;&gt;"",LEN($D919)&lt;&gt;16),"No. KK bukan 16 digit",IF(AND($F919="",$I919=""),"Alamat kosong",IF($N919="","Jabatan kosong",IF($O919="","No. HP kosong",IF(AND($R919&lt;&gt;"",$R919&lt;17),"Usia di bawah 17","")))))))))</f>
        <v/>
      </c>
      <c r="Z919" s="40" t="str">
        <f aca="false">IF($B919="","",IF(AND(OR(CARI!$C$5="",ISNUMBER(SEARCH(CARI!$C$5,$B919&amp;" "&amp;$C919&amp;" "&amp;$D919&amp;" "&amp;$O919&amp;" "&amp;$I919&amp;" "&amp;$F919&amp;" "&amp;$J919&amp;" "&amp;$K919&amp;" "&amp;$L919&amp;" "&amp;$V919))),OR(CARI!$C$6="",$F919=CARI!$C$6),OR(CARI!$C$7="",$G919=CARI!$C$7),OR(CARI!$C$8="",$T919=CARI!$C$8)),MAX($Z$3:Z918)+1,""))</f>
        <v/>
      </c>
      <c r="AA919" s="40" t="str">
        <f aca="false">IF($Y919="","",MAX($AA$3:AA918)+1)</f>
        <v/>
      </c>
      <c r="AB919" s="40" t="str">
        <f aca="false">IF($F919="","",$F919&amp;"#"&amp;COUNTIF($F$4:$F919,$F919))</f>
        <v/>
      </c>
      <c r="AC919" s="40" t="str">
        <f aca="false">IF($B919="","",IF(AND(OR(CETAK!$J$10="",$F919=CETAK!$J$10),OR(CETAK!$J$11="",$G919=CETAK!$J$11),OR(CETAK!$J$12="",$P919=CETAK!$J$12),OR(CETAK!$J$13="",$N919=CETAK!$J$13),OR(CETAK!$J$14="",$T919=CETAK!$J$14)),MAX($AC$3:AC918)+1,""))</f>
        <v/>
      </c>
      <c r="AD919" s="40" t="str">
        <f aca="false">IF($B919="","",IF(AND(OR(ABSENSI!$H$10="",$F919=ABSENSI!$H$10),OR(ABSENSI!$H$11="",$G919=ABSENSI!$H$11),OR(ABSENSI!$H$12="",$P919=ABSENSI!$H$12)),MAX($AD$3:AD918)+1,""))</f>
        <v/>
      </c>
      <c r="AE919" s="40" t="str">
        <f aca="false">IF($B919="","",IF(AND(OR(KARTU!$K$6="",$F919=KARTU!$K$6),OR(KARTU!$K$7="",$G919=KARTU!$K$7),OR(KARTU!$K$8="",$P919=KARTU!$K$8)),MAX($AE$3:AE918)+1,""))</f>
        <v/>
      </c>
    </row>
    <row r="920" customFormat="false" ht="15" hidden="false" customHeight="false" outlineLevel="0" collapsed="false">
      <c r="A920" s="35" t="str">
        <f aca="false">IF($B920="","",COUNTA($B$4:$B920))</f>
        <v/>
      </c>
      <c r="B920" s="36"/>
      <c r="C920" s="37"/>
      <c r="D920" s="37"/>
      <c r="E920" s="38"/>
      <c r="F920" s="36"/>
      <c r="G920" s="39"/>
      <c r="H920" s="39"/>
      <c r="I920" s="36"/>
      <c r="J920" s="36"/>
      <c r="K920" s="36"/>
      <c r="L920" s="36"/>
      <c r="M920" s="40" t="str">
        <f aca="false">IF($F920="","",$F920&amp;IF($G920="",""," - RT "&amp;$G920&amp;IF($H920="","","/"&amp;$H920)))</f>
        <v/>
      </c>
      <c r="N920" s="36"/>
      <c r="O920" s="37"/>
      <c r="P920" s="39"/>
      <c r="Q920" s="41"/>
      <c r="R920" s="35" t="str">
        <f aca="true">IF(OR($B920="",$Q920=""),"",DATEDIF($Q920,TODAY(),"Y"))</f>
        <v/>
      </c>
      <c r="S920" s="40" t="str">
        <f aca="false">IF($R920="","",INDEX(usia_label,MATCH($R920,usia_min,1)))</f>
        <v/>
      </c>
      <c r="T920" s="36"/>
      <c r="U920" s="41"/>
      <c r="V920" s="36"/>
      <c r="W920" s="36"/>
      <c r="X920" s="40" t="str">
        <f aca="false">IF($M920="","",$M920&amp;"#"&amp;COUNTIF($M$4:$M920,$M920))</f>
        <v/>
      </c>
      <c r="Y920" s="40" t="str">
        <f aca="false">IF($B920="","",IF($C920="","NIK kosong",IF(LEN($C920)&lt;&gt;16,"NIK bukan 16 digit",IF(COUNTIF($C$4:$C$2003,$C920&amp;"*")&gt;1,"NIK ganda",IF(AND($D920&lt;&gt;"",LEN($D920)&lt;&gt;16),"No. KK bukan 16 digit",IF(AND($F920="",$I920=""),"Alamat kosong",IF($N920="","Jabatan kosong",IF($O920="","No. HP kosong",IF(AND($R920&lt;&gt;"",$R920&lt;17),"Usia di bawah 17","")))))))))</f>
        <v/>
      </c>
      <c r="Z920" s="40" t="str">
        <f aca="false">IF($B920="","",IF(AND(OR(CARI!$C$5="",ISNUMBER(SEARCH(CARI!$C$5,$B920&amp;" "&amp;$C920&amp;" "&amp;$D920&amp;" "&amp;$O920&amp;" "&amp;$I920&amp;" "&amp;$F920&amp;" "&amp;$J920&amp;" "&amp;$K920&amp;" "&amp;$L920&amp;" "&amp;$V920))),OR(CARI!$C$6="",$F920=CARI!$C$6),OR(CARI!$C$7="",$G920=CARI!$C$7),OR(CARI!$C$8="",$T920=CARI!$C$8)),MAX($Z$3:Z919)+1,""))</f>
        <v/>
      </c>
      <c r="AA920" s="40" t="str">
        <f aca="false">IF($Y920="","",MAX($AA$3:AA919)+1)</f>
        <v/>
      </c>
      <c r="AB920" s="40" t="str">
        <f aca="false">IF($F920="","",$F920&amp;"#"&amp;COUNTIF($F$4:$F920,$F920))</f>
        <v/>
      </c>
      <c r="AC920" s="40" t="str">
        <f aca="false">IF($B920="","",IF(AND(OR(CETAK!$J$10="",$F920=CETAK!$J$10),OR(CETAK!$J$11="",$G920=CETAK!$J$11),OR(CETAK!$J$12="",$P920=CETAK!$J$12),OR(CETAK!$J$13="",$N920=CETAK!$J$13),OR(CETAK!$J$14="",$T920=CETAK!$J$14)),MAX($AC$3:AC919)+1,""))</f>
        <v/>
      </c>
      <c r="AD920" s="40" t="str">
        <f aca="false">IF($B920="","",IF(AND(OR(ABSENSI!$H$10="",$F920=ABSENSI!$H$10),OR(ABSENSI!$H$11="",$G920=ABSENSI!$H$11),OR(ABSENSI!$H$12="",$P920=ABSENSI!$H$12)),MAX($AD$3:AD919)+1,""))</f>
        <v/>
      </c>
      <c r="AE920" s="40" t="str">
        <f aca="false">IF($B920="","",IF(AND(OR(KARTU!$K$6="",$F920=KARTU!$K$6),OR(KARTU!$K$7="",$G920=KARTU!$K$7),OR(KARTU!$K$8="",$P920=KARTU!$K$8)),MAX($AE$3:AE919)+1,""))</f>
        <v/>
      </c>
    </row>
    <row r="921" customFormat="false" ht="15" hidden="false" customHeight="false" outlineLevel="0" collapsed="false">
      <c r="A921" s="35" t="str">
        <f aca="false">IF($B921="","",COUNTA($B$4:$B921))</f>
        <v/>
      </c>
      <c r="B921" s="36"/>
      <c r="C921" s="37"/>
      <c r="D921" s="37"/>
      <c r="E921" s="38"/>
      <c r="F921" s="36"/>
      <c r="G921" s="39"/>
      <c r="H921" s="39"/>
      <c r="I921" s="36"/>
      <c r="J921" s="36"/>
      <c r="K921" s="36"/>
      <c r="L921" s="36"/>
      <c r="M921" s="40" t="str">
        <f aca="false">IF($F921="","",$F921&amp;IF($G921="",""," - RT "&amp;$G921&amp;IF($H921="","","/"&amp;$H921)))</f>
        <v/>
      </c>
      <c r="N921" s="36"/>
      <c r="O921" s="37"/>
      <c r="P921" s="39"/>
      <c r="Q921" s="41"/>
      <c r="R921" s="35" t="str">
        <f aca="true">IF(OR($B921="",$Q921=""),"",DATEDIF($Q921,TODAY(),"Y"))</f>
        <v/>
      </c>
      <c r="S921" s="40" t="str">
        <f aca="false">IF($R921="","",INDEX(usia_label,MATCH($R921,usia_min,1)))</f>
        <v/>
      </c>
      <c r="T921" s="36"/>
      <c r="U921" s="41"/>
      <c r="V921" s="36"/>
      <c r="W921" s="36"/>
      <c r="X921" s="40" t="str">
        <f aca="false">IF($M921="","",$M921&amp;"#"&amp;COUNTIF($M$4:$M921,$M921))</f>
        <v/>
      </c>
      <c r="Y921" s="40" t="str">
        <f aca="false">IF($B921="","",IF($C921="","NIK kosong",IF(LEN($C921)&lt;&gt;16,"NIK bukan 16 digit",IF(COUNTIF($C$4:$C$2003,$C921&amp;"*")&gt;1,"NIK ganda",IF(AND($D921&lt;&gt;"",LEN($D921)&lt;&gt;16),"No. KK bukan 16 digit",IF(AND($F921="",$I921=""),"Alamat kosong",IF($N921="","Jabatan kosong",IF($O921="","No. HP kosong",IF(AND($R921&lt;&gt;"",$R921&lt;17),"Usia di bawah 17","")))))))))</f>
        <v/>
      </c>
      <c r="Z921" s="40" t="str">
        <f aca="false">IF($B921="","",IF(AND(OR(CARI!$C$5="",ISNUMBER(SEARCH(CARI!$C$5,$B921&amp;" "&amp;$C921&amp;" "&amp;$D921&amp;" "&amp;$O921&amp;" "&amp;$I921&amp;" "&amp;$F921&amp;" "&amp;$J921&amp;" "&amp;$K921&amp;" "&amp;$L921&amp;" "&amp;$V921))),OR(CARI!$C$6="",$F921=CARI!$C$6),OR(CARI!$C$7="",$G921=CARI!$C$7),OR(CARI!$C$8="",$T921=CARI!$C$8)),MAX($Z$3:Z920)+1,""))</f>
        <v/>
      </c>
      <c r="AA921" s="40" t="str">
        <f aca="false">IF($Y921="","",MAX($AA$3:AA920)+1)</f>
        <v/>
      </c>
      <c r="AB921" s="40" t="str">
        <f aca="false">IF($F921="","",$F921&amp;"#"&amp;COUNTIF($F$4:$F921,$F921))</f>
        <v/>
      </c>
      <c r="AC921" s="40" t="str">
        <f aca="false">IF($B921="","",IF(AND(OR(CETAK!$J$10="",$F921=CETAK!$J$10),OR(CETAK!$J$11="",$G921=CETAK!$J$11),OR(CETAK!$J$12="",$P921=CETAK!$J$12),OR(CETAK!$J$13="",$N921=CETAK!$J$13),OR(CETAK!$J$14="",$T921=CETAK!$J$14)),MAX($AC$3:AC920)+1,""))</f>
        <v/>
      </c>
      <c r="AD921" s="40" t="str">
        <f aca="false">IF($B921="","",IF(AND(OR(ABSENSI!$H$10="",$F921=ABSENSI!$H$10),OR(ABSENSI!$H$11="",$G921=ABSENSI!$H$11),OR(ABSENSI!$H$12="",$P921=ABSENSI!$H$12)),MAX($AD$3:AD920)+1,""))</f>
        <v/>
      </c>
      <c r="AE921" s="40" t="str">
        <f aca="false">IF($B921="","",IF(AND(OR(KARTU!$K$6="",$F921=KARTU!$K$6),OR(KARTU!$K$7="",$G921=KARTU!$K$7),OR(KARTU!$K$8="",$P921=KARTU!$K$8)),MAX($AE$3:AE920)+1,""))</f>
        <v/>
      </c>
    </row>
    <row r="922" customFormat="false" ht="15" hidden="false" customHeight="false" outlineLevel="0" collapsed="false">
      <c r="A922" s="35" t="str">
        <f aca="false">IF($B922="","",COUNTA($B$4:$B922))</f>
        <v/>
      </c>
      <c r="B922" s="36"/>
      <c r="C922" s="37"/>
      <c r="D922" s="37"/>
      <c r="E922" s="38"/>
      <c r="F922" s="36"/>
      <c r="G922" s="39"/>
      <c r="H922" s="39"/>
      <c r="I922" s="36"/>
      <c r="J922" s="36"/>
      <c r="K922" s="36"/>
      <c r="L922" s="36"/>
      <c r="M922" s="40" t="str">
        <f aca="false">IF($F922="","",$F922&amp;IF($G922="",""," - RT "&amp;$G922&amp;IF($H922="","","/"&amp;$H922)))</f>
        <v/>
      </c>
      <c r="N922" s="36"/>
      <c r="O922" s="37"/>
      <c r="P922" s="39"/>
      <c r="Q922" s="41"/>
      <c r="R922" s="35" t="str">
        <f aca="true">IF(OR($B922="",$Q922=""),"",DATEDIF($Q922,TODAY(),"Y"))</f>
        <v/>
      </c>
      <c r="S922" s="40" t="str">
        <f aca="false">IF($R922="","",INDEX(usia_label,MATCH($R922,usia_min,1)))</f>
        <v/>
      </c>
      <c r="T922" s="36"/>
      <c r="U922" s="41"/>
      <c r="V922" s="36"/>
      <c r="W922" s="36"/>
      <c r="X922" s="40" t="str">
        <f aca="false">IF($M922="","",$M922&amp;"#"&amp;COUNTIF($M$4:$M922,$M922))</f>
        <v/>
      </c>
      <c r="Y922" s="40" t="str">
        <f aca="false">IF($B922="","",IF($C922="","NIK kosong",IF(LEN($C922)&lt;&gt;16,"NIK bukan 16 digit",IF(COUNTIF($C$4:$C$2003,$C922&amp;"*")&gt;1,"NIK ganda",IF(AND($D922&lt;&gt;"",LEN($D922)&lt;&gt;16),"No. KK bukan 16 digit",IF(AND($F922="",$I922=""),"Alamat kosong",IF($N922="","Jabatan kosong",IF($O922="","No. HP kosong",IF(AND($R922&lt;&gt;"",$R922&lt;17),"Usia di bawah 17","")))))))))</f>
        <v/>
      </c>
      <c r="Z922" s="40" t="str">
        <f aca="false">IF($B922="","",IF(AND(OR(CARI!$C$5="",ISNUMBER(SEARCH(CARI!$C$5,$B922&amp;" "&amp;$C922&amp;" "&amp;$D922&amp;" "&amp;$O922&amp;" "&amp;$I922&amp;" "&amp;$F922&amp;" "&amp;$J922&amp;" "&amp;$K922&amp;" "&amp;$L922&amp;" "&amp;$V922))),OR(CARI!$C$6="",$F922=CARI!$C$6),OR(CARI!$C$7="",$G922=CARI!$C$7),OR(CARI!$C$8="",$T922=CARI!$C$8)),MAX($Z$3:Z921)+1,""))</f>
        <v/>
      </c>
      <c r="AA922" s="40" t="str">
        <f aca="false">IF($Y922="","",MAX($AA$3:AA921)+1)</f>
        <v/>
      </c>
      <c r="AB922" s="40" t="str">
        <f aca="false">IF($F922="","",$F922&amp;"#"&amp;COUNTIF($F$4:$F922,$F922))</f>
        <v/>
      </c>
      <c r="AC922" s="40" t="str">
        <f aca="false">IF($B922="","",IF(AND(OR(CETAK!$J$10="",$F922=CETAK!$J$10),OR(CETAK!$J$11="",$G922=CETAK!$J$11),OR(CETAK!$J$12="",$P922=CETAK!$J$12),OR(CETAK!$J$13="",$N922=CETAK!$J$13),OR(CETAK!$J$14="",$T922=CETAK!$J$14)),MAX($AC$3:AC921)+1,""))</f>
        <v/>
      </c>
      <c r="AD922" s="40" t="str">
        <f aca="false">IF($B922="","",IF(AND(OR(ABSENSI!$H$10="",$F922=ABSENSI!$H$10),OR(ABSENSI!$H$11="",$G922=ABSENSI!$H$11),OR(ABSENSI!$H$12="",$P922=ABSENSI!$H$12)),MAX($AD$3:AD921)+1,""))</f>
        <v/>
      </c>
      <c r="AE922" s="40" t="str">
        <f aca="false">IF($B922="","",IF(AND(OR(KARTU!$K$6="",$F922=KARTU!$K$6),OR(KARTU!$K$7="",$G922=KARTU!$K$7),OR(KARTU!$K$8="",$P922=KARTU!$K$8)),MAX($AE$3:AE921)+1,""))</f>
        <v/>
      </c>
    </row>
    <row r="923" customFormat="false" ht="15" hidden="false" customHeight="false" outlineLevel="0" collapsed="false">
      <c r="A923" s="35" t="str">
        <f aca="false">IF($B923="","",COUNTA($B$4:$B923))</f>
        <v/>
      </c>
      <c r="B923" s="36"/>
      <c r="C923" s="37"/>
      <c r="D923" s="37"/>
      <c r="E923" s="38"/>
      <c r="F923" s="36"/>
      <c r="G923" s="39"/>
      <c r="H923" s="39"/>
      <c r="I923" s="36"/>
      <c r="J923" s="36"/>
      <c r="K923" s="36"/>
      <c r="L923" s="36"/>
      <c r="M923" s="40" t="str">
        <f aca="false">IF($F923="","",$F923&amp;IF($G923="",""," - RT "&amp;$G923&amp;IF($H923="","","/"&amp;$H923)))</f>
        <v/>
      </c>
      <c r="N923" s="36"/>
      <c r="O923" s="37"/>
      <c r="P923" s="39"/>
      <c r="Q923" s="41"/>
      <c r="R923" s="35" t="str">
        <f aca="true">IF(OR($B923="",$Q923=""),"",DATEDIF($Q923,TODAY(),"Y"))</f>
        <v/>
      </c>
      <c r="S923" s="40" t="str">
        <f aca="false">IF($R923="","",INDEX(usia_label,MATCH($R923,usia_min,1)))</f>
        <v/>
      </c>
      <c r="T923" s="36"/>
      <c r="U923" s="41"/>
      <c r="V923" s="36"/>
      <c r="W923" s="36"/>
      <c r="X923" s="40" t="str">
        <f aca="false">IF($M923="","",$M923&amp;"#"&amp;COUNTIF($M$4:$M923,$M923))</f>
        <v/>
      </c>
      <c r="Y923" s="40" t="str">
        <f aca="false">IF($B923="","",IF($C923="","NIK kosong",IF(LEN($C923)&lt;&gt;16,"NIK bukan 16 digit",IF(COUNTIF($C$4:$C$2003,$C923&amp;"*")&gt;1,"NIK ganda",IF(AND($D923&lt;&gt;"",LEN($D923)&lt;&gt;16),"No. KK bukan 16 digit",IF(AND($F923="",$I923=""),"Alamat kosong",IF($N923="","Jabatan kosong",IF($O923="","No. HP kosong",IF(AND($R923&lt;&gt;"",$R923&lt;17),"Usia di bawah 17","")))))))))</f>
        <v/>
      </c>
      <c r="Z923" s="40" t="str">
        <f aca="false">IF($B923="","",IF(AND(OR(CARI!$C$5="",ISNUMBER(SEARCH(CARI!$C$5,$B923&amp;" "&amp;$C923&amp;" "&amp;$D923&amp;" "&amp;$O923&amp;" "&amp;$I923&amp;" "&amp;$F923&amp;" "&amp;$J923&amp;" "&amp;$K923&amp;" "&amp;$L923&amp;" "&amp;$V923))),OR(CARI!$C$6="",$F923=CARI!$C$6),OR(CARI!$C$7="",$G923=CARI!$C$7),OR(CARI!$C$8="",$T923=CARI!$C$8)),MAX($Z$3:Z922)+1,""))</f>
        <v/>
      </c>
      <c r="AA923" s="40" t="str">
        <f aca="false">IF($Y923="","",MAX($AA$3:AA922)+1)</f>
        <v/>
      </c>
      <c r="AB923" s="40" t="str">
        <f aca="false">IF($F923="","",$F923&amp;"#"&amp;COUNTIF($F$4:$F923,$F923))</f>
        <v/>
      </c>
      <c r="AC923" s="40" t="str">
        <f aca="false">IF($B923="","",IF(AND(OR(CETAK!$J$10="",$F923=CETAK!$J$10),OR(CETAK!$J$11="",$G923=CETAK!$J$11),OR(CETAK!$J$12="",$P923=CETAK!$J$12),OR(CETAK!$J$13="",$N923=CETAK!$J$13),OR(CETAK!$J$14="",$T923=CETAK!$J$14)),MAX($AC$3:AC922)+1,""))</f>
        <v/>
      </c>
      <c r="AD923" s="40" t="str">
        <f aca="false">IF($B923="","",IF(AND(OR(ABSENSI!$H$10="",$F923=ABSENSI!$H$10),OR(ABSENSI!$H$11="",$G923=ABSENSI!$H$11),OR(ABSENSI!$H$12="",$P923=ABSENSI!$H$12)),MAX($AD$3:AD922)+1,""))</f>
        <v/>
      </c>
      <c r="AE923" s="40" t="str">
        <f aca="false">IF($B923="","",IF(AND(OR(KARTU!$K$6="",$F923=KARTU!$K$6),OR(KARTU!$K$7="",$G923=KARTU!$K$7),OR(KARTU!$K$8="",$P923=KARTU!$K$8)),MAX($AE$3:AE922)+1,""))</f>
        <v/>
      </c>
    </row>
    <row r="924" customFormat="false" ht="15" hidden="false" customHeight="false" outlineLevel="0" collapsed="false">
      <c r="A924" s="35" t="str">
        <f aca="false">IF($B924="","",COUNTA($B$4:$B924))</f>
        <v/>
      </c>
      <c r="B924" s="36"/>
      <c r="C924" s="37"/>
      <c r="D924" s="37"/>
      <c r="E924" s="38"/>
      <c r="F924" s="36"/>
      <c r="G924" s="39"/>
      <c r="H924" s="39"/>
      <c r="I924" s="36"/>
      <c r="J924" s="36"/>
      <c r="K924" s="36"/>
      <c r="L924" s="36"/>
      <c r="M924" s="40" t="str">
        <f aca="false">IF($F924="","",$F924&amp;IF($G924="",""," - RT "&amp;$G924&amp;IF($H924="","","/"&amp;$H924)))</f>
        <v/>
      </c>
      <c r="N924" s="36"/>
      <c r="O924" s="37"/>
      <c r="P924" s="39"/>
      <c r="Q924" s="41"/>
      <c r="R924" s="35" t="str">
        <f aca="true">IF(OR($B924="",$Q924=""),"",DATEDIF($Q924,TODAY(),"Y"))</f>
        <v/>
      </c>
      <c r="S924" s="40" t="str">
        <f aca="false">IF($R924="","",INDEX(usia_label,MATCH($R924,usia_min,1)))</f>
        <v/>
      </c>
      <c r="T924" s="36"/>
      <c r="U924" s="41"/>
      <c r="V924" s="36"/>
      <c r="W924" s="36"/>
      <c r="X924" s="40" t="str">
        <f aca="false">IF($M924="","",$M924&amp;"#"&amp;COUNTIF($M$4:$M924,$M924))</f>
        <v/>
      </c>
      <c r="Y924" s="40" t="str">
        <f aca="false">IF($B924="","",IF($C924="","NIK kosong",IF(LEN($C924)&lt;&gt;16,"NIK bukan 16 digit",IF(COUNTIF($C$4:$C$2003,$C924&amp;"*")&gt;1,"NIK ganda",IF(AND($D924&lt;&gt;"",LEN($D924)&lt;&gt;16),"No. KK bukan 16 digit",IF(AND($F924="",$I924=""),"Alamat kosong",IF($N924="","Jabatan kosong",IF($O924="","No. HP kosong",IF(AND($R924&lt;&gt;"",$R924&lt;17),"Usia di bawah 17","")))))))))</f>
        <v/>
      </c>
      <c r="Z924" s="40" t="str">
        <f aca="false">IF($B924="","",IF(AND(OR(CARI!$C$5="",ISNUMBER(SEARCH(CARI!$C$5,$B924&amp;" "&amp;$C924&amp;" "&amp;$D924&amp;" "&amp;$O924&amp;" "&amp;$I924&amp;" "&amp;$F924&amp;" "&amp;$J924&amp;" "&amp;$K924&amp;" "&amp;$L924&amp;" "&amp;$V924))),OR(CARI!$C$6="",$F924=CARI!$C$6),OR(CARI!$C$7="",$G924=CARI!$C$7),OR(CARI!$C$8="",$T924=CARI!$C$8)),MAX($Z$3:Z923)+1,""))</f>
        <v/>
      </c>
      <c r="AA924" s="40" t="str">
        <f aca="false">IF($Y924="","",MAX($AA$3:AA923)+1)</f>
        <v/>
      </c>
      <c r="AB924" s="40" t="str">
        <f aca="false">IF($F924="","",$F924&amp;"#"&amp;COUNTIF($F$4:$F924,$F924))</f>
        <v/>
      </c>
      <c r="AC924" s="40" t="str">
        <f aca="false">IF($B924="","",IF(AND(OR(CETAK!$J$10="",$F924=CETAK!$J$10),OR(CETAK!$J$11="",$G924=CETAK!$J$11),OR(CETAK!$J$12="",$P924=CETAK!$J$12),OR(CETAK!$J$13="",$N924=CETAK!$J$13),OR(CETAK!$J$14="",$T924=CETAK!$J$14)),MAX($AC$3:AC923)+1,""))</f>
        <v/>
      </c>
      <c r="AD924" s="40" t="str">
        <f aca="false">IF($B924="","",IF(AND(OR(ABSENSI!$H$10="",$F924=ABSENSI!$H$10),OR(ABSENSI!$H$11="",$G924=ABSENSI!$H$11),OR(ABSENSI!$H$12="",$P924=ABSENSI!$H$12)),MAX($AD$3:AD923)+1,""))</f>
        <v/>
      </c>
      <c r="AE924" s="40" t="str">
        <f aca="false">IF($B924="","",IF(AND(OR(KARTU!$K$6="",$F924=KARTU!$K$6),OR(KARTU!$K$7="",$G924=KARTU!$K$7),OR(KARTU!$K$8="",$P924=KARTU!$K$8)),MAX($AE$3:AE923)+1,""))</f>
        <v/>
      </c>
    </row>
    <row r="925" customFormat="false" ht="15" hidden="false" customHeight="false" outlineLevel="0" collapsed="false">
      <c r="A925" s="35" t="str">
        <f aca="false">IF($B925="","",COUNTA($B$4:$B925))</f>
        <v/>
      </c>
      <c r="B925" s="36"/>
      <c r="C925" s="37"/>
      <c r="D925" s="37"/>
      <c r="E925" s="38"/>
      <c r="F925" s="36"/>
      <c r="G925" s="39"/>
      <c r="H925" s="39"/>
      <c r="I925" s="36"/>
      <c r="J925" s="36"/>
      <c r="K925" s="36"/>
      <c r="L925" s="36"/>
      <c r="M925" s="40" t="str">
        <f aca="false">IF($F925="","",$F925&amp;IF($G925="",""," - RT "&amp;$G925&amp;IF($H925="","","/"&amp;$H925)))</f>
        <v/>
      </c>
      <c r="N925" s="36"/>
      <c r="O925" s="37"/>
      <c r="P925" s="39"/>
      <c r="Q925" s="41"/>
      <c r="R925" s="35" t="str">
        <f aca="true">IF(OR($B925="",$Q925=""),"",DATEDIF($Q925,TODAY(),"Y"))</f>
        <v/>
      </c>
      <c r="S925" s="40" t="str">
        <f aca="false">IF($R925="","",INDEX(usia_label,MATCH($R925,usia_min,1)))</f>
        <v/>
      </c>
      <c r="T925" s="36"/>
      <c r="U925" s="41"/>
      <c r="V925" s="36"/>
      <c r="W925" s="36"/>
      <c r="X925" s="40" t="str">
        <f aca="false">IF($M925="","",$M925&amp;"#"&amp;COUNTIF($M$4:$M925,$M925))</f>
        <v/>
      </c>
      <c r="Y925" s="40" t="str">
        <f aca="false">IF($B925="","",IF($C925="","NIK kosong",IF(LEN($C925)&lt;&gt;16,"NIK bukan 16 digit",IF(COUNTIF($C$4:$C$2003,$C925&amp;"*")&gt;1,"NIK ganda",IF(AND($D925&lt;&gt;"",LEN($D925)&lt;&gt;16),"No. KK bukan 16 digit",IF(AND($F925="",$I925=""),"Alamat kosong",IF($N925="","Jabatan kosong",IF($O925="","No. HP kosong",IF(AND($R925&lt;&gt;"",$R925&lt;17),"Usia di bawah 17","")))))))))</f>
        <v/>
      </c>
      <c r="Z925" s="40" t="str">
        <f aca="false">IF($B925="","",IF(AND(OR(CARI!$C$5="",ISNUMBER(SEARCH(CARI!$C$5,$B925&amp;" "&amp;$C925&amp;" "&amp;$D925&amp;" "&amp;$O925&amp;" "&amp;$I925&amp;" "&amp;$F925&amp;" "&amp;$J925&amp;" "&amp;$K925&amp;" "&amp;$L925&amp;" "&amp;$V925))),OR(CARI!$C$6="",$F925=CARI!$C$6),OR(CARI!$C$7="",$G925=CARI!$C$7),OR(CARI!$C$8="",$T925=CARI!$C$8)),MAX($Z$3:Z924)+1,""))</f>
        <v/>
      </c>
      <c r="AA925" s="40" t="str">
        <f aca="false">IF($Y925="","",MAX($AA$3:AA924)+1)</f>
        <v/>
      </c>
      <c r="AB925" s="40" t="str">
        <f aca="false">IF($F925="","",$F925&amp;"#"&amp;COUNTIF($F$4:$F925,$F925))</f>
        <v/>
      </c>
      <c r="AC925" s="40" t="str">
        <f aca="false">IF($B925="","",IF(AND(OR(CETAK!$J$10="",$F925=CETAK!$J$10),OR(CETAK!$J$11="",$G925=CETAK!$J$11),OR(CETAK!$J$12="",$P925=CETAK!$J$12),OR(CETAK!$J$13="",$N925=CETAK!$J$13),OR(CETAK!$J$14="",$T925=CETAK!$J$14)),MAX($AC$3:AC924)+1,""))</f>
        <v/>
      </c>
      <c r="AD925" s="40" t="str">
        <f aca="false">IF($B925="","",IF(AND(OR(ABSENSI!$H$10="",$F925=ABSENSI!$H$10),OR(ABSENSI!$H$11="",$G925=ABSENSI!$H$11),OR(ABSENSI!$H$12="",$P925=ABSENSI!$H$12)),MAX($AD$3:AD924)+1,""))</f>
        <v/>
      </c>
      <c r="AE925" s="40" t="str">
        <f aca="false">IF($B925="","",IF(AND(OR(KARTU!$K$6="",$F925=KARTU!$K$6),OR(KARTU!$K$7="",$G925=KARTU!$K$7),OR(KARTU!$K$8="",$P925=KARTU!$K$8)),MAX($AE$3:AE924)+1,""))</f>
        <v/>
      </c>
    </row>
    <row r="926" customFormat="false" ht="15" hidden="false" customHeight="false" outlineLevel="0" collapsed="false">
      <c r="A926" s="35" t="str">
        <f aca="false">IF($B926="","",COUNTA($B$4:$B926))</f>
        <v/>
      </c>
      <c r="B926" s="36"/>
      <c r="C926" s="37"/>
      <c r="D926" s="37"/>
      <c r="E926" s="38"/>
      <c r="F926" s="36"/>
      <c r="G926" s="39"/>
      <c r="H926" s="39"/>
      <c r="I926" s="36"/>
      <c r="J926" s="36"/>
      <c r="K926" s="36"/>
      <c r="L926" s="36"/>
      <c r="M926" s="40" t="str">
        <f aca="false">IF($F926="","",$F926&amp;IF($G926="",""," - RT "&amp;$G926&amp;IF($H926="","","/"&amp;$H926)))</f>
        <v/>
      </c>
      <c r="N926" s="36"/>
      <c r="O926" s="37"/>
      <c r="P926" s="39"/>
      <c r="Q926" s="41"/>
      <c r="R926" s="35" t="str">
        <f aca="true">IF(OR($B926="",$Q926=""),"",DATEDIF($Q926,TODAY(),"Y"))</f>
        <v/>
      </c>
      <c r="S926" s="40" t="str">
        <f aca="false">IF($R926="","",INDEX(usia_label,MATCH($R926,usia_min,1)))</f>
        <v/>
      </c>
      <c r="T926" s="36"/>
      <c r="U926" s="41"/>
      <c r="V926" s="36"/>
      <c r="W926" s="36"/>
      <c r="X926" s="40" t="str">
        <f aca="false">IF($M926="","",$M926&amp;"#"&amp;COUNTIF($M$4:$M926,$M926))</f>
        <v/>
      </c>
      <c r="Y926" s="40" t="str">
        <f aca="false">IF($B926="","",IF($C926="","NIK kosong",IF(LEN($C926)&lt;&gt;16,"NIK bukan 16 digit",IF(COUNTIF($C$4:$C$2003,$C926&amp;"*")&gt;1,"NIK ganda",IF(AND($D926&lt;&gt;"",LEN($D926)&lt;&gt;16),"No. KK bukan 16 digit",IF(AND($F926="",$I926=""),"Alamat kosong",IF($N926="","Jabatan kosong",IF($O926="","No. HP kosong",IF(AND($R926&lt;&gt;"",$R926&lt;17),"Usia di bawah 17","")))))))))</f>
        <v/>
      </c>
      <c r="Z926" s="40" t="str">
        <f aca="false">IF($B926="","",IF(AND(OR(CARI!$C$5="",ISNUMBER(SEARCH(CARI!$C$5,$B926&amp;" "&amp;$C926&amp;" "&amp;$D926&amp;" "&amp;$O926&amp;" "&amp;$I926&amp;" "&amp;$F926&amp;" "&amp;$J926&amp;" "&amp;$K926&amp;" "&amp;$L926&amp;" "&amp;$V926))),OR(CARI!$C$6="",$F926=CARI!$C$6),OR(CARI!$C$7="",$G926=CARI!$C$7),OR(CARI!$C$8="",$T926=CARI!$C$8)),MAX($Z$3:Z925)+1,""))</f>
        <v/>
      </c>
      <c r="AA926" s="40" t="str">
        <f aca="false">IF($Y926="","",MAX($AA$3:AA925)+1)</f>
        <v/>
      </c>
      <c r="AB926" s="40" t="str">
        <f aca="false">IF($F926="","",$F926&amp;"#"&amp;COUNTIF($F$4:$F926,$F926))</f>
        <v/>
      </c>
      <c r="AC926" s="40" t="str">
        <f aca="false">IF($B926="","",IF(AND(OR(CETAK!$J$10="",$F926=CETAK!$J$10),OR(CETAK!$J$11="",$G926=CETAK!$J$11),OR(CETAK!$J$12="",$P926=CETAK!$J$12),OR(CETAK!$J$13="",$N926=CETAK!$J$13),OR(CETAK!$J$14="",$T926=CETAK!$J$14)),MAX($AC$3:AC925)+1,""))</f>
        <v/>
      </c>
      <c r="AD926" s="40" t="str">
        <f aca="false">IF($B926="","",IF(AND(OR(ABSENSI!$H$10="",$F926=ABSENSI!$H$10),OR(ABSENSI!$H$11="",$G926=ABSENSI!$H$11),OR(ABSENSI!$H$12="",$P926=ABSENSI!$H$12)),MAX($AD$3:AD925)+1,""))</f>
        <v/>
      </c>
      <c r="AE926" s="40" t="str">
        <f aca="false">IF($B926="","",IF(AND(OR(KARTU!$K$6="",$F926=KARTU!$K$6),OR(KARTU!$K$7="",$G926=KARTU!$K$7),OR(KARTU!$K$8="",$P926=KARTU!$K$8)),MAX($AE$3:AE925)+1,""))</f>
        <v/>
      </c>
    </row>
    <row r="927" customFormat="false" ht="15" hidden="false" customHeight="false" outlineLevel="0" collapsed="false">
      <c r="A927" s="35" t="str">
        <f aca="false">IF($B927="","",COUNTA($B$4:$B927))</f>
        <v/>
      </c>
      <c r="B927" s="36"/>
      <c r="C927" s="37"/>
      <c r="D927" s="37"/>
      <c r="E927" s="38"/>
      <c r="F927" s="36"/>
      <c r="G927" s="39"/>
      <c r="H927" s="39"/>
      <c r="I927" s="36"/>
      <c r="J927" s="36"/>
      <c r="K927" s="36"/>
      <c r="L927" s="36"/>
      <c r="M927" s="40" t="str">
        <f aca="false">IF($F927="","",$F927&amp;IF($G927="",""," - RT "&amp;$G927&amp;IF($H927="","","/"&amp;$H927)))</f>
        <v/>
      </c>
      <c r="N927" s="36"/>
      <c r="O927" s="37"/>
      <c r="P927" s="39"/>
      <c r="Q927" s="41"/>
      <c r="R927" s="35" t="str">
        <f aca="true">IF(OR($B927="",$Q927=""),"",DATEDIF($Q927,TODAY(),"Y"))</f>
        <v/>
      </c>
      <c r="S927" s="40" t="str">
        <f aca="false">IF($R927="","",INDEX(usia_label,MATCH($R927,usia_min,1)))</f>
        <v/>
      </c>
      <c r="T927" s="36"/>
      <c r="U927" s="41"/>
      <c r="V927" s="36"/>
      <c r="W927" s="36"/>
      <c r="X927" s="40" t="str">
        <f aca="false">IF($M927="","",$M927&amp;"#"&amp;COUNTIF($M$4:$M927,$M927))</f>
        <v/>
      </c>
      <c r="Y927" s="40" t="str">
        <f aca="false">IF($B927="","",IF($C927="","NIK kosong",IF(LEN($C927)&lt;&gt;16,"NIK bukan 16 digit",IF(COUNTIF($C$4:$C$2003,$C927&amp;"*")&gt;1,"NIK ganda",IF(AND($D927&lt;&gt;"",LEN($D927)&lt;&gt;16),"No. KK bukan 16 digit",IF(AND($F927="",$I927=""),"Alamat kosong",IF($N927="","Jabatan kosong",IF($O927="","No. HP kosong",IF(AND($R927&lt;&gt;"",$R927&lt;17),"Usia di bawah 17","")))))))))</f>
        <v/>
      </c>
      <c r="Z927" s="40" t="str">
        <f aca="false">IF($B927="","",IF(AND(OR(CARI!$C$5="",ISNUMBER(SEARCH(CARI!$C$5,$B927&amp;" "&amp;$C927&amp;" "&amp;$D927&amp;" "&amp;$O927&amp;" "&amp;$I927&amp;" "&amp;$F927&amp;" "&amp;$J927&amp;" "&amp;$K927&amp;" "&amp;$L927&amp;" "&amp;$V927))),OR(CARI!$C$6="",$F927=CARI!$C$6),OR(CARI!$C$7="",$G927=CARI!$C$7),OR(CARI!$C$8="",$T927=CARI!$C$8)),MAX($Z$3:Z926)+1,""))</f>
        <v/>
      </c>
      <c r="AA927" s="40" t="str">
        <f aca="false">IF($Y927="","",MAX($AA$3:AA926)+1)</f>
        <v/>
      </c>
      <c r="AB927" s="40" t="str">
        <f aca="false">IF($F927="","",$F927&amp;"#"&amp;COUNTIF($F$4:$F927,$F927))</f>
        <v/>
      </c>
      <c r="AC927" s="40" t="str">
        <f aca="false">IF($B927="","",IF(AND(OR(CETAK!$J$10="",$F927=CETAK!$J$10),OR(CETAK!$J$11="",$G927=CETAK!$J$11),OR(CETAK!$J$12="",$P927=CETAK!$J$12),OR(CETAK!$J$13="",$N927=CETAK!$J$13),OR(CETAK!$J$14="",$T927=CETAK!$J$14)),MAX($AC$3:AC926)+1,""))</f>
        <v/>
      </c>
      <c r="AD927" s="40" t="str">
        <f aca="false">IF($B927="","",IF(AND(OR(ABSENSI!$H$10="",$F927=ABSENSI!$H$10),OR(ABSENSI!$H$11="",$G927=ABSENSI!$H$11),OR(ABSENSI!$H$12="",$P927=ABSENSI!$H$12)),MAX($AD$3:AD926)+1,""))</f>
        <v/>
      </c>
      <c r="AE927" s="40" t="str">
        <f aca="false">IF($B927="","",IF(AND(OR(KARTU!$K$6="",$F927=KARTU!$K$6),OR(KARTU!$K$7="",$G927=KARTU!$K$7),OR(KARTU!$K$8="",$P927=KARTU!$K$8)),MAX($AE$3:AE926)+1,""))</f>
        <v/>
      </c>
    </row>
    <row r="928" customFormat="false" ht="15" hidden="false" customHeight="false" outlineLevel="0" collapsed="false">
      <c r="A928" s="35" t="str">
        <f aca="false">IF($B928="","",COUNTA($B$4:$B928))</f>
        <v/>
      </c>
      <c r="B928" s="36"/>
      <c r="C928" s="37"/>
      <c r="D928" s="37"/>
      <c r="E928" s="38"/>
      <c r="F928" s="36"/>
      <c r="G928" s="39"/>
      <c r="H928" s="39"/>
      <c r="I928" s="36"/>
      <c r="J928" s="36"/>
      <c r="K928" s="36"/>
      <c r="L928" s="36"/>
      <c r="M928" s="40" t="str">
        <f aca="false">IF($F928="","",$F928&amp;IF($G928="",""," - RT "&amp;$G928&amp;IF($H928="","","/"&amp;$H928)))</f>
        <v/>
      </c>
      <c r="N928" s="36"/>
      <c r="O928" s="37"/>
      <c r="P928" s="39"/>
      <c r="Q928" s="41"/>
      <c r="R928" s="35" t="str">
        <f aca="true">IF(OR($B928="",$Q928=""),"",DATEDIF($Q928,TODAY(),"Y"))</f>
        <v/>
      </c>
      <c r="S928" s="40" t="str">
        <f aca="false">IF($R928="","",INDEX(usia_label,MATCH($R928,usia_min,1)))</f>
        <v/>
      </c>
      <c r="T928" s="36"/>
      <c r="U928" s="41"/>
      <c r="V928" s="36"/>
      <c r="W928" s="36"/>
      <c r="X928" s="40" t="str">
        <f aca="false">IF($M928="","",$M928&amp;"#"&amp;COUNTIF($M$4:$M928,$M928))</f>
        <v/>
      </c>
      <c r="Y928" s="40" t="str">
        <f aca="false">IF($B928="","",IF($C928="","NIK kosong",IF(LEN($C928)&lt;&gt;16,"NIK bukan 16 digit",IF(COUNTIF($C$4:$C$2003,$C928&amp;"*")&gt;1,"NIK ganda",IF(AND($D928&lt;&gt;"",LEN($D928)&lt;&gt;16),"No. KK bukan 16 digit",IF(AND($F928="",$I928=""),"Alamat kosong",IF($N928="","Jabatan kosong",IF($O928="","No. HP kosong",IF(AND($R928&lt;&gt;"",$R928&lt;17),"Usia di bawah 17","")))))))))</f>
        <v/>
      </c>
      <c r="Z928" s="40" t="str">
        <f aca="false">IF($B928="","",IF(AND(OR(CARI!$C$5="",ISNUMBER(SEARCH(CARI!$C$5,$B928&amp;" "&amp;$C928&amp;" "&amp;$D928&amp;" "&amp;$O928&amp;" "&amp;$I928&amp;" "&amp;$F928&amp;" "&amp;$J928&amp;" "&amp;$K928&amp;" "&amp;$L928&amp;" "&amp;$V928))),OR(CARI!$C$6="",$F928=CARI!$C$6),OR(CARI!$C$7="",$G928=CARI!$C$7),OR(CARI!$C$8="",$T928=CARI!$C$8)),MAX($Z$3:Z927)+1,""))</f>
        <v/>
      </c>
      <c r="AA928" s="40" t="str">
        <f aca="false">IF($Y928="","",MAX($AA$3:AA927)+1)</f>
        <v/>
      </c>
      <c r="AB928" s="40" t="str">
        <f aca="false">IF($F928="","",$F928&amp;"#"&amp;COUNTIF($F$4:$F928,$F928))</f>
        <v/>
      </c>
      <c r="AC928" s="40" t="str">
        <f aca="false">IF($B928="","",IF(AND(OR(CETAK!$J$10="",$F928=CETAK!$J$10),OR(CETAK!$J$11="",$G928=CETAK!$J$11),OR(CETAK!$J$12="",$P928=CETAK!$J$12),OR(CETAK!$J$13="",$N928=CETAK!$J$13),OR(CETAK!$J$14="",$T928=CETAK!$J$14)),MAX($AC$3:AC927)+1,""))</f>
        <v/>
      </c>
      <c r="AD928" s="40" t="str">
        <f aca="false">IF($B928="","",IF(AND(OR(ABSENSI!$H$10="",$F928=ABSENSI!$H$10),OR(ABSENSI!$H$11="",$G928=ABSENSI!$H$11),OR(ABSENSI!$H$12="",$P928=ABSENSI!$H$12)),MAX($AD$3:AD927)+1,""))</f>
        <v/>
      </c>
      <c r="AE928" s="40" t="str">
        <f aca="false">IF($B928="","",IF(AND(OR(KARTU!$K$6="",$F928=KARTU!$K$6),OR(KARTU!$K$7="",$G928=KARTU!$K$7),OR(KARTU!$K$8="",$P928=KARTU!$K$8)),MAX($AE$3:AE927)+1,""))</f>
        <v/>
      </c>
    </row>
    <row r="929" customFormat="false" ht="15" hidden="false" customHeight="false" outlineLevel="0" collapsed="false">
      <c r="A929" s="35" t="str">
        <f aca="false">IF($B929="","",COUNTA($B$4:$B929))</f>
        <v/>
      </c>
      <c r="B929" s="36"/>
      <c r="C929" s="37"/>
      <c r="D929" s="37"/>
      <c r="E929" s="38"/>
      <c r="F929" s="36"/>
      <c r="G929" s="39"/>
      <c r="H929" s="39"/>
      <c r="I929" s="36"/>
      <c r="J929" s="36"/>
      <c r="K929" s="36"/>
      <c r="L929" s="36"/>
      <c r="M929" s="40" t="str">
        <f aca="false">IF($F929="","",$F929&amp;IF($G929="",""," - RT "&amp;$G929&amp;IF($H929="","","/"&amp;$H929)))</f>
        <v/>
      </c>
      <c r="N929" s="36"/>
      <c r="O929" s="37"/>
      <c r="P929" s="39"/>
      <c r="Q929" s="41"/>
      <c r="R929" s="35" t="str">
        <f aca="true">IF(OR($B929="",$Q929=""),"",DATEDIF($Q929,TODAY(),"Y"))</f>
        <v/>
      </c>
      <c r="S929" s="40" t="str">
        <f aca="false">IF($R929="","",INDEX(usia_label,MATCH($R929,usia_min,1)))</f>
        <v/>
      </c>
      <c r="T929" s="36"/>
      <c r="U929" s="41"/>
      <c r="V929" s="36"/>
      <c r="W929" s="36"/>
      <c r="X929" s="40" t="str">
        <f aca="false">IF($M929="","",$M929&amp;"#"&amp;COUNTIF($M$4:$M929,$M929))</f>
        <v/>
      </c>
      <c r="Y929" s="40" t="str">
        <f aca="false">IF($B929="","",IF($C929="","NIK kosong",IF(LEN($C929)&lt;&gt;16,"NIK bukan 16 digit",IF(COUNTIF($C$4:$C$2003,$C929&amp;"*")&gt;1,"NIK ganda",IF(AND($D929&lt;&gt;"",LEN($D929)&lt;&gt;16),"No. KK bukan 16 digit",IF(AND($F929="",$I929=""),"Alamat kosong",IF($N929="","Jabatan kosong",IF($O929="","No. HP kosong",IF(AND($R929&lt;&gt;"",$R929&lt;17),"Usia di bawah 17","")))))))))</f>
        <v/>
      </c>
      <c r="Z929" s="40" t="str">
        <f aca="false">IF($B929="","",IF(AND(OR(CARI!$C$5="",ISNUMBER(SEARCH(CARI!$C$5,$B929&amp;" "&amp;$C929&amp;" "&amp;$D929&amp;" "&amp;$O929&amp;" "&amp;$I929&amp;" "&amp;$F929&amp;" "&amp;$J929&amp;" "&amp;$K929&amp;" "&amp;$L929&amp;" "&amp;$V929))),OR(CARI!$C$6="",$F929=CARI!$C$6),OR(CARI!$C$7="",$G929=CARI!$C$7),OR(CARI!$C$8="",$T929=CARI!$C$8)),MAX($Z$3:Z928)+1,""))</f>
        <v/>
      </c>
      <c r="AA929" s="40" t="str">
        <f aca="false">IF($Y929="","",MAX($AA$3:AA928)+1)</f>
        <v/>
      </c>
      <c r="AB929" s="40" t="str">
        <f aca="false">IF($F929="","",$F929&amp;"#"&amp;COUNTIF($F$4:$F929,$F929))</f>
        <v/>
      </c>
      <c r="AC929" s="40" t="str">
        <f aca="false">IF($B929="","",IF(AND(OR(CETAK!$J$10="",$F929=CETAK!$J$10),OR(CETAK!$J$11="",$G929=CETAK!$J$11),OR(CETAK!$J$12="",$P929=CETAK!$J$12),OR(CETAK!$J$13="",$N929=CETAK!$J$13),OR(CETAK!$J$14="",$T929=CETAK!$J$14)),MAX($AC$3:AC928)+1,""))</f>
        <v/>
      </c>
      <c r="AD929" s="40" t="str">
        <f aca="false">IF($B929="","",IF(AND(OR(ABSENSI!$H$10="",$F929=ABSENSI!$H$10),OR(ABSENSI!$H$11="",$G929=ABSENSI!$H$11),OR(ABSENSI!$H$12="",$P929=ABSENSI!$H$12)),MAX($AD$3:AD928)+1,""))</f>
        <v/>
      </c>
      <c r="AE929" s="40" t="str">
        <f aca="false">IF($B929="","",IF(AND(OR(KARTU!$K$6="",$F929=KARTU!$K$6),OR(KARTU!$K$7="",$G929=KARTU!$K$7),OR(KARTU!$K$8="",$P929=KARTU!$K$8)),MAX($AE$3:AE928)+1,""))</f>
        <v/>
      </c>
    </row>
    <row r="930" customFormat="false" ht="15" hidden="false" customHeight="false" outlineLevel="0" collapsed="false">
      <c r="A930" s="35" t="str">
        <f aca="false">IF($B930="","",COUNTA($B$4:$B930))</f>
        <v/>
      </c>
      <c r="B930" s="36"/>
      <c r="C930" s="37"/>
      <c r="D930" s="37"/>
      <c r="E930" s="38"/>
      <c r="F930" s="36"/>
      <c r="G930" s="39"/>
      <c r="H930" s="39"/>
      <c r="I930" s="36"/>
      <c r="J930" s="36"/>
      <c r="K930" s="36"/>
      <c r="L930" s="36"/>
      <c r="M930" s="40" t="str">
        <f aca="false">IF($F930="","",$F930&amp;IF($G930="",""," - RT "&amp;$G930&amp;IF($H930="","","/"&amp;$H930)))</f>
        <v/>
      </c>
      <c r="N930" s="36"/>
      <c r="O930" s="37"/>
      <c r="P930" s="39"/>
      <c r="Q930" s="41"/>
      <c r="R930" s="35" t="str">
        <f aca="true">IF(OR($B930="",$Q930=""),"",DATEDIF($Q930,TODAY(),"Y"))</f>
        <v/>
      </c>
      <c r="S930" s="40" t="str">
        <f aca="false">IF($R930="","",INDEX(usia_label,MATCH($R930,usia_min,1)))</f>
        <v/>
      </c>
      <c r="T930" s="36"/>
      <c r="U930" s="41"/>
      <c r="V930" s="36"/>
      <c r="W930" s="36"/>
      <c r="X930" s="40" t="str">
        <f aca="false">IF($M930="","",$M930&amp;"#"&amp;COUNTIF($M$4:$M930,$M930))</f>
        <v/>
      </c>
      <c r="Y930" s="40" t="str">
        <f aca="false">IF($B930="","",IF($C930="","NIK kosong",IF(LEN($C930)&lt;&gt;16,"NIK bukan 16 digit",IF(COUNTIF($C$4:$C$2003,$C930&amp;"*")&gt;1,"NIK ganda",IF(AND($D930&lt;&gt;"",LEN($D930)&lt;&gt;16),"No. KK bukan 16 digit",IF(AND($F930="",$I930=""),"Alamat kosong",IF($N930="","Jabatan kosong",IF($O930="","No. HP kosong",IF(AND($R930&lt;&gt;"",$R930&lt;17),"Usia di bawah 17","")))))))))</f>
        <v/>
      </c>
      <c r="Z930" s="40" t="str">
        <f aca="false">IF($B930="","",IF(AND(OR(CARI!$C$5="",ISNUMBER(SEARCH(CARI!$C$5,$B930&amp;" "&amp;$C930&amp;" "&amp;$D930&amp;" "&amp;$O930&amp;" "&amp;$I930&amp;" "&amp;$F930&amp;" "&amp;$J930&amp;" "&amp;$K930&amp;" "&amp;$L930&amp;" "&amp;$V930))),OR(CARI!$C$6="",$F930=CARI!$C$6),OR(CARI!$C$7="",$G930=CARI!$C$7),OR(CARI!$C$8="",$T930=CARI!$C$8)),MAX($Z$3:Z929)+1,""))</f>
        <v/>
      </c>
      <c r="AA930" s="40" t="str">
        <f aca="false">IF($Y930="","",MAX($AA$3:AA929)+1)</f>
        <v/>
      </c>
      <c r="AB930" s="40" t="str">
        <f aca="false">IF($F930="","",$F930&amp;"#"&amp;COUNTIF($F$4:$F930,$F930))</f>
        <v/>
      </c>
      <c r="AC930" s="40" t="str">
        <f aca="false">IF($B930="","",IF(AND(OR(CETAK!$J$10="",$F930=CETAK!$J$10),OR(CETAK!$J$11="",$G930=CETAK!$J$11),OR(CETAK!$J$12="",$P930=CETAK!$J$12),OR(CETAK!$J$13="",$N930=CETAK!$J$13),OR(CETAK!$J$14="",$T930=CETAK!$J$14)),MAX($AC$3:AC929)+1,""))</f>
        <v/>
      </c>
      <c r="AD930" s="40" t="str">
        <f aca="false">IF($B930="","",IF(AND(OR(ABSENSI!$H$10="",$F930=ABSENSI!$H$10),OR(ABSENSI!$H$11="",$G930=ABSENSI!$H$11),OR(ABSENSI!$H$12="",$P930=ABSENSI!$H$12)),MAX($AD$3:AD929)+1,""))</f>
        <v/>
      </c>
      <c r="AE930" s="40" t="str">
        <f aca="false">IF($B930="","",IF(AND(OR(KARTU!$K$6="",$F930=KARTU!$K$6),OR(KARTU!$K$7="",$G930=KARTU!$K$7),OR(KARTU!$K$8="",$P930=KARTU!$K$8)),MAX($AE$3:AE929)+1,""))</f>
        <v/>
      </c>
    </row>
    <row r="931" customFormat="false" ht="15" hidden="false" customHeight="false" outlineLevel="0" collapsed="false">
      <c r="A931" s="35" t="str">
        <f aca="false">IF($B931="","",COUNTA($B$4:$B931))</f>
        <v/>
      </c>
      <c r="B931" s="36"/>
      <c r="C931" s="37"/>
      <c r="D931" s="37"/>
      <c r="E931" s="38"/>
      <c r="F931" s="36"/>
      <c r="G931" s="39"/>
      <c r="H931" s="39"/>
      <c r="I931" s="36"/>
      <c r="J931" s="36"/>
      <c r="K931" s="36"/>
      <c r="L931" s="36"/>
      <c r="M931" s="40" t="str">
        <f aca="false">IF($F931="","",$F931&amp;IF($G931="",""," - RT "&amp;$G931&amp;IF($H931="","","/"&amp;$H931)))</f>
        <v/>
      </c>
      <c r="N931" s="36"/>
      <c r="O931" s="37"/>
      <c r="P931" s="39"/>
      <c r="Q931" s="41"/>
      <c r="R931" s="35" t="str">
        <f aca="true">IF(OR($B931="",$Q931=""),"",DATEDIF($Q931,TODAY(),"Y"))</f>
        <v/>
      </c>
      <c r="S931" s="40" t="str">
        <f aca="false">IF($R931="","",INDEX(usia_label,MATCH($R931,usia_min,1)))</f>
        <v/>
      </c>
      <c r="T931" s="36"/>
      <c r="U931" s="41"/>
      <c r="V931" s="36"/>
      <c r="W931" s="36"/>
      <c r="X931" s="40" t="str">
        <f aca="false">IF($M931="","",$M931&amp;"#"&amp;COUNTIF($M$4:$M931,$M931))</f>
        <v/>
      </c>
      <c r="Y931" s="40" t="str">
        <f aca="false">IF($B931="","",IF($C931="","NIK kosong",IF(LEN($C931)&lt;&gt;16,"NIK bukan 16 digit",IF(COUNTIF($C$4:$C$2003,$C931&amp;"*")&gt;1,"NIK ganda",IF(AND($D931&lt;&gt;"",LEN($D931)&lt;&gt;16),"No. KK bukan 16 digit",IF(AND($F931="",$I931=""),"Alamat kosong",IF($N931="","Jabatan kosong",IF($O931="","No. HP kosong",IF(AND($R931&lt;&gt;"",$R931&lt;17),"Usia di bawah 17","")))))))))</f>
        <v/>
      </c>
      <c r="Z931" s="40" t="str">
        <f aca="false">IF($B931="","",IF(AND(OR(CARI!$C$5="",ISNUMBER(SEARCH(CARI!$C$5,$B931&amp;" "&amp;$C931&amp;" "&amp;$D931&amp;" "&amp;$O931&amp;" "&amp;$I931&amp;" "&amp;$F931&amp;" "&amp;$J931&amp;" "&amp;$K931&amp;" "&amp;$L931&amp;" "&amp;$V931))),OR(CARI!$C$6="",$F931=CARI!$C$6),OR(CARI!$C$7="",$G931=CARI!$C$7),OR(CARI!$C$8="",$T931=CARI!$C$8)),MAX($Z$3:Z930)+1,""))</f>
        <v/>
      </c>
      <c r="AA931" s="40" t="str">
        <f aca="false">IF($Y931="","",MAX($AA$3:AA930)+1)</f>
        <v/>
      </c>
      <c r="AB931" s="40" t="str">
        <f aca="false">IF($F931="","",$F931&amp;"#"&amp;COUNTIF($F$4:$F931,$F931))</f>
        <v/>
      </c>
      <c r="AC931" s="40" t="str">
        <f aca="false">IF($B931="","",IF(AND(OR(CETAK!$J$10="",$F931=CETAK!$J$10),OR(CETAK!$J$11="",$G931=CETAK!$J$11),OR(CETAK!$J$12="",$P931=CETAK!$J$12),OR(CETAK!$J$13="",$N931=CETAK!$J$13),OR(CETAK!$J$14="",$T931=CETAK!$J$14)),MAX($AC$3:AC930)+1,""))</f>
        <v/>
      </c>
      <c r="AD931" s="40" t="str">
        <f aca="false">IF($B931="","",IF(AND(OR(ABSENSI!$H$10="",$F931=ABSENSI!$H$10),OR(ABSENSI!$H$11="",$G931=ABSENSI!$H$11),OR(ABSENSI!$H$12="",$P931=ABSENSI!$H$12)),MAX($AD$3:AD930)+1,""))</f>
        <v/>
      </c>
      <c r="AE931" s="40" t="str">
        <f aca="false">IF($B931="","",IF(AND(OR(KARTU!$K$6="",$F931=KARTU!$K$6),OR(KARTU!$K$7="",$G931=KARTU!$K$7),OR(KARTU!$K$8="",$P931=KARTU!$K$8)),MAX($AE$3:AE930)+1,""))</f>
        <v/>
      </c>
    </row>
    <row r="932" customFormat="false" ht="15" hidden="false" customHeight="false" outlineLevel="0" collapsed="false">
      <c r="A932" s="35" t="str">
        <f aca="false">IF($B932="","",COUNTA($B$4:$B932))</f>
        <v/>
      </c>
      <c r="B932" s="36"/>
      <c r="C932" s="37"/>
      <c r="D932" s="37"/>
      <c r="E932" s="38"/>
      <c r="F932" s="36"/>
      <c r="G932" s="39"/>
      <c r="H932" s="39"/>
      <c r="I932" s="36"/>
      <c r="J932" s="36"/>
      <c r="K932" s="36"/>
      <c r="L932" s="36"/>
      <c r="M932" s="40" t="str">
        <f aca="false">IF($F932="","",$F932&amp;IF($G932="",""," - RT "&amp;$G932&amp;IF($H932="","","/"&amp;$H932)))</f>
        <v/>
      </c>
      <c r="N932" s="36"/>
      <c r="O932" s="37"/>
      <c r="P932" s="39"/>
      <c r="Q932" s="41"/>
      <c r="R932" s="35" t="str">
        <f aca="true">IF(OR($B932="",$Q932=""),"",DATEDIF($Q932,TODAY(),"Y"))</f>
        <v/>
      </c>
      <c r="S932" s="40" t="str">
        <f aca="false">IF($R932="","",INDEX(usia_label,MATCH($R932,usia_min,1)))</f>
        <v/>
      </c>
      <c r="T932" s="36"/>
      <c r="U932" s="41"/>
      <c r="V932" s="36"/>
      <c r="W932" s="36"/>
      <c r="X932" s="40" t="str">
        <f aca="false">IF($M932="","",$M932&amp;"#"&amp;COUNTIF($M$4:$M932,$M932))</f>
        <v/>
      </c>
      <c r="Y932" s="40" t="str">
        <f aca="false">IF($B932="","",IF($C932="","NIK kosong",IF(LEN($C932)&lt;&gt;16,"NIK bukan 16 digit",IF(COUNTIF($C$4:$C$2003,$C932&amp;"*")&gt;1,"NIK ganda",IF(AND($D932&lt;&gt;"",LEN($D932)&lt;&gt;16),"No. KK bukan 16 digit",IF(AND($F932="",$I932=""),"Alamat kosong",IF($N932="","Jabatan kosong",IF($O932="","No. HP kosong",IF(AND($R932&lt;&gt;"",$R932&lt;17),"Usia di bawah 17","")))))))))</f>
        <v/>
      </c>
      <c r="Z932" s="40" t="str">
        <f aca="false">IF($B932="","",IF(AND(OR(CARI!$C$5="",ISNUMBER(SEARCH(CARI!$C$5,$B932&amp;" "&amp;$C932&amp;" "&amp;$D932&amp;" "&amp;$O932&amp;" "&amp;$I932&amp;" "&amp;$F932&amp;" "&amp;$J932&amp;" "&amp;$K932&amp;" "&amp;$L932&amp;" "&amp;$V932))),OR(CARI!$C$6="",$F932=CARI!$C$6),OR(CARI!$C$7="",$G932=CARI!$C$7),OR(CARI!$C$8="",$T932=CARI!$C$8)),MAX($Z$3:Z931)+1,""))</f>
        <v/>
      </c>
      <c r="AA932" s="40" t="str">
        <f aca="false">IF($Y932="","",MAX($AA$3:AA931)+1)</f>
        <v/>
      </c>
      <c r="AB932" s="40" t="str">
        <f aca="false">IF($F932="","",$F932&amp;"#"&amp;COUNTIF($F$4:$F932,$F932))</f>
        <v/>
      </c>
      <c r="AC932" s="40" t="str">
        <f aca="false">IF($B932="","",IF(AND(OR(CETAK!$J$10="",$F932=CETAK!$J$10),OR(CETAK!$J$11="",$G932=CETAK!$J$11),OR(CETAK!$J$12="",$P932=CETAK!$J$12),OR(CETAK!$J$13="",$N932=CETAK!$J$13),OR(CETAK!$J$14="",$T932=CETAK!$J$14)),MAX($AC$3:AC931)+1,""))</f>
        <v/>
      </c>
      <c r="AD932" s="40" t="str">
        <f aca="false">IF($B932="","",IF(AND(OR(ABSENSI!$H$10="",$F932=ABSENSI!$H$10),OR(ABSENSI!$H$11="",$G932=ABSENSI!$H$11),OR(ABSENSI!$H$12="",$P932=ABSENSI!$H$12)),MAX($AD$3:AD931)+1,""))</f>
        <v/>
      </c>
      <c r="AE932" s="40" t="str">
        <f aca="false">IF($B932="","",IF(AND(OR(KARTU!$K$6="",$F932=KARTU!$K$6),OR(KARTU!$K$7="",$G932=KARTU!$K$7),OR(KARTU!$K$8="",$P932=KARTU!$K$8)),MAX($AE$3:AE931)+1,""))</f>
        <v/>
      </c>
    </row>
    <row r="933" customFormat="false" ht="15" hidden="false" customHeight="false" outlineLevel="0" collapsed="false">
      <c r="A933" s="35" t="str">
        <f aca="false">IF($B933="","",COUNTA($B$4:$B933))</f>
        <v/>
      </c>
      <c r="B933" s="36"/>
      <c r="C933" s="37"/>
      <c r="D933" s="37"/>
      <c r="E933" s="38"/>
      <c r="F933" s="36"/>
      <c r="G933" s="39"/>
      <c r="H933" s="39"/>
      <c r="I933" s="36"/>
      <c r="J933" s="36"/>
      <c r="K933" s="36"/>
      <c r="L933" s="36"/>
      <c r="M933" s="40" t="str">
        <f aca="false">IF($F933="","",$F933&amp;IF($G933="",""," - RT "&amp;$G933&amp;IF($H933="","","/"&amp;$H933)))</f>
        <v/>
      </c>
      <c r="N933" s="36"/>
      <c r="O933" s="37"/>
      <c r="P933" s="39"/>
      <c r="Q933" s="41"/>
      <c r="R933" s="35" t="str">
        <f aca="true">IF(OR($B933="",$Q933=""),"",DATEDIF($Q933,TODAY(),"Y"))</f>
        <v/>
      </c>
      <c r="S933" s="40" t="str">
        <f aca="false">IF($R933="","",INDEX(usia_label,MATCH($R933,usia_min,1)))</f>
        <v/>
      </c>
      <c r="T933" s="36"/>
      <c r="U933" s="41"/>
      <c r="V933" s="36"/>
      <c r="W933" s="36"/>
      <c r="X933" s="40" t="str">
        <f aca="false">IF($M933="","",$M933&amp;"#"&amp;COUNTIF($M$4:$M933,$M933))</f>
        <v/>
      </c>
      <c r="Y933" s="40" t="str">
        <f aca="false">IF($B933="","",IF($C933="","NIK kosong",IF(LEN($C933)&lt;&gt;16,"NIK bukan 16 digit",IF(COUNTIF($C$4:$C$2003,$C933&amp;"*")&gt;1,"NIK ganda",IF(AND($D933&lt;&gt;"",LEN($D933)&lt;&gt;16),"No. KK bukan 16 digit",IF(AND($F933="",$I933=""),"Alamat kosong",IF($N933="","Jabatan kosong",IF($O933="","No. HP kosong",IF(AND($R933&lt;&gt;"",$R933&lt;17),"Usia di bawah 17","")))))))))</f>
        <v/>
      </c>
      <c r="Z933" s="40" t="str">
        <f aca="false">IF($B933="","",IF(AND(OR(CARI!$C$5="",ISNUMBER(SEARCH(CARI!$C$5,$B933&amp;" "&amp;$C933&amp;" "&amp;$D933&amp;" "&amp;$O933&amp;" "&amp;$I933&amp;" "&amp;$F933&amp;" "&amp;$J933&amp;" "&amp;$K933&amp;" "&amp;$L933&amp;" "&amp;$V933))),OR(CARI!$C$6="",$F933=CARI!$C$6),OR(CARI!$C$7="",$G933=CARI!$C$7),OR(CARI!$C$8="",$T933=CARI!$C$8)),MAX($Z$3:Z932)+1,""))</f>
        <v/>
      </c>
      <c r="AA933" s="40" t="str">
        <f aca="false">IF($Y933="","",MAX($AA$3:AA932)+1)</f>
        <v/>
      </c>
      <c r="AB933" s="40" t="str">
        <f aca="false">IF($F933="","",$F933&amp;"#"&amp;COUNTIF($F$4:$F933,$F933))</f>
        <v/>
      </c>
      <c r="AC933" s="40" t="str">
        <f aca="false">IF($B933="","",IF(AND(OR(CETAK!$J$10="",$F933=CETAK!$J$10),OR(CETAK!$J$11="",$G933=CETAK!$J$11),OR(CETAK!$J$12="",$P933=CETAK!$J$12),OR(CETAK!$J$13="",$N933=CETAK!$J$13),OR(CETAK!$J$14="",$T933=CETAK!$J$14)),MAX($AC$3:AC932)+1,""))</f>
        <v/>
      </c>
      <c r="AD933" s="40" t="str">
        <f aca="false">IF($B933="","",IF(AND(OR(ABSENSI!$H$10="",$F933=ABSENSI!$H$10),OR(ABSENSI!$H$11="",$G933=ABSENSI!$H$11),OR(ABSENSI!$H$12="",$P933=ABSENSI!$H$12)),MAX($AD$3:AD932)+1,""))</f>
        <v/>
      </c>
      <c r="AE933" s="40" t="str">
        <f aca="false">IF($B933="","",IF(AND(OR(KARTU!$K$6="",$F933=KARTU!$K$6),OR(KARTU!$K$7="",$G933=KARTU!$K$7),OR(KARTU!$K$8="",$P933=KARTU!$K$8)),MAX($AE$3:AE932)+1,""))</f>
        <v/>
      </c>
    </row>
    <row r="934" customFormat="false" ht="15" hidden="false" customHeight="false" outlineLevel="0" collapsed="false">
      <c r="A934" s="35" t="str">
        <f aca="false">IF($B934="","",COUNTA($B$4:$B934))</f>
        <v/>
      </c>
      <c r="B934" s="36"/>
      <c r="C934" s="37"/>
      <c r="D934" s="37"/>
      <c r="E934" s="38"/>
      <c r="F934" s="36"/>
      <c r="G934" s="39"/>
      <c r="H934" s="39"/>
      <c r="I934" s="36"/>
      <c r="J934" s="36"/>
      <c r="K934" s="36"/>
      <c r="L934" s="36"/>
      <c r="M934" s="40" t="str">
        <f aca="false">IF($F934="","",$F934&amp;IF($G934="",""," - RT "&amp;$G934&amp;IF($H934="","","/"&amp;$H934)))</f>
        <v/>
      </c>
      <c r="N934" s="36"/>
      <c r="O934" s="37"/>
      <c r="P934" s="39"/>
      <c r="Q934" s="41"/>
      <c r="R934" s="35" t="str">
        <f aca="true">IF(OR($B934="",$Q934=""),"",DATEDIF($Q934,TODAY(),"Y"))</f>
        <v/>
      </c>
      <c r="S934" s="40" t="str">
        <f aca="false">IF($R934="","",INDEX(usia_label,MATCH($R934,usia_min,1)))</f>
        <v/>
      </c>
      <c r="T934" s="36"/>
      <c r="U934" s="41"/>
      <c r="V934" s="36"/>
      <c r="W934" s="36"/>
      <c r="X934" s="40" t="str">
        <f aca="false">IF($M934="","",$M934&amp;"#"&amp;COUNTIF($M$4:$M934,$M934))</f>
        <v/>
      </c>
      <c r="Y934" s="40" t="str">
        <f aca="false">IF($B934="","",IF($C934="","NIK kosong",IF(LEN($C934)&lt;&gt;16,"NIK bukan 16 digit",IF(COUNTIF($C$4:$C$2003,$C934&amp;"*")&gt;1,"NIK ganda",IF(AND($D934&lt;&gt;"",LEN($D934)&lt;&gt;16),"No. KK bukan 16 digit",IF(AND($F934="",$I934=""),"Alamat kosong",IF($N934="","Jabatan kosong",IF($O934="","No. HP kosong",IF(AND($R934&lt;&gt;"",$R934&lt;17),"Usia di bawah 17","")))))))))</f>
        <v/>
      </c>
      <c r="Z934" s="40" t="str">
        <f aca="false">IF($B934="","",IF(AND(OR(CARI!$C$5="",ISNUMBER(SEARCH(CARI!$C$5,$B934&amp;" "&amp;$C934&amp;" "&amp;$D934&amp;" "&amp;$O934&amp;" "&amp;$I934&amp;" "&amp;$F934&amp;" "&amp;$J934&amp;" "&amp;$K934&amp;" "&amp;$L934&amp;" "&amp;$V934))),OR(CARI!$C$6="",$F934=CARI!$C$6),OR(CARI!$C$7="",$G934=CARI!$C$7),OR(CARI!$C$8="",$T934=CARI!$C$8)),MAX($Z$3:Z933)+1,""))</f>
        <v/>
      </c>
      <c r="AA934" s="40" t="str">
        <f aca="false">IF($Y934="","",MAX($AA$3:AA933)+1)</f>
        <v/>
      </c>
      <c r="AB934" s="40" t="str">
        <f aca="false">IF($F934="","",$F934&amp;"#"&amp;COUNTIF($F$4:$F934,$F934))</f>
        <v/>
      </c>
      <c r="AC934" s="40" t="str">
        <f aca="false">IF($B934="","",IF(AND(OR(CETAK!$J$10="",$F934=CETAK!$J$10),OR(CETAK!$J$11="",$G934=CETAK!$J$11),OR(CETAK!$J$12="",$P934=CETAK!$J$12),OR(CETAK!$J$13="",$N934=CETAK!$J$13),OR(CETAK!$J$14="",$T934=CETAK!$J$14)),MAX($AC$3:AC933)+1,""))</f>
        <v/>
      </c>
      <c r="AD934" s="40" t="str">
        <f aca="false">IF($B934="","",IF(AND(OR(ABSENSI!$H$10="",$F934=ABSENSI!$H$10),OR(ABSENSI!$H$11="",$G934=ABSENSI!$H$11),OR(ABSENSI!$H$12="",$P934=ABSENSI!$H$12)),MAX($AD$3:AD933)+1,""))</f>
        <v/>
      </c>
      <c r="AE934" s="40" t="str">
        <f aca="false">IF($B934="","",IF(AND(OR(KARTU!$K$6="",$F934=KARTU!$K$6),OR(KARTU!$K$7="",$G934=KARTU!$K$7),OR(KARTU!$K$8="",$P934=KARTU!$K$8)),MAX($AE$3:AE933)+1,""))</f>
        <v/>
      </c>
    </row>
    <row r="935" customFormat="false" ht="15" hidden="false" customHeight="false" outlineLevel="0" collapsed="false">
      <c r="A935" s="35" t="str">
        <f aca="false">IF($B935="","",COUNTA($B$4:$B935))</f>
        <v/>
      </c>
      <c r="B935" s="36"/>
      <c r="C935" s="37"/>
      <c r="D935" s="37"/>
      <c r="E935" s="38"/>
      <c r="F935" s="36"/>
      <c r="G935" s="39"/>
      <c r="H935" s="39"/>
      <c r="I935" s="36"/>
      <c r="J935" s="36"/>
      <c r="K935" s="36"/>
      <c r="L935" s="36"/>
      <c r="M935" s="40" t="str">
        <f aca="false">IF($F935="","",$F935&amp;IF($G935="",""," - RT "&amp;$G935&amp;IF($H935="","","/"&amp;$H935)))</f>
        <v/>
      </c>
      <c r="N935" s="36"/>
      <c r="O935" s="37"/>
      <c r="P935" s="39"/>
      <c r="Q935" s="41"/>
      <c r="R935" s="35" t="str">
        <f aca="true">IF(OR($B935="",$Q935=""),"",DATEDIF($Q935,TODAY(),"Y"))</f>
        <v/>
      </c>
      <c r="S935" s="40" t="str">
        <f aca="false">IF($R935="","",INDEX(usia_label,MATCH($R935,usia_min,1)))</f>
        <v/>
      </c>
      <c r="T935" s="36"/>
      <c r="U935" s="41"/>
      <c r="V935" s="36"/>
      <c r="W935" s="36"/>
      <c r="X935" s="40" t="str">
        <f aca="false">IF($M935="","",$M935&amp;"#"&amp;COUNTIF($M$4:$M935,$M935))</f>
        <v/>
      </c>
      <c r="Y935" s="40" t="str">
        <f aca="false">IF($B935="","",IF($C935="","NIK kosong",IF(LEN($C935)&lt;&gt;16,"NIK bukan 16 digit",IF(COUNTIF($C$4:$C$2003,$C935&amp;"*")&gt;1,"NIK ganda",IF(AND($D935&lt;&gt;"",LEN($D935)&lt;&gt;16),"No. KK bukan 16 digit",IF(AND($F935="",$I935=""),"Alamat kosong",IF($N935="","Jabatan kosong",IF($O935="","No. HP kosong",IF(AND($R935&lt;&gt;"",$R935&lt;17),"Usia di bawah 17","")))))))))</f>
        <v/>
      </c>
      <c r="Z935" s="40" t="str">
        <f aca="false">IF($B935="","",IF(AND(OR(CARI!$C$5="",ISNUMBER(SEARCH(CARI!$C$5,$B935&amp;" "&amp;$C935&amp;" "&amp;$D935&amp;" "&amp;$O935&amp;" "&amp;$I935&amp;" "&amp;$F935&amp;" "&amp;$J935&amp;" "&amp;$K935&amp;" "&amp;$L935&amp;" "&amp;$V935))),OR(CARI!$C$6="",$F935=CARI!$C$6),OR(CARI!$C$7="",$G935=CARI!$C$7),OR(CARI!$C$8="",$T935=CARI!$C$8)),MAX($Z$3:Z934)+1,""))</f>
        <v/>
      </c>
      <c r="AA935" s="40" t="str">
        <f aca="false">IF($Y935="","",MAX($AA$3:AA934)+1)</f>
        <v/>
      </c>
      <c r="AB935" s="40" t="str">
        <f aca="false">IF($F935="","",$F935&amp;"#"&amp;COUNTIF($F$4:$F935,$F935))</f>
        <v/>
      </c>
      <c r="AC935" s="40" t="str">
        <f aca="false">IF($B935="","",IF(AND(OR(CETAK!$J$10="",$F935=CETAK!$J$10),OR(CETAK!$J$11="",$G935=CETAK!$J$11),OR(CETAK!$J$12="",$P935=CETAK!$J$12),OR(CETAK!$J$13="",$N935=CETAK!$J$13),OR(CETAK!$J$14="",$T935=CETAK!$J$14)),MAX($AC$3:AC934)+1,""))</f>
        <v/>
      </c>
      <c r="AD935" s="40" t="str">
        <f aca="false">IF($B935="","",IF(AND(OR(ABSENSI!$H$10="",$F935=ABSENSI!$H$10),OR(ABSENSI!$H$11="",$G935=ABSENSI!$H$11),OR(ABSENSI!$H$12="",$P935=ABSENSI!$H$12)),MAX($AD$3:AD934)+1,""))</f>
        <v/>
      </c>
      <c r="AE935" s="40" t="str">
        <f aca="false">IF($B935="","",IF(AND(OR(KARTU!$K$6="",$F935=KARTU!$K$6),OR(KARTU!$K$7="",$G935=KARTU!$K$7),OR(KARTU!$K$8="",$P935=KARTU!$K$8)),MAX($AE$3:AE934)+1,""))</f>
        <v/>
      </c>
    </row>
    <row r="936" customFormat="false" ht="15" hidden="false" customHeight="false" outlineLevel="0" collapsed="false">
      <c r="A936" s="35" t="str">
        <f aca="false">IF($B936="","",COUNTA($B$4:$B936))</f>
        <v/>
      </c>
      <c r="B936" s="36"/>
      <c r="C936" s="37"/>
      <c r="D936" s="37"/>
      <c r="E936" s="38"/>
      <c r="F936" s="36"/>
      <c r="G936" s="39"/>
      <c r="H936" s="39"/>
      <c r="I936" s="36"/>
      <c r="J936" s="36"/>
      <c r="K936" s="36"/>
      <c r="L936" s="36"/>
      <c r="M936" s="40" t="str">
        <f aca="false">IF($F936="","",$F936&amp;IF($G936="",""," - RT "&amp;$G936&amp;IF($H936="","","/"&amp;$H936)))</f>
        <v/>
      </c>
      <c r="N936" s="36"/>
      <c r="O936" s="37"/>
      <c r="P936" s="39"/>
      <c r="Q936" s="41"/>
      <c r="R936" s="35" t="str">
        <f aca="true">IF(OR($B936="",$Q936=""),"",DATEDIF($Q936,TODAY(),"Y"))</f>
        <v/>
      </c>
      <c r="S936" s="40" t="str">
        <f aca="false">IF($R936="","",INDEX(usia_label,MATCH($R936,usia_min,1)))</f>
        <v/>
      </c>
      <c r="T936" s="36"/>
      <c r="U936" s="41"/>
      <c r="V936" s="36"/>
      <c r="W936" s="36"/>
      <c r="X936" s="40" t="str">
        <f aca="false">IF($M936="","",$M936&amp;"#"&amp;COUNTIF($M$4:$M936,$M936))</f>
        <v/>
      </c>
      <c r="Y936" s="40" t="str">
        <f aca="false">IF($B936="","",IF($C936="","NIK kosong",IF(LEN($C936)&lt;&gt;16,"NIK bukan 16 digit",IF(COUNTIF($C$4:$C$2003,$C936&amp;"*")&gt;1,"NIK ganda",IF(AND($D936&lt;&gt;"",LEN($D936)&lt;&gt;16),"No. KK bukan 16 digit",IF(AND($F936="",$I936=""),"Alamat kosong",IF($N936="","Jabatan kosong",IF($O936="","No. HP kosong",IF(AND($R936&lt;&gt;"",$R936&lt;17),"Usia di bawah 17","")))))))))</f>
        <v/>
      </c>
      <c r="Z936" s="40" t="str">
        <f aca="false">IF($B936="","",IF(AND(OR(CARI!$C$5="",ISNUMBER(SEARCH(CARI!$C$5,$B936&amp;" "&amp;$C936&amp;" "&amp;$D936&amp;" "&amp;$O936&amp;" "&amp;$I936&amp;" "&amp;$F936&amp;" "&amp;$J936&amp;" "&amp;$K936&amp;" "&amp;$L936&amp;" "&amp;$V936))),OR(CARI!$C$6="",$F936=CARI!$C$6),OR(CARI!$C$7="",$G936=CARI!$C$7),OR(CARI!$C$8="",$T936=CARI!$C$8)),MAX($Z$3:Z935)+1,""))</f>
        <v/>
      </c>
      <c r="AA936" s="40" t="str">
        <f aca="false">IF($Y936="","",MAX($AA$3:AA935)+1)</f>
        <v/>
      </c>
      <c r="AB936" s="40" t="str">
        <f aca="false">IF($F936="","",$F936&amp;"#"&amp;COUNTIF($F$4:$F936,$F936))</f>
        <v/>
      </c>
      <c r="AC936" s="40" t="str">
        <f aca="false">IF($B936="","",IF(AND(OR(CETAK!$J$10="",$F936=CETAK!$J$10),OR(CETAK!$J$11="",$G936=CETAK!$J$11),OR(CETAK!$J$12="",$P936=CETAK!$J$12),OR(CETAK!$J$13="",$N936=CETAK!$J$13),OR(CETAK!$J$14="",$T936=CETAK!$J$14)),MAX($AC$3:AC935)+1,""))</f>
        <v/>
      </c>
      <c r="AD936" s="40" t="str">
        <f aca="false">IF($B936="","",IF(AND(OR(ABSENSI!$H$10="",$F936=ABSENSI!$H$10),OR(ABSENSI!$H$11="",$G936=ABSENSI!$H$11),OR(ABSENSI!$H$12="",$P936=ABSENSI!$H$12)),MAX($AD$3:AD935)+1,""))</f>
        <v/>
      </c>
      <c r="AE936" s="40" t="str">
        <f aca="false">IF($B936="","",IF(AND(OR(KARTU!$K$6="",$F936=KARTU!$K$6),OR(KARTU!$K$7="",$G936=KARTU!$K$7),OR(KARTU!$K$8="",$P936=KARTU!$K$8)),MAX($AE$3:AE935)+1,""))</f>
        <v/>
      </c>
    </row>
    <row r="937" customFormat="false" ht="15" hidden="false" customHeight="false" outlineLevel="0" collapsed="false">
      <c r="A937" s="35" t="str">
        <f aca="false">IF($B937="","",COUNTA($B$4:$B937))</f>
        <v/>
      </c>
      <c r="B937" s="36"/>
      <c r="C937" s="37"/>
      <c r="D937" s="37"/>
      <c r="E937" s="38"/>
      <c r="F937" s="36"/>
      <c r="G937" s="39"/>
      <c r="H937" s="39"/>
      <c r="I937" s="36"/>
      <c r="J937" s="36"/>
      <c r="K937" s="36"/>
      <c r="L937" s="36"/>
      <c r="M937" s="40" t="str">
        <f aca="false">IF($F937="","",$F937&amp;IF($G937="",""," - RT "&amp;$G937&amp;IF($H937="","","/"&amp;$H937)))</f>
        <v/>
      </c>
      <c r="N937" s="36"/>
      <c r="O937" s="37"/>
      <c r="P937" s="39"/>
      <c r="Q937" s="41"/>
      <c r="R937" s="35" t="str">
        <f aca="true">IF(OR($B937="",$Q937=""),"",DATEDIF($Q937,TODAY(),"Y"))</f>
        <v/>
      </c>
      <c r="S937" s="40" t="str">
        <f aca="false">IF($R937="","",INDEX(usia_label,MATCH($R937,usia_min,1)))</f>
        <v/>
      </c>
      <c r="T937" s="36"/>
      <c r="U937" s="41"/>
      <c r="V937" s="36"/>
      <c r="W937" s="36"/>
      <c r="X937" s="40" t="str">
        <f aca="false">IF($M937="","",$M937&amp;"#"&amp;COUNTIF($M$4:$M937,$M937))</f>
        <v/>
      </c>
      <c r="Y937" s="40" t="str">
        <f aca="false">IF($B937="","",IF($C937="","NIK kosong",IF(LEN($C937)&lt;&gt;16,"NIK bukan 16 digit",IF(COUNTIF($C$4:$C$2003,$C937&amp;"*")&gt;1,"NIK ganda",IF(AND($D937&lt;&gt;"",LEN($D937)&lt;&gt;16),"No. KK bukan 16 digit",IF(AND($F937="",$I937=""),"Alamat kosong",IF($N937="","Jabatan kosong",IF($O937="","No. HP kosong",IF(AND($R937&lt;&gt;"",$R937&lt;17),"Usia di bawah 17","")))))))))</f>
        <v/>
      </c>
      <c r="Z937" s="40" t="str">
        <f aca="false">IF($B937="","",IF(AND(OR(CARI!$C$5="",ISNUMBER(SEARCH(CARI!$C$5,$B937&amp;" "&amp;$C937&amp;" "&amp;$D937&amp;" "&amp;$O937&amp;" "&amp;$I937&amp;" "&amp;$F937&amp;" "&amp;$J937&amp;" "&amp;$K937&amp;" "&amp;$L937&amp;" "&amp;$V937))),OR(CARI!$C$6="",$F937=CARI!$C$6),OR(CARI!$C$7="",$G937=CARI!$C$7),OR(CARI!$C$8="",$T937=CARI!$C$8)),MAX($Z$3:Z936)+1,""))</f>
        <v/>
      </c>
      <c r="AA937" s="40" t="str">
        <f aca="false">IF($Y937="","",MAX($AA$3:AA936)+1)</f>
        <v/>
      </c>
      <c r="AB937" s="40" t="str">
        <f aca="false">IF($F937="","",$F937&amp;"#"&amp;COUNTIF($F$4:$F937,$F937))</f>
        <v/>
      </c>
      <c r="AC937" s="40" t="str">
        <f aca="false">IF($B937="","",IF(AND(OR(CETAK!$J$10="",$F937=CETAK!$J$10),OR(CETAK!$J$11="",$G937=CETAK!$J$11),OR(CETAK!$J$12="",$P937=CETAK!$J$12),OR(CETAK!$J$13="",$N937=CETAK!$J$13),OR(CETAK!$J$14="",$T937=CETAK!$J$14)),MAX($AC$3:AC936)+1,""))</f>
        <v/>
      </c>
      <c r="AD937" s="40" t="str">
        <f aca="false">IF($B937="","",IF(AND(OR(ABSENSI!$H$10="",$F937=ABSENSI!$H$10),OR(ABSENSI!$H$11="",$G937=ABSENSI!$H$11),OR(ABSENSI!$H$12="",$P937=ABSENSI!$H$12)),MAX($AD$3:AD936)+1,""))</f>
        <v/>
      </c>
      <c r="AE937" s="40" t="str">
        <f aca="false">IF($B937="","",IF(AND(OR(KARTU!$K$6="",$F937=KARTU!$K$6),OR(KARTU!$K$7="",$G937=KARTU!$K$7),OR(KARTU!$K$8="",$P937=KARTU!$K$8)),MAX($AE$3:AE936)+1,""))</f>
        <v/>
      </c>
    </row>
    <row r="938" customFormat="false" ht="15" hidden="false" customHeight="false" outlineLevel="0" collapsed="false">
      <c r="A938" s="35" t="str">
        <f aca="false">IF($B938="","",COUNTA($B$4:$B938))</f>
        <v/>
      </c>
      <c r="B938" s="36"/>
      <c r="C938" s="37"/>
      <c r="D938" s="37"/>
      <c r="E938" s="38"/>
      <c r="F938" s="36"/>
      <c r="G938" s="39"/>
      <c r="H938" s="39"/>
      <c r="I938" s="36"/>
      <c r="J938" s="36"/>
      <c r="K938" s="36"/>
      <c r="L938" s="36"/>
      <c r="M938" s="40" t="str">
        <f aca="false">IF($F938="","",$F938&amp;IF($G938="",""," - RT "&amp;$G938&amp;IF($H938="","","/"&amp;$H938)))</f>
        <v/>
      </c>
      <c r="N938" s="36"/>
      <c r="O938" s="37"/>
      <c r="P938" s="39"/>
      <c r="Q938" s="41"/>
      <c r="R938" s="35" t="str">
        <f aca="true">IF(OR($B938="",$Q938=""),"",DATEDIF($Q938,TODAY(),"Y"))</f>
        <v/>
      </c>
      <c r="S938" s="40" t="str">
        <f aca="false">IF($R938="","",INDEX(usia_label,MATCH($R938,usia_min,1)))</f>
        <v/>
      </c>
      <c r="T938" s="36"/>
      <c r="U938" s="41"/>
      <c r="V938" s="36"/>
      <c r="W938" s="36"/>
      <c r="X938" s="40" t="str">
        <f aca="false">IF($M938="","",$M938&amp;"#"&amp;COUNTIF($M$4:$M938,$M938))</f>
        <v/>
      </c>
      <c r="Y938" s="40" t="str">
        <f aca="false">IF($B938="","",IF($C938="","NIK kosong",IF(LEN($C938)&lt;&gt;16,"NIK bukan 16 digit",IF(COUNTIF($C$4:$C$2003,$C938&amp;"*")&gt;1,"NIK ganda",IF(AND($D938&lt;&gt;"",LEN($D938)&lt;&gt;16),"No. KK bukan 16 digit",IF(AND($F938="",$I938=""),"Alamat kosong",IF($N938="","Jabatan kosong",IF($O938="","No. HP kosong",IF(AND($R938&lt;&gt;"",$R938&lt;17),"Usia di bawah 17","")))))))))</f>
        <v/>
      </c>
      <c r="Z938" s="40" t="str">
        <f aca="false">IF($B938="","",IF(AND(OR(CARI!$C$5="",ISNUMBER(SEARCH(CARI!$C$5,$B938&amp;" "&amp;$C938&amp;" "&amp;$D938&amp;" "&amp;$O938&amp;" "&amp;$I938&amp;" "&amp;$F938&amp;" "&amp;$J938&amp;" "&amp;$K938&amp;" "&amp;$L938&amp;" "&amp;$V938))),OR(CARI!$C$6="",$F938=CARI!$C$6),OR(CARI!$C$7="",$G938=CARI!$C$7),OR(CARI!$C$8="",$T938=CARI!$C$8)),MAX($Z$3:Z937)+1,""))</f>
        <v/>
      </c>
      <c r="AA938" s="40" t="str">
        <f aca="false">IF($Y938="","",MAX($AA$3:AA937)+1)</f>
        <v/>
      </c>
      <c r="AB938" s="40" t="str">
        <f aca="false">IF($F938="","",$F938&amp;"#"&amp;COUNTIF($F$4:$F938,$F938))</f>
        <v/>
      </c>
      <c r="AC938" s="40" t="str">
        <f aca="false">IF($B938="","",IF(AND(OR(CETAK!$J$10="",$F938=CETAK!$J$10),OR(CETAK!$J$11="",$G938=CETAK!$J$11),OR(CETAK!$J$12="",$P938=CETAK!$J$12),OR(CETAK!$J$13="",$N938=CETAK!$J$13),OR(CETAK!$J$14="",$T938=CETAK!$J$14)),MAX($AC$3:AC937)+1,""))</f>
        <v/>
      </c>
      <c r="AD938" s="40" t="str">
        <f aca="false">IF($B938="","",IF(AND(OR(ABSENSI!$H$10="",$F938=ABSENSI!$H$10),OR(ABSENSI!$H$11="",$G938=ABSENSI!$H$11),OR(ABSENSI!$H$12="",$P938=ABSENSI!$H$12)),MAX($AD$3:AD937)+1,""))</f>
        <v/>
      </c>
      <c r="AE938" s="40" t="str">
        <f aca="false">IF($B938="","",IF(AND(OR(KARTU!$K$6="",$F938=KARTU!$K$6),OR(KARTU!$K$7="",$G938=KARTU!$K$7),OR(KARTU!$K$8="",$P938=KARTU!$K$8)),MAX($AE$3:AE937)+1,""))</f>
        <v/>
      </c>
    </row>
    <row r="939" customFormat="false" ht="15" hidden="false" customHeight="false" outlineLevel="0" collapsed="false">
      <c r="A939" s="35" t="str">
        <f aca="false">IF($B939="","",COUNTA($B$4:$B939))</f>
        <v/>
      </c>
      <c r="B939" s="36"/>
      <c r="C939" s="37"/>
      <c r="D939" s="37"/>
      <c r="E939" s="38"/>
      <c r="F939" s="36"/>
      <c r="G939" s="39"/>
      <c r="H939" s="39"/>
      <c r="I939" s="36"/>
      <c r="J939" s="36"/>
      <c r="K939" s="36"/>
      <c r="L939" s="36"/>
      <c r="M939" s="40" t="str">
        <f aca="false">IF($F939="","",$F939&amp;IF($G939="",""," - RT "&amp;$G939&amp;IF($H939="","","/"&amp;$H939)))</f>
        <v/>
      </c>
      <c r="N939" s="36"/>
      <c r="O939" s="37"/>
      <c r="P939" s="39"/>
      <c r="Q939" s="41"/>
      <c r="R939" s="35" t="str">
        <f aca="true">IF(OR($B939="",$Q939=""),"",DATEDIF($Q939,TODAY(),"Y"))</f>
        <v/>
      </c>
      <c r="S939" s="40" t="str">
        <f aca="false">IF($R939="","",INDEX(usia_label,MATCH($R939,usia_min,1)))</f>
        <v/>
      </c>
      <c r="T939" s="36"/>
      <c r="U939" s="41"/>
      <c r="V939" s="36"/>
      <c r="W939" s="36"/>
      <c r="X939" s="40" t="str">
        <f aca="false">IF($M939="","",$M939&amp;"#"&amp;COUNTIF($M$4:$M939,$M939))</f>
        <v/>
      </c>
      <c r="Y939" s="40" t="str">
        <f aca="false">IF($B939="","",IF($C939="","NIK kosong",IF(LEN($C939)&lt;&gt;16,"NIK bukan 16 digit",IF(COUNTIF($C$4:$C$2003,$C939&amp;"*")&gt;1,"NIK ganda",IF(AND($D939&lt;&gt;"",LEN($D939)&lt;&gt;16),"No. KK bukan 16 digit",IF(AND($F939="",$I939=""),"Alamat kosong",IF($N939="","Jabatan kosong",IF($O939="","No. HP kosong",IF(AND($R939&lt;&gt;"",$R939&lt;17),"Usia di bawah 17","")))))))))</f>
        <v/>
      </c>
      <c r="Z939" s="40" t="str">
        <f aca="false">IF($B939="","",IF(AND(OR(CARI!$C$5="",ISNUMBER(SEARCH(CARI!$C$5,$B939&amp;" "&amp;$C939&amp;" "&amp;$D939&amp;" "&amp;$O939&amp;" "&amp;$I939&amp;" "&amp;$F939&amp;" "&amp;$J939&amp;" "&amp;$K939&amp;" "&amp;$L939&amp;" "&amp;$V939))),OR(CARI!$C$6="",$F939=CARI!$C$6),OR(CARI!$C$7="",$G939=CARI!$C$7),OR(CARI!$C$8="",$T939=CARI!$C$8)),MAX($Z$3:Z938)+1,""))</f>
        <v/>
      </c>
      <c r="AA939" s="40" t="str">
        <f aca="false">IF($Y939="","",MAX($AA$3:AA938)+1)</f>
        <v/>
      </c>
      <c r="AB939" s="40" t="str">
        <f aca="false">IF($F939="","",$F939&amp;"#"&amp;COUNTIF($F$4:$F939,$F939))</f>
        <v/>
      </c>
      <c r="AC939" s="40" t="str">
        <f aca="false">IF($B939="","",IF(AND(OR(CETAK!$J$10="",$F939=CETAK!$J$10),OR(CETAK!$J$11="",$G939=CETAK!$J$11),OR(CETAK!$J$12="",$P939=CETAK!$J$12),OR(CETAK!$J$13="",$N939=CETAK!$J$13),OR(CETAK!$J$14="",$T939=CETAK!$J$14)),MAX($AC$3:AC938)+1,""))</f>
        <v/>
      </c>
      <c r="AD939" s="40" t="str">
        <f aca="false">IF($B939="","",IF(AND(OR(ABSENSI!$H$10="",$F939=ABSENSI!$H$10),OR(ABSENSI!$H$11="",$G939=ABSENSI!$H$11),OR(ABSENSI!$H$12="",$P939=ABSENSI!$H$12)),MAX($AD$3:AD938)+1,""))</f>
        <v/>
      </c>
      <c r="AE939" s="40" t="str">
        <f aca="false">IF($B939="","",IF(AND(OR(KARTU!$K$6="",$F939=KARTU!$K$6),OR(KARTU!$K$7="",$G939=KARTU!$K$7),OR(KARTU!$K$8="",$P939=KARTU!$K$8)),MAX($AE$3:AE938)+1,""))</f>
        <v/>
      </c>
    </row>
    <row r="940" customFormat="false" ht="15" hidden="false" customHeight="false" outlineLevel="0" collapsed="false">
      <c r="A940" s="35" t="str">
        <f aca="false">IF($B940="","",COUNTA($B$4:$B940))</f>
        <v/>
      </c>
      <c r="B940" s="36"/>
      <c r="C940" s="37"/>
      <c r="D940" s="37"/>
      <c r="E940" s="38"/>
      <c r="F940" s="36"/>
      <c r="G940" s="39"/>
      <c r="H940" s="39"/>
      <c r="I940" s="36"/>
      <c r="J940" s="36"/>
      <c r="K940" s="36"/>
      <c r="L940" s="36"/>
      <c r="M940" s="40" t="str">
        <f aca="false">IF($F940="","",$F940&amp;IF($G940="",""," - RT "&amp;$G940&amp;IF($H940="","","/"&amp;$H940)))</f>
        <v/>
      </c>
      <c r="N940" s="36"/>
      <c r="O940" s="37"/>
      <c r="P940" s="39"/>
      <c r="Q940" s="41"/>
      <c r="R940" s="35" t="str">
        <f aca="true">IF(OR($B940="",$Q940=""),"",DATEDIF($Q940,TODAY(),"Y"))</f>
        <v/>
      </c>
      <c r="S940" s="40" t="str">
        <f aca="false">IF($R940="","",INDEX(usia_label,MATCH($R940,usia_min,1)))</f>
        <v/>
      </c>
      <c r="T940" s="36"/>
      <c r="U940" s="41"/>
      <c r="V940" s="36"/>
      <c r="W940" s="36"/>
      <c r="X940" s="40" t="str">
        <f aca="false">IF($M940="","",$M940&amp;"#"&amp;COUNTIF($M$4:$M940,$M940))</f>
        <v/>
      </c>
      <c r="Y940" s="40" t="str">
        <f aca="false">IF($B940="","",IF($C940="","NIK kosong",IF(LEN($C940)&lt;&gt;16,"NIK bukan 16 digit",IF(COUNTIF($C$4:$C$2003,$C940&amp;"*")&gt;1,"NIK ganda",IF(AND($D940&lt;&gt;"",LEN($D940)&lt;&gt;16),"No. KK bukan 16 digit",IF(AND($F940="",$I940=""),"Alamat kosong",IF($N940="","Jabatan kosong",IF($O940="","No. HP kosong",IF(AND($R940&lt;&gt;"",$R940&lt;17),"Usia di bawah 17","")))))))))</f>
        <v/>
      </c>
      <c r="Z940" s="40" t="str">
        <f aca="false">IF($B940="","",IF(AND(OR(CARI!$C$5="",ISNUMBER(SEARCH(CARI!$C$5,$B940&amp;" "&amp;$C940&amp;" "&amp;$D940&amp;" "&amp;$O940&amp;" "&amp;$I940&amp;" "&amp;$F940&amp;" "&amp;$J940&amp;" "&amp;$K940&amp;" "&amp;$L940&amp;" "&amp;$V940))),OR(CARI!$C$6="",$F940=CARI!$C$6),OR(CARI!$C$7="",$G940=CARI!$C$7),OR(CARI!$C$8="",$T940=CARI!$C$8)),MAX($Z$3:Z939)+1,""))</f>
        <v/>
      </c>
      <c r="AA940" s="40" t="str">
        <f aca="false">IF($Y940="","",MAX($AA$3:AA939)+1)</f>
        <v/>
      </c>
      <c r="AB940" s="40" t="str">
        <f aca="false">IF($F940="","",$F940&amp;"#"&amp;COUNTIF($F$4:$F940,$F940))</f>
        <v/>
      </c>
      <c r="AC940" s="40" t="str">
        <f aca="false">IF($B940="","",IF(AND(OR(CETAK!$J$10="",$F940=CETAK!$J$10),OR(CETAK!$J$11="",$G940=CETAK!$J$11),OR(CETAK!$J$12="",$P940=CETAK!$J$12),OR(CETAK!$J$13="",$N940=CETAK!$J$13),OR(CETAK!$J$14="",$T940=CETAK!$J$14)),MAX($AC$3:AC939)+1,""))</f>
        <v/>
      </c>
      <c r="AD940" s="40" t="str">
        <f aca="false">IF($B940="","",IF(AND(OR(ABSENSI!$H$10="",$F940=ABSENSI!$H$10),OR(ABSENSI!$H$11="",$G940=ABSENSI!$H$11),OR(ABSENSI!$H$12="",$P940=ABSENSI!$H$12)),MAX($AD$3:AD939)+1,""))</f>
        <v/>
      </c>
      <c r="AE940" s="40" t="str">
        <f aca="false">IF($B940="","",IF(AND(OR(KARTU!$K$6="",$F940=KARTU!$K$6),OR(KARTU!$K$7="",$G940=KARTU!$K$7),OR(KARTU!$K$8="",$P940=KARTU!$K$8)),MAX($AE$3:AE939)+1,""))</f>
        <v/>
      </c>
    </row>
    <row r="941" customFormat="false" ht="15" hidden="false" customHeight="false" outlineLevel="0" collapsed="false">
      <c r="A941" s="35" t="str">
        <f aca="false">IF($B941="","",COUNTA($B$4:$B941))</f>
        <v/>
      </c>
      <c r="B941" s="36"/>
      <c r="C941" s="37"/>
      <c r="D941" s="37"/>
      <c r="E941" s="38"/>
      <c r="F941" s="36"/>
      <c r="G941" s="39"/>
      <c r="H941" s="39"/>
      <c r="I941" s="36"/>
      <c r="J941" s="36"/>
      <c r="K941" s="36"/>
      <c r="L941" s="36"/>
      <c r="M941" s="40" t="str">
        <f aca="false">IF($F941="","",$F941&amp;IF($G941="",""," - RT "&amp;$G941&amp;IF($H941="","","/"&amp;$H941)))</f>
        <v/>
      </c>
      <c r="N941" s="36"/>
      <c r="O941" s="37"/>
      <c r="P941" s="39"/>
      <c r="Q941" s="41"/>
      <c r="R941" s="35" t="str">
        <f aca="true">IF(OR($B941="",$Q941=""),"",DATEDIF($Q941,TODAY(),"Y"))</f>
        <v/>
      </c>
      <c r="S941" s="40" t="str">
        <f aca="false">IF($R941="","",INDEX(usia_label,MATCH($R941,usia_min,1)))</f>
        <v/>
      </c>
      <c r="T941" s="36"/>
      <c r="U941" s="41"/>
      <c r="V941" s="36"/>
      <c r="W941" s="36"/>
      <c r="X941" s="40" t="str">
        <f aca="false">IF($M941="","",$M941&amp;"#"&amp;COUNTIF($M$4:$M941,$M941))</f>
        <v/>
      </c>
      <c r="Y941" s="40" t="str">
        <f aca="false">IF($B941="","",IF($C941="","NIK kosong",IF(LEN($C941)&lt;&gt;16,"NIK bukan 16 digit",IF(COUNTIF($C$4:$C$2003,$C941&amp;"*")&gt;1,"NIK ganda",IF(AND($D941&lt;&gt;"",LEN($D941)&lt;&gt;16),"No. KK bukan 16 digit",IF(AND($F941="",$I941=""),"Alamat kosong",IF($N941="","Jabatan kosong",IF($O941="","No. HP kosong",IF(AND($R941&lt;&gt;"",$R941&lt;17),"Usia di bawah 17","")))))))))</f>
        <v/>
      </c>
      <c r="Z941" s="40" t="str">
        <f aca="false">IF($B941="","",IF(AND(OR(CARI!$C$5="",ISNUMBER(SEARCH(CARI!$C$5,$B941&amp;" "&amp;$C941&amp;" "&amp;$D941&amp;" "&amp;$O941&amp;" "&amp;$I941&amp;" "&amp;$F941&amp;" "&amp;$J941&amp;" "&amp;$K941&amp;" "&amp;$L941&amp;" "&amp;$V941))),OR(CARI!$C$6="",$F941=CARI!$C$6),OR(CARI!$C$7="",$G941=CARI!$C$7),OR(CARI!$C$8="",$T941=CARI!$C$8)),MAX($Z$3:Z940)+1,""))</f>
        <v/>
      </c>
      <c r="AA941" s="40" t="str">
        <f aca="false">IF($Y941="","",MAX($AA$3:AA940)+1)</f>
        <v/>
      </c>
      <c r="AB941" s="40" t="str">
        <f aca="false">IF($F941="","",$F941&amp;"#"&amp;COUNTIF($F$4:$F941,$F941))</f>
        <v/>
      </c>
      <c r="AC941" s="40" t="str">
        <f aca="false">IF($B941="","",IF(AND(OR(CETAK!$J$10="",$F941=CETAK!$J$10),OR(CETAK!$J$11="",$G941=CETAK!$J$11),OR(CETAK!$J$12="",$P941=CETAK!$J$12),OR(CETAK!$J$13="",$N941=CETAK!$J$13),OR(CETAK!$J$14="",$T941=CETAK!$J$14)),MAX($AC$3:AC940)+1,""))</f>
        <v/>
      </c>
      <c r="AD941" s="40" t="str">
        <f aca="false">IF($B941="","",IF(AND(OR(ABSENSI!$H$10="",$F941=ABSENSI!$H$10),OR(ABSENSI!$H$11="",$G941=ABSENSI!$H$11),OR(ABSENSI!$H$12="",$P941=ABSENSI!$H$12)),MAX($AD$3:AD940)+1,""))</f>
        <v/>
      </c>
      <c r="AE941" s="40" t="str">
        <f aca="false">IF($B941="","",IF(AND(OR(KARTU!$K$6="",$F941=KARTU!$K$6),OR(KARTU!$K$7="",$G941=KARTU!$K$7),OR(KARTU!$K$8="",$P941=KARTU!$K$8)),MAX($AE$3:AE940)+1,""))</f>
        <v/>
      </c>
    </row>
    <row r="942" customFormat="false" ht="15" hidden="false" customHeight="false" outlineLevel="0" collapsed="false">
      <c r="A942" s="35" t="str">
        <f aca="false">IF($B942="","",COUNTA($B$4:$B942))</f>
        <v/>
      </c>
      <c r="B942" s="36"/>
      <c r="C942" s="37"/>
      <c r="D942" s="37"/>
      <c r="E942" s="38"/>
      <c r="F942" s="36"/>
      <c r="G942" s="39"/>
      <c r="H942" s="39"/>
      <c r="I942" s="36"/>
      <c r="J942" s="36"/>
      <c r="K942" s="36"/>
      <c r="L942" s="36"/>
      <c r="M942" s="40" t="str">
        <f aca="false">IF($F942="","",$F942&amp;IF($G942="",""," - RT "&amp;$G942&amp;IF($H942="","","/"&amp;$H942)))</f>
        <v/>
      </c>
      <c r="N942" s="36"/>
      <c r="O942" s="37"/>
      <c r="P942" s="39"/>
      <c r="Q942" s="41"/>
      <c r="R942" s="35" t="str">
        <f aca="true">IF(OR($B942="",$Q942=""),"",DATEDIF($Q942,TODAY(),"Y"))</f>
        <v/>
      </c>
      <c r="S942" s="40" t="str">
        <f aca="false">IF($R942="","",INDEX(usia_label,MATCH($R942,usia_min,1)))</f>
        <v/>
      </c>
      <c r="T942" s="36"/>
      <c r="U942" s="41"/>
      <c r="V942" s="36"/>
      <c r="W942" s="36"/>
      <c r="X942" s="40" t="str">
        <f aca="false">IF($M942="","",$M942&amp;"#"&amp;COUNTIF($M$4:$M942,$M942))</f>
        <v/>
      </c>
      <c r="Y942" s="40" t="str">
        <f aca="false">IF($B942="","",IF($C942="","NIK kosong",IF(LEN($C942)&lt;&gt;16,"NIK bukan 16 digit",IF(COUNTIF($C$4:$C$2003,$C942&amp;"*")&gt;1,"NIK ganda",IF(AND($D942&lt;&gt;"",LEN($D942)&lt;&gt;16),"No. KK bukan 16 digit",IF(AND($F942="",$I942=""),"Alamat kosong",IF($N942="","Jabatan kosong",IF($O942="","No. HP kosong",IF(AND($R942&lt;&gt;"",$R942&lt;17),"Usia di bawah 17","")))))))))</f>
        <v/>
      </c>
      <c r="Z942" s="40" t="str">
        <f aca="false">IF($B942="","",IF(AND(OR(CARI!$C$5="",ISNUMBER(SEARCH(CARI!$C$5,$B942&amp;" "&amp;$C942&amp;" "&amp;$D942&amp;" "&amp;$O942&amp;" "&amp;$I942&amp;" "&amp;$F942&amp;" "&amp;$J942&amp;" "&amp;$K942&amp;" "&amp;$L942&amp;" "&amp;$V942))),OR(CARI!$C$6="",$F942=CARI!$C$6),OR(CARI!$C$7="",$G942=CARI!$C$7),OR(CARI!$C$8="",$T942=CARI!$C$8)),MAX($Z$3:Z941)+1,""))</f>
        <v/>
      </c>
      <c r="AA942" s="40" t="str">
        <f aca="false">IF($Y942="","",MAX($AA$3:AA941)+1)</f>
        <v/>
      </c>
      <c r="AB942" s="40" t="str">
        <f aca="false">IF($F942="","",$F942&amp;"#"&amp;COUNTIF($F$4:$F942,$F942))</f>
        <v/>
      </c>
      <c r="AC942" s="40" t="str">
        <f aca="false">IF($B942="","",IF(AND(OR(CETAK!$J$10="",$F942=CETAK!$J$10),OR(CETAK!$J$11="",$G942=CETAK!$J$11),OR(CETAK!$J$12="",$P942=CETAK!$J$12),OR(CETAK!$J$13="",$N942=CETAK!$J$13),OR(CETAK!$J$14="",$T942=CETAK!$J$14)),MAX($AC$3:AC941)+1,""))</f>
        <v/>
      </c>
      <c r="AD942" s="40" t="str">
        <f aca="false">IF($B942="","",IF(AND(OR(ABSENSI!$H$10="",$F942=ABSENSI!$H$10),OR(ABSENSI!$H$11="",$G942=ABSENSI!$H$11),OR(ABSENSI!$H$12="",$P942=ABSENSI!$H$12)),MAX($AD$3:AD941)+1,""))</f>
        <v/>
      </c>
      <c r="AE942" s="40" t="str">
        <f aca="false">IF($B942="","",IF(AND(OR(KARTU!$K$6="",$F942=KARTU!$K$6),OR(KARTU!$K$7="",$G942=KARTU!$K$7),OR(KARTU!$K$8="",$P942=KARTU!$K$8)),MAX($AE$3:AE941)+1,""))</f>
        <v/>
      </c>
    </row>
    <row r="943" customFormat="false" ht="15" hidden="false" customHeight="false" outlineLevel="0" collapsed="false">
      <c r="A943" s="35" t="str">
        <f aca="false">IF($B943="","",COUNTA($B$4:$B943))</f>
        <v/>
      </c>
      <c r="B943" s="36"/>
      <c r="C943" s="37"/>
      <c r="D943" s="37"/>
      <c r="E943" s="38"/>
      <c r="F943" s="36"/>
      <c r="G943" s="39"/>
      <c r="H943" s="39"/>
      <c r="I943" s="36"/>
      <c r="J943" s="36"/>
      <c r="K943" s="36"/>
      <c r="L943" s="36"/>
      <c r="M943" s="40" t="str">
        <f aca="false">IF($F943="","",$F943&amp;IF($G943="",""," - RT "&amp;$G943&amp;IF($H943="","","/"&amp;$H943)))</f>
        <v/>
      </c>
      <c r="N943" s="36"/>
      <c r="O943" s="37"/>
      <c r="P943" s="39"/>
      <c r="Q943" s="41"/>
      <c r="R943" s="35" t="str">
        <f aca="true">IF(OR($B943="",$Q943=""),"",DATEDIF($Q943,TODAY(),"Y"))</f>
        <v/>
      </c>
      <c r="S943" s="40" t="str">
        <f aca="false">IF($R943="","",INDEX(usia_label,MATCH($R943,usia_min,1)))</f>
        <v/>
      </c>
      <c r="T943" s="36"/>
      <c r="U943" s="41"/>
      <c r="V943" s="36"/>
      <c r="W943" s="36"/>
      <c r="X943" s="40" t="str">
        <f aca="false">IF($M943="","",$M943&amp;"#"&amp;COUNTIF($M$4:$M943,$M943))</f>
        <v/>
      </c>
      <c r="Y943" s="40" t="str">
        <f aca="false">IF($B943="","",IF($C943="","NIK kosong",IF(LEN($C943)&lt;&gt;16,"NIK bukan 16 digit",IF(COUNTIF($C$4:$C$2003,$C943&amp;"*")&gt;1,"NIK ganda",IF(AND($D943&lt;&gt;"",LEN($D943)&lt;&gt;16),"No. KK bukan 16 digit",IF(AND($F943="",$I943=""),"Alamat kosong",IF($N943="","Jabatan kosong",IF($O943="","No. HP kosong",IF(AND($R943&lt;&gt;"",$R943&lt;17),"Usia di bawah 17","")))))))))</f>
        <v/>
      </c>
      <c r="Z943" s="40" t="str">
        <f aca="false">IF($B943="","",IF(AND(OR(CARI!$C$5="",ISNUMBER(SEARCH(CARI!$C$5,$B943&amp;" "&amp;$C943&amp;" "&amp;$D943&amp;" "&amp;$O943&amp;" "&amp;$I943&amp;" "&amp;$F943&amp;" "&amp;$J943&amp;" "&amp;$K943&amp;" "&amp;$L943&amp;" "&amp;$V943))),OR(CARI!$C$6="",$F943=CARI!$C$6),OR(CARI!$C$7="",$G943=CARI!$C$7),OR(CARI!$C$8="",$T943=CARI!$C$8)),MAX($Z$3:Z942)+1,""))</f>
        <v/>
      </c>
      <c r="AA943" s="40" t="str">
        <f aca="false">IF($Y943="","",MAX($AA$3:AA942)+1)</f>
        <v/>
      </c>
      <c r="AB943" s="40" t="str">
        <f aca="false">IF($F943="","",$F943&amp;"#"&amp;COUNTIF($F$4:$F943,$F943))</f>
        <v/>
      </c>
      <c r="AC943" s="40" t="str">
        <f aca="false">IF($B943="","",IF(AND(OR(CETAK!$J$10="",$F943=CETAK!$J$10),OR(CETAK!$J$11="",$G943=CETAK!$J$11),OR(CETAK!$J$12="",$P943=CETAK!$J$12),OR(CETAK!$J$13="",$N943=CETAK!$J$13),OR(CETAK!$J$14="",$T943=CETAK!$J$14)),MAX($AC$3:AC942)+1,""))</f>
        <v/>
      </c>
      <c r="AD943" s="40" t="str">
        <f aca="false">IF($B943="","",IF(AND(OR(ABSENSI!$H$10="",$F943=ABSENSI!$H$10),OR(ABSENSI!$H$11="",$G943=ABSENSI!$H$11),OR(ABSENSI!$H$12="",$P943=ABSENSI!$H$12)),MAX($AD$3:AD942)+1,""))</f>
        <v/>
      </c>
      <c r="AE943" s="40" t="str">
        <f aca="false">IF($B943="","",IF(AND(OR(KARTU!$K$6="",$F943=KARTU!$K$6),OR(KARTU!$K$7="",$G943=KARTU!$K$7),OR(KARTU!$K$8="",$P943=KARTU!$K$8)),MAX($AE$3:AE942)+1,""))</f>
        <v/>
      </c>
    </row>
    <row r="944" customFormat="false" ht="15" hidden="false" customHeight="false" outlineLevel="0" collapsed="false">
      <c r="A944" s="35" t="str">
        <f aca="false">IF($B944="","",COUNTA($B$4:$B944))</f>
        <v/>
      </c>
      <c r="B944" s="36"/>
      <c r="C944" s="37"/>
      <c r="D944" s="37"/>
      <c r="E944" s="38"/>
      <c r="F944" s="36"/>
      <c r="G944" s="39"/>
      <c r="H944" s="39"/>
      <c r="I944" s="36"/>
      <c r="J944" s="36"/>
      <c r="K944" s="36"/>
      <c r="L944" s="36"/>
      <c r="M944" s="40" t="str">
        <f aca="false">IF($F944="","",$F944&amp;IF($G944="",""," - RT "&amp;$G944&amp;IF($H944="","","/"&amp;$H944)))</f>
        <v/>
      </c>
      <c r="N944" s="36"/>
      <c r="O944" s="37"/>
      <c r="P944" s="39"/>
      <c r="Q944" s="41"/>
      <c r="R944" s="35" t="str">
        <f aca="true">IF(OR($B944="",$Q944=""),"",DATEDIF($Q944,TODAY(),"Y"))</f>
        <v/>
      </c>
      <c r="S944" s="40" t="str">
        <f aca="false">IF($R944="","",INDEX(usia_label,MATCH($R944,usia_min,1)))</f>
        <v/>
      </c>
      <c r="T944" s="36"/>
      <c r="U944" s="41"/>
      <c r="V944" s="36"/>
      <c r="W944" s="36"/>
      <c r="X944" s="40" t="str">
        <f aca="false">IF($M944="","",$M944&amp;"#"&amp;COUNTIF($M$4:$M944,$M944))</f>
        <v/>
      </c>
      <c r="Y944" s="40" t="str">
        <f aca="false">IF($B944="","",IF($C944="","NIK kosong",IF(LEN($C944)&lt;&gt;16,"NIK bukan 16 digit",IF(COUNTIF($C$4:$C$2003,$C944&amp;"*")&gt;1,"NIK ganda",IF(AND($D944&lt;&gt;"",LEN($D944)&lt;&gt;16),"No. KK bukan 16 digit",IF(AND($F944="",$I944=""),"Alamat kosong",IF($N944="","Jabatan kosong",IF($O944="","No. HP kosong",IF(AND($R944&lt;&gt;"",$R944&lt;17),"Usia di bawah 17","")))))))))</f>
        <v/>
      </c>
      <c r="Z944" s="40" t="str">
        <f aca="false">IF($B944="","",IF(AND(OR(CARI!$C$5="",ISNUMBER(SEARCH(CARI!$C$5,$B944&amp;" "&amp;$C944&amp;" "&amp;$D944&amp;" "&amp;$O944&amp;" "&amp;$I944&amp;" "&amp;$F944&amp;" "&amp;$J944&amp;" "&amp;$K944&amp;" "&amp;$L944&amp;" "&amp;$V944))),OR(CARI!$C$6="",$F944=CARI!$C$6),OR(CARI!$C$7="",$G944=CARI!$C$7),OR(CARI!$C$8="",$T944=CARI!$C$8)),MAX($Z$3:Z943)+1,""))</f>
        <v/>
      </c>
      <c r="AA944" s="40" t="str">
        <f aca="false">IF($Y944="","",MAX($AA$3:AA943)+1)</f>
        <v/>
      </c>
      <c r="AB944" s="40" t="str">
        <f aca="false">IF($F944="","",$F944&amp;"#"&amp;COUNTIF($F$4:$F944,$F944))</f>
        <v/>
      </c>
      <c r="AC944" s="40" t="str">
        <f aca="false">IF($B944="","",IF(AND(OR(CETAK!$J$10="",$F944=CETAK!$J$10),OR(CETAK!$J$11="",$G944=CETAK!$J$11),OR(CETAK!$J$12="",$P944=CETAK!$J$12),OR(CETAK!$J$13="",$N944=CETAK!$J$13),OR(CETAK!$J$14="",$T944=CETAK!$J$14)),MAX($AC$3:AC943)+1,""))</f>
        <v/>
      </c>
      <c r="AD944" s="40" t="str">
        <f aca="false">IF($B944="","",IF(AND(OR(ABSENSI!$H$10="",$F944=ABSENSI!$H$10),OR(ABSENSI!$H$11="",$G944=ABSENSI!$H$11),OR(ABSENSI!$H$12="",$P944=ABSENSI!$H$12)),MAX($AD$3:AD943)+1,""))</f>
        <v/>
      </c>
      <c r="AE944" s="40" t="str">
        <f aca="false">IF($B944="","",IF(AND(OR(KARTU!$K$6="",$F944=KARTU!$K$6),OR(KARTU!$K$7="",$G944=KARTU!$K$7),OR(KARTU!$K$8="",$P944=KARTU!$K$8)),MAX($AE$3:AE943)+1,""))</f>
        <v/>
      </c>
    </row>
    <row r="945" customFormat="false" ht="15" hidden="false" customHeight="false" outlineLevel="0" collapsed="false">
      <c r="A945" s="35" t="str">
        <f aca="false">IF($B945="","",COUNTA($B$4:$B945))</f>
        <v/>
      </c>
      <c r="B945" s="36"/>
      <c r="C945" s="37"/>
      <c r="D945" s="37"/>
      <c r="E945" s="38"/>
      <c r="F945" s="36"/>
      <c r="G945" s="39"/>
      <c r="H945" s="39"/>
      <c r="I945" s="36"/>
      <c r="J945" s="36"/>
      <c r="K945" s="36"/>
      <c r="L945" s="36"/>
      <c r="M945" s="40" t="str">
        <f aca="false">IF($F945="","",$F945&amp;IF($G945="",""," - RT "&amp;$G945&amp;IF($H945="","","/"&amp;$H945)))</f>
        <v/>
      </c>
      <c r="N945" s="36"/>
      <c r="O945" s="37"/>
      <c r="P945" s="39"/>
      <c r="Q945" s="41"/>
      <c r="R945" s="35" t="str">
        <f aca="true">IF(OR($B945="",$Q945=""),"",DATEDIF($Q945,TODAY(),"Y"))</f>
        <v/>
      </c>
      <c r="S945" s="40" t="str">
        <f aca="false">IF($R945="","",INDEX(usia_label,MATCH($R945,usia_min,1)))</f>
        <v/>
      </c>
      <c r="T945" s="36"/>
      <c r="U945" s="41"/>
      <c r="V945" s="36"/>
      <c r="W945" s="36"/>
      <c r="X945" s="40" t="str">
        <f aca="false">IF($M945="","",$M945&amp;"#"&amp;COUNTIF($M$4:$M945,$M945))</f>
        <v/>
      </c>
      <c r="Y945" s="40" t="str">
        <f aca="false">IF($B945="","",IF($C945="","NIK kosong",IF(LEN($C945)&lt;&gt;16,"NIK bukan 16 digit",IF(COUNTIF($C$4:$C$2003,$C945&amp;"*")&gt;1,"NIK ganda",IF(AND($D945&lt;&gt;"",LEN($D945)&lt;&gt;16),"No. KK bukan 16 digit",IF(AND($F945="",$I945=""),"Alamat kosong",IF($N945="","Jabatan kosong",IF($O945="","No. HP kosong",IF(AND($R945&lt;&gt;"",$R945&lt;17),"Usia di bawah 17","")))))))))</f>
        <v/>
      </c>
      <c r="Z945" s="40" t="str">
        <f aca="false">IF($B945="","",IF(AND(OR(CARI!$C$5="",ISNUMBER(SEARCH(CARI!$C$5,$B945&amp;" "&amp;$C945&amp;" "&amp;$D945&amp;" "&amp;$O945&amp;" "&amp;$I945&amp;" "&amp;$F945&amp;" "&amp;$J945&amp;" "&amp;$K945&amp;" "&amp;$L945&amp;" "&amp;$V945))),OR(CARI!$C$6="",$F945=CARI!$C$6),OR(CARI!$C$7="",$G945=CARI!$C$7),OR(CARI!$C$8="",$T945=CARI!$C$8)),MAX($Z$3:Z944)+1,""))</f>
        <v/>
      </c>
      <c r="AA945" s="40" t="str">
        <f aca="false">IF($Y945="","",MAX($AA$3:AA944)+1)</f>
        <v/>
      </c>
      <c r="AB945" s="40" t="str">
        <f aca="false">IF($F945="","",$F945&amp;"#"&amp;COUNTIF($F$4:$F945,$F945))</f>
        <v/>
      </c>
      <c r="AC945" s="40" t="str">
        <f aca="false">IF($B945="","",IF(AND(OR(CETAK!$J$10="",$F945=CETAK!$J$10),OR(CETAK!$J$11="",$G945=CETAK!$J$11),OR(CETAK!$J$12="",$P945=CETAK!$J$12),OR(CETAK!$J$13="",$N945=CETAK!$J$13),OR(CETAK!$J$14="",$T945=CETAK!$J$14)),MAX($AC$3:AC944)+1,""))</f>
        <v/>
      </c>
      <c r="AD945" s="40" t="str">
        <f aca="false">IF($B945="","",IF(AND(OR(ABSENSI!$H$10="",$F945=ABSENSI!$H$10),OR(ABSENSI!$H$11="",$G945=ABSENSI!$H$11),OR(ABSENSI!$H$12="",$P945=ABSENSI!$H$12)),MAX($AD$3:AD944)+1,""))</f>
        <v/>
      </c>
      <c r="AE945" s="40" t="str">
        <f aca="false">IF($B945="","",IF(AND(OR(KARTU!$K$6="",$F945=KARTU!$K$6),OR(KARTU!$K$7="",$G945=KARTU!$K$7),OR(KARTU!$K$8="",$P945=KARTU!$K$8)),MAX($AE$3:AE944)+1,""))</f>
        <v/>
      </c>
    </row>
    <row r="946" customFormat="false" ht="15" hidden="false" customHeight="false" outlineLevel="0" collapsed="false">
      <c r="A946" s="35" t="str">
        <f aca="false">IF($B946="","",COUNTA($B$4:$B946))</f>
        <v/>
      </c>
      <c r="B946" s="36"/>
      <c r="C946" s="37"/>
      <c r="D946" s="37"/>
      <c r="E946" s="38"/>
      <c r="F946" s="36"/>
      <c r="G946" s="39"/>
      <c r="H946" s="39"/>
      <c r="I946" s="36"/>
      <c r="J946" s="36"/>
      <c r="K946" s="36"/>
      <c r="L946" s="36"/>
      <c r="M946" s="40" t="str">
        <f aca="false">IF($F946="","",$F946&amp;IF($G946="",""," - RT "&amp;$G946&amp;IF($H946="","","/"&amp;$H946)))</f>
        <v/>
      </c>
      <c r="N946" s="36"/>
      <c r="O946" s="37"/>
      <c r="P946" s="39"/>
      <c r="Q946" s="41"/>
      <c r="R946" s="35" t="str">
        <f aca="true">IF(OR($B946="",$Q946=""),"",DATEDIF($Q946,TODAY(),"Y"))</f>
        <v/>
      </c>
      <c r="S946" s="40" t="str">
        <f aca="false">IF($R946="","",INDEX(usia_label,MATCH($R946,usia_min,1)))</f>
        <v/>
      </c>
      <c r="T946" s="36"/>
      <c r="U946" s="41"/>
      <c r="V946" s="36"/>
      <c r="W946" s="36"/>
      <c r="X946" s="40" t="str">
        <f aca="false">IF($M946="","",$M946&amp;"#"&amp;COUNTIF($M$4:$M946,$M946))</f>
        <v/>
      </c>
      <c r="Y946" s="40" t="str">
        <f aca="false">IF($B946="","",IF($C946="","NIK kosong",IF(LEN($C946)&lt;&gt;16,"NIK bukan 16 digit",IF(COUNTIF($C$4:$C$2003,$C946&amp;"*")&gt;1,"NIK ganda",IF(AND($D946&lt;&gt;"",LEN($D946)&lt;&gt;16),"No. KK bukan 16 digit",IF(AND($F946="",$I946=""),"Alamat kosong",IF($N946="","Jabatan kosong",IF($O946="","No. HP kosong",IF(AND($R946&lt;&gt;"",$R946&lt;17),"Usia di bawah 17","")))))))))</f>
        <v/>
      </c>
      <c r="Z946" s="40" t="str">
        <f aca="false">IF($B946="","",IF(AND(OR(CARI!$C$5="",ISNUMBER(SEARCH(CARI!$C$5,$B946&amp;" "&amp;$C946&amp;" "&amp;$D946&amp;" "&amp;$O946&amp;" "&amp;$I946&amp;" "&amp;$F946&amp;" "&amp;$J946&amp;" "&amp;$K946&amp;" "&amp;$L946&amp;" "&amp;$V946))),OR(CARI!$C$6="",$F946=CARI!$C$6),OR(CARI!$C$7="",$G946=CARI!$C$7),OR(CARI!$C$8="",$T946=CARI!$C$8)),MAX($Z$3:Z945)+1,""))</f>
        <v/>
      </c>
      <c r="AA946" s="40" t="str">
        <f aca="false">IF($Y946="","",MAX($AA$3:AA945)+1)</f>
        <v/>
      </c>
      <c r="AB946" s="40" t="str">
        <f aca="false">IF($F946="","",$F946&amp;"#"&amp;COUNTIF($F$4:$F946,$F946))</f>
        <v/>
      </c>
      <c r="AC946" s="40" t="str">
        <f aca="false">IF($B946="","",IF(AND(OR(CETAK!$J$10="",$F946=CETAK!$J$10),OR(CETAK!$J$11="",$G946=CETAK!$J$11),OR(CETAK!$J$12="",$P946=CETAK!$J$12),OR(CETAK!$J$13="",$N946=CETAK!$J$13),OR(CETAK!$J$14="",$T946=CETAK!$J$14)),MAX($AC$3:AC945)+1,""))</f>
        <v/>
      </c>
      <c r="AD946" s="40" t="str">
        <f aca="false">IF($B946="","",IF(AND(OR(ABSENSI!$H$10="",$F946=ABSENSI!$H$10),OR(ABSENSI!$H$11="",$G946=ABSENSI!$H$11),OR(ABSENSI!$H$12="",$P946=ABSENSI!$H$12)),MAX($AD$3:AD945)+1,""))</f>
        <v/>
      </c>
      <c r="AE946" s="40" t="str">
        <f aca="false">IF($B946="","",IF(AND(OR(KARTU!$K$6="",$F946=KARTU!$K$6),OR(KARTU!$K$7="",$G946=KARTU!$K$7),OR(KARTU!$K$8="",$P946=KARTU!$K$8)),MAX($AE$3:AE945)+1,""))</f>
        <v/>
      </c>
    </row>
    <row r="947" customFormat="false" ht="15" hidden="false" customHeight="false" outlineLevel="0" collapsed="false">
      <c r="A947" s="35" t="str">
        <f aca="false">IF($B947="","",COUNTA($B$4:$B947))</f>
        <v/>
      </c>
      <c r="B947" s="36"/>
      <c r="C947" s="37"/>
      <c r="D947" s="37"/>
      <c r="E947" s="38"/>
      <c r="F947" s="36"/>
      <c r="G947" s="39"/>
      <c r="H947" s="39"/>
      <c r="I947" s="36"/>
      <c r="J947" s="36"/>
      <c r="K947" s="36"/>
      <c r="L947" s="36"/>
      <c r="M947" s="40" t="str">
        <f aca="false">IF($F947="","",$F947&amp;IF($G947="",""," - RT "&amp;$G947&amp;IF($H947="","","/"&amp;$H947)))</f>
        <v/>
      </c>
      <c r="N947" s="36"/>
      <c r="O947" s="37"/>
      <c r="P947" s="39"/>
      <c r="Q947" s="41"/>
      <c r="R947" s="35" t="str">
        <f aca="true">IF(OR($B947="",$Q947=""),"",DATEDIF($Q947,TODAY(),"Y"))</f>
        <v/>
      </c>
      <c r="S947" s="40" t="str">
        <f aca="false">IF($R947="","",INDEX(usia_label,MATCH($R947,usia_min,1)))</f>
        <v/>
      </c>
      <c r="T947" s="36"/>
      <c r="U947" s="41"/>
      <c r="V947" s="36"/>
      <c r="W947" s="36"/>
      <c r="X947" s="40" t="str">
        <f aca="false">IF($M947="","",$M947&amp;"#"&amp;COUNTIF($M$4:$M947,$M947))</f>
        <v/>
      </c>
      <c r="Y947" s="40" t="str">
        <f aca="false">IF($B947="","",IF($C947="","NIK kosong",IF(LEN($C947)&lt;&gt;16,"NIK bukan 16 digit",IF(COUNTIF($C$4:$C$2003,$C947&amp;"*")&gt;1,"NIK ganda",IF(AND($D947&lt;&gt;"",LEN($D947)&lt;&gt;16),"No. KK bukan 16 digit",IF(AND($F947="",$I947=""),"Alamat kosong",IF($N947="","Jabatan kosong",IF($O947="","No. HP kosong",IF(AND($R947&lt;&gt;"",$R947&lt;17),"Usia di bawah 17","")))))))))</f>
        <v/>
      </c>
      <c r="Z947" s="40" t="str">
        <f aca="false">IF($B947="","",IF(AND(OR(CARI!$C$5="",ISNUMBER(SEARCH(CARI!$C$5,$B947&amp;" "&amp;$C947&amp;" "&amp;$D947&amp;" "&amp;$O947&amp;" "&amp;$I947&amp;" "&amp;$F947&amp;" "&amp;$J947&amp;" "&amp;$K947&amp;" "&amp;$L947&amp;" "&amp;$V947))),OR(CARI!$C$6="",$F947=CARI!$C$6),OR(CARI!$C$7="",$G947=CARI!$C$7),OR(CARI!$C$8="",$T947=CARI!$C$8)),MAX($Z$3:Z946)+1,""))</f>
        <v/>
      </c>
      <c r="AA947" s="40" t="str">
        <f aca="false">IF($Y947="","",MAX($AA$3:AA946)+1)</f>
        <v/>
      </c>
      <c r="AB947" s="40" t="str">
        <f aca="false">IF($F947="","",$F947&amp;"#"&amp;COUNTIF($F$4:$F947,$F947))</f>
        <v/>
      </c>
      <c r="AC947" s="40" t="str">
        <f aca="false">IF($B947="","",IF(AND(OR(CETAK!$J$10="",$F947=CETAK!$J$10),OR(CETAK!$J$11="",$G947=CETAK!$J$11),OR(CETAK!$J$12="",$P947=CETAK!$J$12),OR(CETAK!$J$13="",$N947=CETAK!$J$13),OR(CETAK!$J$14="",$T947=CETAK!$J$14)),MAX($AC$3:AC946)+1,""))</f>
        <v/>
      </c>
      <c r="AD947" s="40" t="str">
        <f aca="false">IF($B947="","",IF(AND(OR(ABSENSI!$H$10="",$F947=ABSENSI!$H$10),OR(ABSENSI!$H$11="",$G947=ABSENSI!$H$11),OR(ABSENSI!$H$12="",$P947=ABSENSI!$H$12)),MAX($AD$3:AD946)+1,""))</f>
        <v/>
      </c>
      <c r="AE947" s="40" t="str">
        <f aca="false">IF($B947="","",IF(AND(OR(KARTU!$K$6="",$F947=KARTU!$K$6),OR(KARTU!$K$7="",$G947=KARTU!$K$7),OR(KARTU!$K$8="",$P947=KARTU!$K$8)),MAX($AE$3:AE946)+1,""))</f>
        <v/>
      </c>
    </row>
    <row r="948" customFormat="false" ht="15" hidden="false" customHeight="false" outlineLevel="0" collapsed="false">
      <c r="A948" s="35" t="str">
        <f aca="false">IF($B948="","",COUNTA($B$4:$B948))</f>
        <v/>
      </c>
      <c r="B948" s="36"/>
      <c r="C948" s="37"/>
      <c r="D948" s="37"/>
      <c r="E948" s="38"/>
      <c r="F948" s="36"/>
      <c r="G948" s="39"/>
      <c r="H948" s="39"/>
      <c r="I948" s="36"/>
      <c r="J948" s="36"/>
      <c r="K948" s="36"/>
      <c r="L948" s="36"/>
      <c r="M948" s="40" t="str">
        <f aca="false">IF($F948="","",$F948&amp;IF($G948="",""," - RT "&amp;$G948&amp;IF($H948="","","/"&amp;$H948)))</f>
        <v/>
      </c>
      <c r="N948" s="36"/>
      <c r="O948" s="37"/>
      <c r="P948" s="39"/>
      <c r="Q948" s="41"/>
      <c r="R948" s="35" t="str">
        <f aca="true">IF(OR($B948="",$Q948=""),"",DATEDIF($Q948,TODAY(),"Y"))</f>
        <v/>
      </c>
      <c r="S948" s="40" t="str">
        <f aca="false">IF($R948="","",INDEX(usia_label,MATCH($R948,usia_min,1)))</f>
        <v/>
      </c>
      <c r="T948" s="36"/>
      <c r="U948" s="41"/>
      <c r="V948" s="36"/>
      <c r="W948" s="36"/>
      <c r="X948" s="40" t="str">
        <f aca="false">IF($M948="","",$M948&amp;"#"&amp;COUNTIF($M$4:$M948,$M948))</f>
        <v/>
      </c>
      <c r="Y948" s="40" t="str">
        <f aca="false">IF($B948="","",IF($C948="","NIK kosong",IF(LEN($C948)&lt;&gt;16,"NIK bukan 16 digit",IF(COUNTIF($C$4:$C$2003,$C948&amp;"*")&gt;1,"NIK ganda",IF(AND($D948&lt;&gt;"",LEN($D948)&lt;&gt;16),"No. KK bukan 16 digit",IF(AND($F948="",$I948=""),"Alamat kosong",IF($N948="","Jabatan kosong",IF($O948="","No. HP kosong",IF(AND($R948&lt;&gt;"",$R948&lt;17),"Usia di bawah 17","")))))))))</f>
        <v/>
      </c>
      <c r="Z948" s="40" t="str">
        <f aca="false">IF($B948="","",IF(AND(OR(CARI!$C$5="",ISNUMBER(SEARCH(CARI!$C$5,$B948&amp;" "&amp;$C948&amp;" "&amp;$D948&amp;" "&amp;$O948&amp;" "&amp;$I948&amp;" "&amp;$F948&amp;" "&amp;$J948&amp;" "&amp;$K948&amp;" "&amp;$L948&amp;" "&amp;$V948))),OR(CARI!$C$6="",$F948=CARI!$C$6),OR(CARI!$C$7="",$G948=CARI!$C$7),OR(CARI!$C$8="",$T948=CARI!$C$8)),MAX($Z$3:Z947)+1,""))</f>
        <v/>
      </c>
      <c r="AA948" s="40" t="str">
        <f aca="false">IF($Y948="","",MAX($AA$3:AA947)+1)</f>
        <v/>
      </c>
      <c r="AB948" s="40" t="str">
        <f aca="false">IF($F948="","",$F948&amp;"#"&amp;COUNTIF($F$4:$F948,$F948))</f>
        <v/>
      </c>
      <c r="AC948" s="40" t="str">
        <f aca="false">IF($B948="","",IF(AND(OR(CETAK!$J$10="",$F948=CETAK!$J$10),OR(CETAK!$J$11="",$G948=CETAK!$J$11),OR(CETAK!$J$12="",$P948=CETAK!$J$12),OR(CETAK!$J$13="",$N948=CETAK!$J$13),OR(CETAK!$J$14="",$T948=CETAK!$J$14)),MAX($AC$3:AC947)+1,""))</f>
        <v/>
      </c>
      <c r="AD948" s="40" t="str">
        <f aca="false">IF($B948="","",IF(AND(OR(ABSENSI!$H$10="",$F948=ABSENSI!$H$10),OR(ABSENSI!$H$11="",$G948=ABSENSI!$H$11),OR(ABSENSI!$H$12="",$P948=ABSENSI!$H$12)),MAX($AD$3:AD947)+1,""))</f>
        <v/>
      </c>
      <c r="AE948" s="40" t="str">
        <f aca="false">IF($B948="","",IF(AND(OR(KARTU!$K$6="",$F948=KARTU!$K$6),OR(KARTU!$K$7="",$G948=KARTU!$K$7),OR(KARTU!$K$8="",$P948=KARTU!$K$8)),MAX($AE$3:AE947)+1,""))</f>
        <v/>
      </c>
    </row>
    <row r="949" customFormat="false" ht="15" hidden="false" customHeight="false" outlineLevel="0" collapsed="false">
      <c r="A949" s="35" t="str">
        <f aca="false">IF($B949="","",COUNTA($B$4:$B949))</f>
        <v/>
      </c>
      <c r="B949" s="36"/>
      <c r="C949" s="37"/>
      <c r="D949" s="37"/>
      <c r="E949" s="38"/>
      <c r="F949" s="36"/>
      <c r="G949" s="39"/>
      <c r="H949" s="39"/>
      <c r="I949" s="36"/>
      <c r="J949" s="36"/>
      <c r="K949" s="36"/>
      <c r="L949" s="36"/>
      <c r="M949" s="40" t="str">
        <f aca="false">IF($F949="","",$F949&amp;IF($G949="",""," - RT "&amp;$G949&amp;IF($H949="","","/"&amp;$H949)))</f>
        <v/>
      </c>
      <c r="N949" s="36"/>
      <c r="O949" s="37"/>
      <c r="P949" s="39"/>
      <c r="Q949" s="41"/>
      <c r="R949" s="35" t="str">
        <f aca="true">IF(OR($B949="",$Q949=""),"",DATEDIF($Q949,TODAY(),"Y"))</f>
        <v/>
      </c>
      <c r="S949" s="40" t="str">
        <f aca="false">IF($R949="","",INDEX(usia_label,MATCH($R949,usia_min,1)))</f>
        <v/>
      </c>
      <c r="T949" s="36"/>
      <c r="U949" s="41"/>
      <c r="V949" s="36"/>
      <c r="W949" s="36"/>
      <c r="X949" s="40" t="str">
        <f aca="false">IF($M949="","",$M949&amp;"#"&amp;COUNTIF($M$4:$M949,$M949))</f>
        <v/>
      </c>
      <c r="Y949" s="40" t="str">
        <f aca="false">IF($B949="","",IF($C949="","NIK kosong",IF(LEN($C949)&lt;&gt;16,"NIK bukan 16 digit",IF(COUNTIF($C$4:$C$2003,$C949&amp;"*")&gt;1,"NIK ganda",IF(AND($D949&lt;&gt;"",LEN($D949)&lt;&gt;16),"No. KK bukan 16 digit",IF(AND($F949="",$I949=""),"Alamat kosong",IF($N949="","Jabatan kosong",IF($O949="","No. HP kosong",IF(AND($R949&lt;&gt;"",$R949&lt;17),"Usia di bawah 17","")))))))))</f>
        <v/>
      </c>
      <c r="Z949" s="40" t="str">
        <f aca="false">IF($B949="","",IF(AND(OR(CARI!$C$5="",ISNUMBER(SEARCH(CARI!$C$5,$B949&amp;" "&amp;$C949&amp;" "&amp;$D949&amp;" "&amp;$O949&amp;" "&amp;$I949&amp;" "&amp;$F949&amp;" "&amp;$J949&amp;" "&amp;$K949&amp;" "&amp;$L949&amp;" "&amp;$V949))),OR(CARI!$C$6="",$F949=CARI!$C$6),OR(CARI!$C$7="",$G949=CARI!$C$7),OR(CARI!$C$8="",$T949=CARI!$C$8)),MAX($Z$3:Z948)+1,""))</f>
        <v/>
      </c>
      <c r="AA949" s="40" t="str">
        <f aca="false">IF($Y949="","",MAX($AA$3:AA948)+1)</f>
        <v/>
      </c>
      <c r="AB949" s="40" t="str">
        <f aca="false">IF($F949="","",$F949&amp;"#"&amp;COUNTIF($F$4:$F949,$F949))</f>
        <v/>
      </c>
      <c r="AC949" s="40" t="str">
        <f aca="false">IF($B949="","",IF(AND(OR(CETAK!$J$10="",$F949=CETAK!$J$10),OR(CETAK!$J$11="",$G949=CETAK!$J$11),OR(CETAK!$J$12="",$P949=CETAK!$J$12),OR(CETAK!$J$13="",$N949=CETAK!$J$13),OR(CETAK!$J$14="",$T949=CETAK!$J$14)),MAX($AC$3:AC948)+1,""))</f>
        <v/>
      </c>
      <c r="AD949" s="40" t="str">
        <f aca="false">IF($B949="","",IF(AND(OR(ABSENSI!$H$10="",$F949=ABSENSI!$H$10),OR(ABSENSI!$H$11="",$G949=ABSENSI!$H$11),OR(ABSENSI!$H$12="",$P949=ABSENSI!$H$12)),MAX($AD$3:AD948)+1,""))</f>
        <v/>
      </c>
      <c r="AE949" s="40" t="str">
        <f aca="false">IF($B949="","",IF(AND(OR(KARTU!$K$6="",$F949=KARTU!$K$6),OR(KARTU!$K$7="",$G949=KARTU!$K$7),OR(KARTU!$K$8="",$P949=KARTU!$K$8)),MAX($AE$3:AE948)+1,""))</f>
        <v/>
      </c>
    </row>
    <row r="950" customFormat="false" ht="15" hidden="false" customHeight="false" outlineLevel="0" collapsed="false">
      <c r="A950" s="35" t="str">
        <f aca="false">IF($B950="","",COUNTA($B$4:$B950))</f>
        <v/>
      </c>
      <c r="B950" s="36"/>
      <c r="C950" s="37"/>
      <c r="D950" s="37"/>
      <c r="E950" s="38"/>
      <c r="F950" s="36"/>
      <c r="G950" s="39"/>
      <c r="H950" s="39"/>
      <c r="I950" s="36"/>
      <c r="J950" s="36"/>
      <c r="K950" s="36"/>
      <c r="L950" s="36"/>
      <c r="M950" s="40" t="str">
        <f aca="false">IF($F950="","",$F950&amp;IF($G950="",""," - RT "&amp;$G950&amp;IF($H950="","","/"&amp;$H950)))</f>
        <v/>
      </c>
      <c r="N950" s="36"/>
      <c r="O950" s="37"/>
      <c r="P950" s="39"/>
      <c r="Q950" s="41"/>
      <c r="R950" s="35" t="str">
        <f aca="true">IF(OR($B950="",$Q950=""),"",DATEDIF($Q950,TODAY(),"Y"))</f>
        <v/>
      </c>
      <c r="S950" s="40" t="str">
        <f aca="false">IF($R950="","",INDEX(usia_label,MATCH($R950,usia_min,1)))</f>
        <v/>
      </c>
      <c r="T950" s="36"/>
      <c r="U950" s="41"/>
      <c r="V950" s="36"/>
      <c r="W950" s="36"/>
      <c r="X950" s="40" t="str">
        <f aca="false">IF($M950="","",$M950&amp;"#"&amp;COUNTIF($M$4:$M950,$M950))</f>
        <v/>
      </c>
      <c r="Y950" s="40" t="str">
        <f aca="false">IF($B950="","",IF($C950="","NIK kosong",IF(LEN($C950)&lt;&gt;16,"NIK bukan 16 digit",IF(COUNTIF($C$4:$C$2003,$C950&amp;"*")&gt;1,"NIK ganda",IF(AND($D950&lt;&gt;"",LEN($D950)&lt;&gt;16),"No. KK bukan 16 digit",IF(AND($F950="",$I950=""),"Alamat kosong",IF($N950="","Jabatan kosong",IF($O950="","No. HP kosong",IF(AND($R950&lt;&gt;"",$R950&lt;17),"Usia di bawah 17","")))))))))</f>
        <v/>
      </c>
      <c r="Z950" s="40" t="str">
        <f aca="false">IF($B950="","",IF(AND(OR(CARI!$C$5="",ISNUMBER(SEARCH(CARI!$C$5,$B950&amp;" "&amp;$C950&amp;" "&amp;$D950&amp;" "&amp;$O950&amp;" "&amp;$I950&amp;" "&amp;$F950&amp;" "&amp;$J950&amp;" "&amp;$K950&amp;" "&amp;$L950&amp;" "&amp;$V950))),OR(CARI!$C$6="",$F950=CARI!$C$6),OR(CARI!$C$7="",$G950=CARI!$C$7),OR(CARI!$C$8="",$T950=CARI!$C$8)),MAX($Z$3:Z949)+1,""))</f>
        <v/>
      </c>
      <c r="AA950" s="40" t="str">
        <f aca="false">IF($Y950="","",MAX($AA$3:AA949)+1)</f>
        <v/>
      </c>
      <c r="AB950" s="40" t="str">
        <f aca="false">IF($F950="","",$F950&amp;"#"&amp;COUNTIF($F$4:$F950,$F950))</f>
        <v/>
      </c>
      <c r="AC950" s="40" t="str">
        <f aca="false">IF($B950="","",IF(AND(OR(CETAK!$J$10="",$F950=CETAK!$J$10),OR(CETAK!$J$11="",$G950=CETAK!$J$11),OR(CETAK!$J$12="",$P950=CETAK!$J$12),OR(CETAK!$J$13="",$N950=CETAK!$J$13),OR(CETAK!$J$14="",$T950=CETAK!$J$14)),MAX($AC$3:AC949)+1,""))</f>
        <v/>
      </c>
      <c r="AD950" s="40" t="str">
        <f aca="false">IF($B950="","",IF(AND(OR(ABSENSI!$H$10="",$F950=ABSENSI!$H$10),OR(ABSENSI!$H$11="",$G950=ABSENSI!$H$11),OR(ABSENSI!$H$12="",$P950=ABSENSI!$H$12)),MAX($AD$3:AD949)+1,""))</f>
        <v/>
      </c>
      <c r="AE950" s="40" t="str">
        <f aca="false">IF($B950="","",IF(AND(OR(KARTU!$K$6="",$F950=KARTU!$K$6),OR(KARTU!$K$7="",$G950=KARTU!$K$7),OR(KARTU!$K$8="",$P950=KARTU!$K$8)),MAX($AE$3:AE949)+1,""))</f>
        <v/>
      </c>
    </row>
    <row r="951" customFormat="false" ht="15" hidden="false" customHeight="false" outlineLevel="0" collapsed="false">
      <c r="A951" s="35" t="str">
        <f aca="false">IF($B951="","",COUNTA($B$4:$B951))</f>
        <v/>
      </c>
      <c r="B951" s="36"/>
      <c r="C951" s="37"/>
      <c r="D951" s="37"/>
      <c r="E951" s="38"/>
      <c r="F951" s="36"/>
      <c r="G951" s="39"/>
      <c r="H951" s="39"/>
      <c r="I951" s="36"/>
      <c r="J951" s="36"/>
      <c r="K951" s="36"/>
      <c r="L951" s="36"/>
      <c r="M951" s="40" t="str">
        <f aca="false">IF($F951="","",$F951&amp;IF($G951="",""," - RT "&amp;$G951&amp;IF($H951="","","/"&amp;$H951)))</f>
        <v/>
      </c>
      <c r="N951" s="36"/>
      <c r="O951" s="37"/>
      <c r="P951" s="39"/>
      <c r="Q951" s="41"/>
      <c r="R951" s="35" t="str">
        <f aca="true">IF(OR($B951="",$Q951=""),"",DATEDIF($Q951,TODAY(),"Y"))</f>
        <v/>
      </c>
      <c r="S951" s="40" t="str">
        <f aca="false">IF($R951="","",INDEX(usia_label,MATCH($R951,usia_min,1)))</f>
        <v/>
      </c>
      <c r="T951" s="36"/>
      <c r="U951" s="41"/>
      <c r="V951" s="36"/>
      <c r="W951" s="36"/>
      <c r="X951" s="40" t="str">
        <f aca="false">IF($M951="","",$M951&amp;"#"&amp;COUNTIF($M$4:$M951,$M951))</f>
        <v/>
      </c>
      <c r="Y951" s="40" t="str">
        <f aca="false">IF($B951="","",IF($C951="","NIK kosong",IF(LEN($C951)&lt;&gt;16,"NIK bukan 16 digit",IF(COUNTIF($C$4:$C$2003,$C951&amp;"*")&gt;1,"NIK ganda",IF(AND($D951&lt;&gt;"",LEN($D951)&lt;&gt;16),"No. KK bukan 16 digit",IF(AND($F951="",$I951=""),"Alamat kosong",IF($N951="","Jabatan kosong",IF($O951="","No. HP kosong",IF(AND($R951&lt;&gt;"",$R951&lt;17),"Usia di bawah 17","")))))))))</f>
        <v/>
      </c>
      <c r="Z951" s="40" t="str">
        <f aca="false">IF($B951="","",IF(AND(OR(CARI!$C$5="",ISNUMBER(SEARCH(CARI!$C$5,$B951&amp;" "&amp;$C951&amp;" "&amp;$D951&amp;" "&amp;$O951&amp;" "&amp;$I951&amp;" "&amp;$F951&amp;" "&amp;$J951&amp;" "&amp;$K951&amp;" "&amp;$L951&amp;" "&amp;$V951))),OR(CARI!$C$6="",$F951=CARI!$C$6),OR(CARI!$C$7="",$G951=CARI!$C$7),OR(CARI!$C$8="",$T951=CARI!$C$8)),MAX($Z$3:Z950)+1,""))</f>
        <v/>
      </c>
      <c r="AA951" s="40" t="str">
        <f aca="false">IF($Y951="","",MAX($AA$3:AA950)+1)</f>
        <v/>
      </c>
      <c r="AB951" s="40" t="str">
        <f aca="false">IF($F951="","",$F951&amp;"#"&amp;COUNTIF($F$4:$F951,$F951))</f>
        <v/>
      </c>
      <c r="AC951" s="40" t="str">
        <f aca="false">IF($B951="","",IF(AND(OR(CETAK!$J$10="",$F951=CETAK!$J$10),OR(CETAK!$J$11="",$G951=CETAK!$J$11),OR(CETAK!$J$12="",$P951=CETAK!$J$12),OR(CETAK!$J$13="",$N951=CETAK!$J$13),OR(CETAK!$J$14="",$T951=CETAK!$J$14)),MAX($AC$3:AC950)+1,""))</f>
        <v/>
      </c>
      <c r="AD951" s="40" t="str">
        <f aca="false">IF($B951="","",IF(AND(OR(ABSENSI!$H$10="",$F951=ABSENSI!$H$10),OR(ABSENSI!$H$11="",$G951=ABSENSI!$H$11),OR(ABSENSI!$H$12="",$P951=ABSENSI!$H$12)),MAX($AD$3:AD950)+1,""))</f>
        <v/>
      </c>
      <c r="AE951" s="40" t="str">
        <f aca="false">IF($B951="","",IF(AND(OR(KARTU!$K$6="",$F951=KARTU!$K$6),OR(KARTU!$K$7="",$G951=KARTU!$K$7),OR(KARTU!$K$8="",$P951=KARTU!$K$8)),MAX($AE$3:AE950)+1,""))</f>
        <v/>
      </c>
    </row>
    <row r="952" customFormat="false" ht="15" hidden="false" customHeight="false" outlineLevel="0" collapsed="false">
      <c r="A952" s="35" t="str">
        <f aca="false">IF($B952="","",COUNTA($B$4:$B952))</f>
        <v/>
      </c>
      <c r="B952" s="36"/>
      <c r="C952" s="37"/>
      <c r="D952" s="37"/>
      <c r="E952" s="38"/>
      <c r="F952" s="36"/>
      <c r="G952" s="39"/>
      <c r="H952" s="39"/>
      <c r="I952" s="36"/>
      <c r="J952" s="36"/>
      <c r="K952" s="36"/>
      <c r="L952" s="36"/>
      <c r="M952" s="40" t="str">
        <f aca="false">IF($F952="","",$F952&amp;IF($G952="",""," - RT "&amp;$G952&amp;IF($H952="","","/"&amp;$H952)))</f>
        <v/>
      </c>
      <c r="N952" s="36"/>
      <c r="O952" s="37"/>
      <c r="P952" s="39"/>
      <c r="Q952" s="41"/>
      <c r="R952" s="35" t="str">
        <f aca="true">IF(OR($B952="",$Q952=""),"",DATEDIF($Q952,TODAY(),"Y"))</f>
        <v/>
      </c>
      <c r="S952" s="40" t="str">
        <f aca="false">IF($R952="","",INDEX(usia_label,MATCH($R952,usia_min,1)))</f>
        <v/>
      </c>
      <c r="T952" s="36"/>
      <c r="U952" s="41"/>
      <c r="V952" s="36"/>
      <c r="W952" s="36"/>
      <c r="X952" s="40" t="str">
        <f aca="false">IF($M952="","",$M952&amp;"#"&amp;COUNTIF($M$4:$M952,$M952))</f>
        <v/>
      </c>
      <c r="Y952" s="40" t="str">
        <f aca="false">IF($B952="","",IF($C952="","NIK kosong",IF(LEN($C952)&lt;&gt;16,"NIK bukan 16 digit",IF(COUNTIF($C$4:$C$2003,$C952&amp;"*")&gt;1,"NIK ganda",IF(AND($D952&lt;&gt;"",LEN($D952)&lt;&gt;16),"No. KK bukan 16 digit",IF(AND($F952="",$I952=""),"Alamat kosong",IF($N952="","Jabatan kosong",IF($O952="","No. HP kosong",IF(AND($R952&lt;&gt;"",$R952&lt;17),"Usia di bawah 17","")))))))))</f>
        <v/>
      </c>
      <c r="Z952" s="40" t="str">
        <f aca="false">IF($B952="","",IF(AND(OR(CARI!$C$5="",ISNUMBER(SEARCH(CARI!$C$5,$B952&amp;" "&amp;$C952&amp;" "&amp;$D952&amp;" "&amp;$O952&amp;" "&amp;$I952&amp;" "&amp;$F952&amp;" "&amp;$J952&amp;" "&amp;$K952&amp;" "&amp;$L952&amp;" "&amp;$V952))),OR(CARI!$C$6="",$F952=CARI!$C$6),OR(CARI!$C$7="",$G952=CARI!$C$7),OR(CARI!$C$8="",$T952=CARI!$C$8)),MAX($Z$3:Z951)+1,""))</f>
        <v/>
      </c>
      <c r="AA952" s="40" t="str">
        <f aca="false">IF($Y952="","",MAX($AA$3:AA951)+1)</f>
        <v/>
      </c>
      <c r="AB952" s="40" t="str">
        <f aca="false">IF($F952="","",$F952&amp;"#"&amp;COUNTIF($F$4:$F952,$F952))</f>
        <v/>
      </c>
      <c r="AC952" s="40" t="str">
        <f aca="false">IF($B952="","",IF(AND(OR(CETAK!$J$10="",$F952=CETAK!$J$10),OR(CETAK!$J$11="",$G952=CETAK!$J$11),OR(CETAK!$J$12="",$P952=CETAK!$J$12),OR(CETAK!$J$13="",$N952=CETAK!$J$13),OR(CETAK!$J$14="",$T952=CETAK!$J$14)),MAX($AC$3:AC951)+1,""))</f>
        <v/>
      </c>
      <c r="AD952" s="40" t="str">
        <f aca="false">IF($B952="","",IF(AND(OR(ABSENSI!$H$10="",$F952=ABSENSI!$H$10),OR(ABSENSI!$H$11="",$G952=ABSENSI!$H$11),OR(ABSENSI!$H$12="",$P952=ABSENSI!$H$12)),MAX($AD$3:AD951)+1,""))</f>
        <v/>
      </c>
      <c r="AE952" s="40" t="str">
        <f aca="false">IF($B952="","",IF(AND(OR(KARTU!$K$6="",$F952=KARTU!$K$6),OR(KARTU!$K$7="",$G952=KARTU!$K$7),OR(KARTU!$K$8="",$P952=KARTU!$K$8)),MAX($AE$3:AE951)+1,""))</f>
        <v/>
      </c>
    </row>
    <row r="953" customFormat="false" ht="15" hidden="false" customHeight="false" outlineLevel="0" collapsed="false">
      <c r="A953" s="35" t="str">
        <f aca="false">IF($B953="","",COUNTA($B$4:$B953))</f>
        <v/>
      </c>
      <c r="B953" s="36"/>
      <c r="C953" s="37"/>
      <c r="D953" s="37"/>
      <c r="E953" s="38"/>
      <c r="F953" s="36"/>
      <c r="G953" s="39"/>
      <c r="H953" s="39"/>
      <c r="I953" s="36"/>
      <c r="J953" s="36"/>
      <c r="K953" s="36"/>
      <c r="L953" s="36"/>
      <c r="M953" s="40" t="str">
        <f aca="false">IF($F953="","",$F953&amp;IF($G953="",""," - RT "&amp;$G953&amp;IF($H953="","","/"&amp;$H953)))</f>
        <v/>
      </c>
      <c r="N953" s="36"/>
      <c r="O953" s="37"/>
      <c r="P953" s="39"/>
      <c r="Q953" s="41"/>
      <c r="R953" s="35" t="str">
        <f aca="true">IF(OR($B953="",$Q953=""),"",DATEDIF($Q953,TODAY(),"Y"))</f>
        <v/>
      </c>
      <c r="S953" s="40" t="str">
        <f aca="false">IF($R953="","",INDEX(usia_label,MATCH($R953,usia_min,1)))</f>
        <v/>
      </c>
      <c r="T953" s="36"/>
      <c r="U953" s="41"/>
      <c r="V953" s="36"/>
      <c r="W953" s="36"/>
      <c r="X953" s="40" t="str">
        <f aca="false">IF($M953="","",$M953&amp;"#"&amp;COUNTIF($M$4:$M953,$M953))</f>
        <v/>
      </c>
      <c r="Y953" s="40" t="str">
        <f aca="false">IF($B953="","",IF($C953="","NIK kosong",IF(LEN($C953)&lt;&gt;16,"NIK bukan 16 digit",IF(COUNTIF($C$4:$C$2003,$C953&amp;"*")&gt;1,"NIK ganda",IF(AND($D953&lt;&gt;"",LEN($D953)&lt;&gt;16),"No. KK bukan 16 digit",IF(AND($F953="",$I953=""),"Alamat kosong",IF($N953="","Jabatan kosong",IF($O953="","No. HP kosong",IF(AND($R953&lt;&gt;"",$R953&lt;17),"Usia di bawah 17","")))))))))</f>
        <v/>
      </c>
      <c r="Z953" s="40" t="str">
        <f aca="false">IF($B953="","",IF(AND(OR(CARI!$C$5="",ISNUMBER(SEARCH(CARI!$C$5,$B953&amp;" "&amp;$C953&amp;" "&amp;$D953&amp;" "&amp;$O953&amp;" "&amp;$I953&amp;" "&amp;$F953&amp;" "&amp;$J953&amp;" "&amp;$K953&amp;" "&amp;$L953&amp;" "&amp;$V953))),OR(CARI!$C$6="",$F953=CARI!$C$6),OR(CARI!$C$7="",$G953=CARI!$C$7),OR(CARI!$C$8="",$T953=CARI!$C$8)),MAX($Z$3:Z952)+1,""))</f>
        <v/>
      </c>
      <c r="AA953" s="40" t="str">
        <f aca="false">IF($Y953="","",MAX($AA$3:AA952)+1)</f>
        <v/>
      </c>
      <c r="AB953" s="40" t="str">
        <f aca="false">IF($F953="","",$F953&amp;"#"&amp;COUNTIF($F$4:$F953,$F953))</f>
        <v/>
      </c>
      <c r="AC953" s="40" t="str">
        <f aca="false">IF($B953="","",IF(AND(OR(CETAK!$J$10="",$F953=CETAK!$J$10),OR(CETAK!$J$11="",$G953=CETAK!$J$11),OR(CETAK!$J$12="",$P953=CETAK!$J$12),OR(CETAK!$J$13="",$N953=CETAK!$J$13),OR(CETAK!$J$14="",$T953=CETAK!$J$14)),MAX($AC$3:AC952)+1,""))</f>
        <v/>
      </c>
      <c r="AD953" s="40" t="str">
        <f aca="false">IF($B953="","",IF(AND(OR(ABSENSI!$H$10="",$F953=ABSENSI!$H$10),OR(ABSENSI!$H$11="",$G953=ABSENSI!$H$11),OR(ABSENSI!$H$12="",$P953=ABSENSI!$H$12)),MAX($AD$3:AD952)+1,""))</f>
        <v/>
      </c>
      <c r="AE953" s="40" t="str">
        <f aca="false">IF($B953="","",IF(AND(OR(KARTU!$K$6="",$F953=KARTU!$K$6),OR(KARTU!$K$7="",$G953=KARTU!$K$7),OR(KARTU!$K$8="",$P953=KARTU!$K$8)),MAX($AE$3:AE952)+1,""))</f>
        <v/>
      </c>
    </row>
    <row r="954" customFormat="false" ht="15" hidden="false" customHeight="false" outlineLevel="0" collapsed="false">
      <c r="A954" s="35" t="str">
        <f aca="false">IF($B954="","",COUNTA($B$4:$B954))</f>
        <v/>
      </c>
      <c r="B954" s="36"/>
      <c r="C954" s="37"/>
      <c r="D954" s="37"/>
      <c r="E954" s="38"/>
      <c r="F954" s="36"/>
      <c r="G954" s="39"/>
      <c r="H954" s="39"/>
      <c r="I954" s="36"/>
      <c r="J954" s="36"/>
      <c r="K954" s="36"/>
      <c r="L954" s="36"/>
      <c r="M954" s="40" t="str">
        <f aca="false">IF($F954="","",$F954&amp;IF($G954="",""," - RT "&amp;$G954&amp;IF($H954="","","/"&amp;$H954)))</f>
        <v/>
      </c>
      <c r="N954" s="36"/>
      <c r="O954" s="37"/>
      <c r="P954" s="39"/>
      <c r="Q954" s="41"/>
      <c r="R954" s="35" t="str">
        <f aca="true">IF(OR($B954="",$Q954=""),"",DATEDIF($Q954,TODAY(),"Y"))</f>
        <v/>
      </c>
      <c r="S954" s="40" t="str">
        <f aca="false">IF($R954="","",INDEX(usia_label,MATCH($R954,usia_min,1)))</f>
        <v/>
      </c>
      <c r="T954" s="36"/>
      <c r="U954" s="41"/>
      <c r="V954" s="36"/>
      <c r="W954" s="36"/>
      <c r="X954" s="40" t="str">
        <f aca="false">IF($M954="","",$M954&amp;"#"&amp;COUNTIF($M$4:$M954,$M954))</f>
        <v/>
      </c>
      <c r="Y954" s="40" t="str">
        <f aca="false">IF($B954="","",IF($C954="","NIK kosong",IF(LEN($C954)&lt;&gt;16,"NIK bukan 16 digit",IF(COUNTIF($C$4:$C$2003,$C954&amp;"*")&gt;1,"NIK ganda",IF(AND($D954&lt;&gt;"",LEN($D954)&lt;&gt;16),"No. KK bukan 16 digit",IF(AND($F954="",$I954=""),"Alamat kosong",IF($N954="","Jabatan kosong",IF($O954="","No. HP kosong",IF(AND($R954&lt;&gt;"",$R954&lt;17),"Usia di bawah 17","")))))))))</f>
        <v/>
      </c>
      <c r="Z954" s="40" t="str">
        <f aca="false">IF($B954="","",IF(AND(OR(CARI!$C$5="",ISNUMBER(SEARCH(CARI!$C$5,$B954&amp;" "&amp;$C954&amp;" "&amp;$D954&amp;" "&amp;$O954&amp;" "&amp;$I954&amp;" "&amp;$F954&amp;" "&amp;$J954&amp;" "&amp;$K954&amp;" "&amp;$L954&amp;" "&amp;$V954))),OR(CARI!$C$6="",$F954=CARI!$C$6),OR(CARI!$C$7="",$G954=CARI!$C$7),OR(CARI!$C$8="",$T954=CARI!$C$8)),MAX($Z$3:Z953)+1,""))</f>
        <v/>
      </c>
      <c r="AA954" s="40" t="str">
        <f aca="false">IF($Y954="","",MAX($AA$3:AA953)+1)</f>
        <v/>
      </c>
      <c r="AB954" s="40" t="str">
        <f aca="false">IF($F954="","",$F954&amp;"#"&amp;COUNTIF($F$4:$F954,$F954))</f>
        <v/>
      </c>
      <c r="AC954" s="40" t="str">
        <f aca="false">IF($B954="","",IF(AND(OR(CETAK!$J$10="",$F954=CETAK!$J$10),OR(CETAK!$J$11="",$G954=CETAK!$J$11),OR(CETAK!$J$12="",$P954=CETAK!$J$12),OR(CETAK!$J$13="",$N954=CETAK!$J$13),OR(CETAK!$J$14="",$T954=CETAK!$J$14)),MAX($AC$3:AC953)+1,""))</f>
        <v/>
      </c>
      <c r="AD954" s="40" t="str">
        <f aca="false">IF($B954="","",IF(AND(OR(ABSENSI!$H$10="",$F954=ABSENSI!$H$10),OR(ABSENSI!$H$11="",$G954=ABSENSI!$H$11),OR(ABSENSI!$H$12="",$P954=ABSENSI!$H$12)),MAX($AD$3:AD953)+1,""))</f>
        <v/>
      </c>
      <c r="AE954" s="40" t="str">
        <f aca="false">IF($B954="","",IF(AND(OR(KARTU!$K$6="",$F954=KARTU!$K$6),OR(KARTU!$K$7="",$G954=KARTU!$K$7),OR(KARTU!$K$8="",$P954=KARTU!$K$8)),MAX($AE$3:AE953)+1,""))</f>
        <v/>
      </c>
    </row>
    <row r="955" customFormat="false" ht="15" hidden="false" customHeight="false" outlineLevel="0" collapsed="false">
      <c r="A955" s="35" t="str">
        <f aca="false">IF($B955="","",COUNTA($B$4:$B955))</f>
        <v/>
      </c>
      <c r="B955" s="36"/>
      <c r="C955" s="37"/>
      <c r="D955" s="37"/>
      <c r="E955" s="38"/>
      <c r="F955" s="36"/>
      <c r="G955" s="39"/>
      <c r="H955" s="39"/>
      <c r="I955" s="36"/>
      <c r="J955" s="36"/>
      <c r="K955" s="36"/>
      <c r="L955" s="36"/>
      <c r="M955" s="40" t="str">
        <f aca="false">IF($F955="","",$F955&amp;IF($G955="",""," - RT "&amp;$G955&amp;IF($H955="","","/"&amp;$H955)))</f>
        <v/>
      </c>
      <c r="N955" s="36"/>
      <c r="O955" s="37"/>
      <c r="P955" s="39"/>
      <c r="Q955" s="41"/>
      <c r="R955" s="35" t="str">
        <f aca="true">IF(OR($B955="",$Q955=""),"",DATEDIF($Q955,TODAY(),"Y"))</f>
        <v/>
      </c>
      <c r="S955" s="40" t="str">
        <f aca="false">IF($R955="","",INDEX(usia_label,MATCH($R955,usia_min,1)))</f>
        <v/>
      </c>
      <c r="T955" s="36"/>
      <c r="U955" s="41"/>
      <c r="V955" s="36"/>
      <c r="W955" s="36"/>
      <c r="X955" s="40" t="str">
        <f aca="false">IF($M955="","",$M955&amp;"#"&amp;COUNTIF($M$4:$M955,$M955))</f>
        <v/>
      </c>
      <c r="Y955" s="40" t="str">
        <f aca="false">IF($B955="","",IF($C955="","NIK kosong",IF(LEN($C955)&lt;&gt;16,"NIK bukan 16 digit",IF(COUNTIF($C$4:$C$2003,$C955&amp;"*")&gt;1,"NIK ganda",IF(AND($D955&lt;&gt;"",LEN($D955)&lt;&gt;16),"No. KK bukan 16 digit",IF(AND($F955="",$I955=""),"Alamat kosong",IF($N955="","Jabatan kosong",IF($O955="","No. HP kosong",IF(AND($R955&lt;&gt;"",$R955&lt;17),"Usia di bawah 17","")))))))))</f>
        <v/>
      </c>
      <c r="Z955" s="40" t="str">
        <f aca="false">IF($B955="","",IF(AND(OR(CARI!$C$5="",ISNUMBER(SEARCH(CARI!$C$5,$B955&amp;" "&amp;$C955&amp;" "&amp;$D955&amp;" "&amp;$O955&amp;" "&amp;$I955&amp;" "&amp;$F955&amp;" "&amp;$J955&amp;" "&amp;$K955&amp;" "&amp;$L955&amp;" "&amp;$V955))),OR(CARI!$C$6="",$F955=CARI!$C$6),OR(CARI!$C$7="",$G955=CARI!$C$7),OR(CARI!$C$8="",$T955=CARI!$C$8)),MAX($Z$3:Z954)+1,""))</f>
        <v/>
      </c>
      <c r="AA955" s="40" t="str">
        <f aca="false">IF($Y955="","",MAX($AA$3:AA954)+1)</f>
        <v/>
      </c>
      <c r="AB955" s="40" t="str">
        <f aca="false">IF($F955="","",$F955&amp;"#"&amp;COUNTIF($F$4:$F955,$F955))</f>
        <v/>
      </c>
      <c r="AC955" s="40" t="str">
        <f aca="false">IF($B955="","",IF(AND(OR(CETAK!$J$10="",$F955=CETAK!$J$10),OR(CETAK!$J$11="",$G955=CETAK!$J$11),OR(CETAK!$J$12="",$P955=CETAK!$J$12),OR(CETAK!$J$13="",$N955=CETAK!$J$13),OR(CETAK!$J$14="",$T955=CETAK!$J$14)),MAX($AC$3:AC954)+1,""))</f>
        <v/>
      </c>
      <c r="AD955" s="40" t="str">
        <f aca="false">IF($B955="","",IF(AND(OR(ABSENSI!$H$10="",$F955=ABSENSI!$H$10),OR(ABSENSI!$H$11="",$G955=ABSENSI!$H$11),OR(ABSENSI!$H$12="",$P955=ABSENSI!$H$12)),MAX($AD$3:AD954)+1,""))</f>
        <v/>
      </c>
      <c r="AE955" s="40" t="str">
        <f aca="false">IF($B955="","",IF(AND(OR(KARTU!$K$6="",$F955=KARTU!$K$6),OR(KARTU!$K$7="",$G955=KARTU!$K$7),OR(KARTU!$K$8="",$P955=KARTU!$K$8)),MAX($AE$3:AE954)+1,""))</f>
        <v/>
      </c>
    </row>
    <row r="956" customFormat="false" ht="15" hidden="false" customHeight="false" outlineLevel="0" collapsed="false">
      <c r="A956" s="35" t="str">
        <f aca="false">IF($B956="","",COUNTA($B$4:$B956))</f>
        <v/>
      </c>
      <c r="B956" s="36"/>
      <c r="C956" s="37"/>
      <c r="D956" s="37"/>
      <c r="E956" s="38"/>
      <c r="F956" s="36"/>
      <c r="G956" s="39"/>
      <c r="H956" s="39"/>
      <c r="I956" s="36"/>
      <c r="J956" s="36"/>
      <c r="K956" s="36"/>
      <c r="L956" s="36"/>
      <c r="M956" s="40" t="str">
        <f aca="false">IF($F956="","",$F956&amp;IF($G956="",""," - RT "&amp;$G956&amp;IF($H956="","","/"&amp;$H956)))</f>
        <v/>
      </c>
      <c r="N956" s="36"/>
      <c r="O956" s="37"/>
      <c r="P956" s="39"/>
      <c r="Q956" s="41"/>
      <c r="R956" s="35" t="str">
        <f aca="true">IF(OR($B956="",$Q956=""),"",DATEDIF($Q956,TODAY(),"Y"))</f>
        <v/>
      </c>
      <c r="S956" s="40" t="str">
        <f aca="false">IF($R956="","",INDEX(usia_label,MATCH($R956,usia_min,1)))</f>
        <v/>
      </c>
      <c r="T956" s="36"/>
      <c r="U956" s="41"/>
      <c r="V956" s="36"/>
      <c r="W956" s="36"/>
      <c r="X956" s="40" t="str">
        <f aca="false">IF($M956="","",$M956&amp;"#"&amp;COUNTIF($M$4:$M956,$M956))</f>
        <v/>
      </c>
      <c r="Y956" s="40" t="str">
        <f aca="false">IF($B956="","",IF($C956="","NIK kosong",IF(LEN($C956)&lt;&gt;16,"NIK bukan 16 digit",IF(COUNTIF($C$4:$C$2003,$C956&amp;"*")&gt;1,"NIK ganda",IF(AND($D956&lt;&gt;"",LEN($D956)&lt;&gt;16),"No. KK bukan 16 digit",IF(AND($F956="",$I956=""),"Alamat kosong",IF($N956="","Jabatan kosong",IF($O956="","No. HP kosong",IF(AND($R956&lt;&gt;"",$R956&lt;17),"Usia di bawah 17","")))))))))</f>
        <v/>
      </c>
      <c r="Z956" s="40" t="str">
        <f aca="false">IF($B956="","",IF(AND(OR(CARI!$C$5="",ISNUMBER(SEARCH(CARI!$C$5,$B956&amp;" "&amp;$C956&amp;" "&amp;$D956&amp;" "&amp;$O956&amp;" "&amp;$I956&amp;" "&amp;$F956&amp;" "&amp;$J956&amp;" "&amp;$K956&amp;" "&amp;$L956&amp;" "&amp;$V956))),OR(CARI!$C$6="",$F956=CARI!$C$6),OR(CARI!$C$7="",$G956=CARI!$C$7),OR(CARI!$C$8="",$T956=CARI!$C$8)),MAX($Z$3:Z955)+1,""))</f>
        <v/>
      </c>
      <c r="AA956" s="40" t="str">
        <f aca="false">IF($Y956="","",MAX($AA$3:AA955)+1)</f>
        <v/>
      </c>
      <c r="AB956" s="40" t="str">
        <f aca="false">IF($F956="","",$F956&amp;"#"&amp;COUNTIF($F$4:$F956,$F956))</f>
        <v/>
      </c>
      <c r="AC956" s="40" t="str">
        <f aca="false">IF($B956="","",IF(AND(OR(CETAK!$J$10="",$F956=CETAK!$J$10),OR(CETAK!$J$11="",$G956=CETAK!$J$11),OR(CETAK!$J$12="",$P956=CETAK!$J$12),OR(CETAK!$J$13="",$N956=CETAK!$J$13),OR(CETAK!$J$14="",$T956=CETAK!$J$14)),MAX($AC$3:AC955)+1,""))</f>
        <v/>
      </c>
      <c r="AD956" s="40" t="str">
        <f aca="false">IF($B956="","",IF(AND(OR(ABSENSI!$H$10="",$F956=ABSENSI!$H$10),OR(ABSENSI!$H$11="",$G956=ABSENSI!$H$11),OR(ABSENSI!$H$12="",$P956=ABSENSI!$H$12)),MAX($AD$3:AD955)+1,""))</f>
        <v/>
      </c>
      <c r="AE956" s="40" t="str">
        <f aca="false">IF($B956="","",IF(AND(OR(KARTU!$K$6="",$F956=KARTU!$K$6),OR(KARTU!$K$7="",$G956=KARTU!$K$7),OR(KARTU!$K$8="",$P956=KARTU!$K$8)),MAX($AE$3:AE955)+1,""))</f>
        <v/>
      </c>
    </row>
    <row r="957" customFormat="false" ht="15" hidden="false" customHeight="false" outlineLevel="0" collapsed="false">
      <c r="A957" s="35" t="str">
        <f aca="false">IF($B957="","",COUNTA($B$4:$B957))</f>
        <v/>
      </c>
      <c r="B957" s="36"/>
      <c r="C957" s="37"/>
      <c r="D957" s="37"/>
      <c r="E957" s="38"/>
      <c r="F957" s="36"/>
      <c r="G957" s="39"/>
      <c r="H957" s="39"/>
      <c r="I957" s="36"/>
      <c r="J957" s="36"/>
      <c r="K957" s="36"/>
      <c r="L957" s="36"/>
      <c r="M957" s="40" t="str">
        <f aca="false">IF($F957="","",$F957&amp;IF($G957="",""," - RT "&amp;$G957&amp;IF($H957="","","/"&amp;$H957)))</f>
        <v/>
      </c>
      <c r="N957" s="36"/>
      <c r="O957" s="37"/>
      <c r="P957" s="39"/>
      <c r="Q957" s="41"/>
      <c r="R957" s="35" t="str">
        <f aca="true">IF(OR($B957="",$Q957=""),"",DATEDIF($Q957,TODAY(),"Y"))</f>
        <v/>
      </c>
      <c r="S957" s="40" t="str">
        <f aca="false">IF($R957="","",INDEX(usia_label,MATCH($R957,usia_min,1)))</f>
        <v/>
      </c>
      <c r="T957" s="36"/>
      <c r="U957" s="41"/>
      <c r="V957" s="36"/>
      <c r="W957" s="36"/>
      <c r="X957" s="40" t="str">
        <f aca="false">IF($M957="","",$M957&amp;"#"&amp;COUNTIF($M$4:$M957,$M957))</f>
        <v/>
      </c>
      <c r="Y957" s="40" t="str">
        <f aca="false">IF($B957="","",IF($C957="","NIK kosong",IF(LEN($C957)&lt;&gt;16,"NIK bukan 16 digit",IF(COUNTIF($C$4:$C$2003,$C957&amp;"*")&gt;1,"NIK ganda",IF(AND($D957&lt;&gt;"",LEN($D957)&lt;&gt;16),"No. KK bukan 16 digit",IF(AND($F957="",$I957=""),"Alamat kosong",IF($N957="","Jabatan kosong",IF($O957="","No. HP kosong",IF(AND($R957&lt;&gt;"",$R957&lt;17),"Usia di bawah 17","")))))))))</f>
        <v/>
      </c>
      <c r="Z957" s="40" t="str">
        <f aca="false">IF($B957="","",IF(AND(OR(CARI!$C$5="",ISNUMBER(SEARCH(CARI!$C$5,$B957&amp;" "&amp;$C957&amp;" "&amp;$D957&amp;" "&amp;$O957&amp;" "&amp;$I957&amp;" "&amp;$F957&amp;" "&amp;$J957&amp;" "&amp;$K957&amp;" "&amp;$L957&amp;" "&amp;$V957))),OR(CARI!$C$6="",$F957=CARI!$C$6),OR(CARI!$C$7="",$G957=CARI!$C$7),OR(CARI!$C$8="",$T957=CARI!$C$8)),MAX($Z$3:Z956)+1,""))</f>
        <v/>
      </c>
      <c r="AA957" s="40" t="str">
        <f aca="false">IF($Y957="","",MAX($AA$3:AA956)+1)</f>
        <v/>
      </c>
      <c r="AB957" s="40" t="str">
        <f aca="false">IF($F957="","",$F957&amp;"#"&amp;COUNTIF($F$4:$F957,$F957))</f>
        <v/>
      </c>
      <c r="AC957" s="40" t="str">
        <f aca="false">IF($B957="","",IF(AND(OR(CETAK!$J$10="",$F957=CETAK!$J$10),OR(CETAK!$J$11="",$G957=CETAK!$J$11),OR(CETAK!$J$12="",$P957=CETAK!$J$12),OR(CETAK!$J$13="",$N957=CETAK!$J$13),OR(CETAK!$J$14="",$T957=CETAK!$J$14)),MAX($AC$3:AC956)+1,""))</f>
        <v/>
      </c>
      <c r="AD957" s="40" t="str">
        <f aca="false">IF($B957="","",IF(AND(OR(ABSENSI!$H$10="",$F957=ABSENSI!$H$10),OR(ABSENSI!$H$11="",$G957=ABSENSI!$H$11),OR(ABSENSI!$H$12="",$P957=ABSENSI!$H$12)),MAX($AD$3:AD956)+1,""))</f>
        <v/>
      </c>
      <c r="AE957" s="40" t="str">
        <f aca="false">IF($B957="","",IF(AND(OR(KARTU!$K$6="",$F957=KARTU!$K$6),OR(KARTU!$K$7="",$G957=KARTU!$K$7),OR(KARTU!$K$8="",$P957=KARTU!$K$8)),MAX($AE$3:AE956)+1,""))</f>
        <v/>
      </c>
    </row>
    <row r="958" customFormat="false" ht="15" hidden="false" customHeight="false" outlineLevel="0" collapsed="false">
      <c r="A958" s="35" t="str">
        <f aca="false">IF($B958="","",COUNTA($B$4:$B958))</f>
        <v/>
      </c>
      <c r="B958" s="36"/>
      <c r="C958" s="37"/>
      <c r="D958" s="37"/>
      <c r="E958" s="38"/>
      <c r="F958" s="36"/>
      <c r="G958" s="39"/>
      <c r="H958" s="39"/>
      <c r="I958" s="36"/>
      <c r="J958" s="36"/>
      <c r="K958" s="36"/>
      <c r="L958" s="36"/>
      <c r="M958" s="40" t="str">
        <f aca="false">IF($F958="","",$F958&amp;IF($G958="",""," - RT "&amp;$G958&amp;IF($H958="","","/"&amp;$H958)))</f>
        <v/>
      </c>
      <c r="N958" s="36"/>
      <c r="O958" s="37"/>
      <c r="P958" s="39"/>
      <c r="Q958" s="41"/>
      <c r="R958" s="35" t="str">
        <f aca="true">IF(OR($B958="",$Q958=""),"",DATEDIF($Q958,TODAY(),"Y"))</f>
        <v/>
      </c>
      <c r="S958" s="40" t="str">
        <f aca="false">IF($R958="","",INDEX(usia_label,MATCH($R958,usia_min,1)))</f>
        <v/>
      </c>
      <c r="T958" s="36"/>
      <c r="U958" s="41"/>
      <c r="V958" s="36"/>
      <c r="W958" s="36"/>
      <c r="X958" s="40" t="str">
        <f aca="false">IF($M958="","",$M958&amp;"#"&amp;COUNTIF($M$4:$M958,$M958))</f>
        <v/>
      </c>
      <c r="Y958" s="40" t="str">
        <f aca="false">IF($B958="","",IF($C958="","NIK kosong",IF(LEN($C958)&lt;&gt;16,"NIK bukan 16 digit",IF(COUNTIF($C$4:$C$2003,$C958&amp;"*")&gt;1,"NIK ganda",IF(AND($D958&lt;&gt;"",LEN($D958)&lt;&gt;16),"No. KK bukan 16 digit",IF(AND($F958="",$I958=""),"Alamat kosong",IF($N958="","Jabatan kosong",IF($O958="","No. HP kosong",IF(AND($R958&lt;&gt;"",$R958&lt;17),"Usia di bawah 17","")))))))))</f>
        <v/>
      </c>
      <c r="Z958" s="40" t="str">
        <f aca="false">IF($B958="","",IF(AND(OR(CARI!$C$5="",ISNUMBER(SEARCH(CARI!$C$5,$B958&amp;" "&amp;$C958&amp;" "&amp;$D958&amp;" "&amp;$O958&amp;" "&amp;$I958&amp;" "&amp;$F958&amp;" "&amp;$J958&amp;" "&amp;$K958&amp;" "&amp;$L958&amp;" "&amp;$V958))),OR(CARI!$C$6="",$F958=CARI!$C$6),OR(CARI!$C$7="",$G958=CARI!$C$7),OR(CARI!$C$8="",$T958=CARI!$C$8)),MAX($Z$3:Z957)+1,""))</f>
        <v/>
      </c>
      <c r="AA958" s="40" t="str">
        <f aca="false">IF($Y958="","",MAX($AA$3:AA957)+1)</f>
        <v/>
      </c>
      <c r="AB958" s="40" t="str">
        <f aca="false">IF($F958="","",$F958&amp;"#"&amp;COUNTIF($F$4:$F958,$F958))</f>
        <v/>
      </c>
      <c r="AC958" s="40" t="str">
        <f aca="false">IF($B958="","",IF(AND(OR(CETAK!$J$10="",$F958=CETAK!$J$10),OR(CETAK!$J$11="",$G958=CETAK!$J$11),OR(CETAK!$J$12="",$P958=CETAK!$J$12),OR(CETAK!$J$13="",$N958=CETAK!$J$13),OR(CETAK!$J$14="",$T958=CETAK!$J$14)),MAX($AC$3:AC957)+1,""))</f>
        <v/>
      </c>
      <c r="AD958" s="40" t="str">
        <f aca="false">IF($B958="","",IF(AND(OR(ABSENSI!$H$10="",$F958=ABSENSI!$H$10),OR(ABSENSI!$H$11="",$G958=ABSENSI!$H$11),OR(ABSENSI!$H$12="",$P958=ABSENSI!$H$12)),MAX($AD$3:AD957)+1,""))</f>
        <v/>
      </c>
      <c r="AE958" s="40" t="str">
        <f aca="false">IF($B958="","",IF(AND(OR(KARTU!$K$6="",$F958=KARTU!$K$6),OR(KARTU!$K$7="",$G958=KARTU!$K$7),OR(KARTU!$K$8="",$P958=KARTU!$K$8)),MAX($AE$3:AE957)+1,""))</f>
        <v/>
      </c>
    </row>
    <row r="959" customFormat="false" ht="15" hidden="false" customHeight="false" outlineLevel="0" collapsed="false">
      <c r="A959" s="35" t="str">
        <f aca="false">IF($B959="","",COUNTA($B$4:$B959))</f>
        <v/>
      </c>
      <c r="B959" s="36"/>
      <c r="C959" s="37"/>
      <c r="D959" s="37"/>
      <c r="E959" s="38"/>
      <c r="F959" s="36"/>
      <c r="G959" s="39"/>
      <c r="H959" s="39"/>
      <c r="I959" s="36"/>
      <c r="J959" s="36"/>
      <c r="K959" s="36"/>
      <c r="L959" s="36"/>
      <c r="M959" s="40" t="str">
        <f aca="false">IF($F959="","",$F959&amp;IF($G959="",""," - RT "&amp;$G959&amp;IF($H959="","","/"&amp;$H959)))</f>
        <v/>
      </c>
      <c r="N959" s="36"/>
      <c r="O959" s="37"/>
      <c r="P959" s="39"/>
      <c r="Q959" s="41"/>
      <c r="R959" s="35" t="str">
        <f aca="true">IF(OR($B959="",$Q959=""),"",DATEDIF($Q959,TODAY(),"Y"))</f>
        <v/>
      </c>
      <c r="S959" s="40" t="str">
        <f aca="false">IF($R959="","",INDEX(usia_label,MATCH($R959,usia_min,1)))</f>
        <v/>
      </c>
      <c r="T959" s="36"/>
      <c r="U959" s="41"/>
      <c r="V959" s="36"/>
      <c r="W959" s="36"/>
      <c r="X959" s="40" t="str">
        <f aca="false">IF($M959="","",$M959&amp;"#"&amp;COUNTIF($M$4:$M959,$M959))</f>
        <v/>
      </c>
      <c r="Y959" s="40" t="str">
        <f aca="false">IF($B959="","",IF($C959="","NIK kosong",IF(LEN($C959)&lt;&gt;16,"NIK bukan 16 digit",IF(COUNTIF($C$4:$C$2003,$C959&amp;"*")&gt;1,"NIK ganda",IF(AND($D959&lt;&gt;"",LEN($D959)&lt;&gt;16),"No. KK bukan 16 digit",IF(AND($F959="",$I959=""),"Alamat kosong",IF($N959="","Jabatan kosong",IF($O959="","No. HP kosong",IF(AND($R959&lt;&gt;"",$R959&lt;17),"Usia di bawah 17","")))))))))</f>
        <v/>
      </c>
      <c r="Z959" s="40" t="str">
        <f aca="false">IF($B959="","",IF(AND(OR(CARI!$C$5="",ISNUMBER(SEARCH(CARI!$C$5,$B959&amp;" "&amp;$C959&amp;" "&amp;$D959&amp;" "&amp;$O959&amp;" "&amp;$I959&amp;" "&amp;$F959&amp;" "&amp;$J959&amp;" "&amp;$K959&amp;" "&amp;$L959&amp;" "&amp;$V959))),OR(CARI!$C$6="",$F959=CARI!$C$6),OR(CARI!$C$7="",$G959=CARI!$C$7),OR(CARI!$C$8="",$T959=CARI!$C$8)),MAX($Z$3:Z958)+1,""))</f>
        <v/>
      </c>
      <c r="AA959" s="40" t="str">
        <f aca="false">IF($Y959="","",MAX($AA$3:AA958)+1)</f>
        <v/>
      </c>
      <c r="AB959" s="40" t="str">
        <f aca="false">IF($F959="","",$F959&amp;"#"&amp;COUNTIF($F$4:$F959,$F959))</f>
        <v/>
      </c>
      <c r="AC959" s="40" t="str">
        <f aca="false">IF($B959="","",IF(AND(OR(CETAK!$J$10="",$F959=CETAK!$J$10),OR(CETAK!$J$11="",$G959=CETAK!$J$11),OR(CETAK!$J$12="",$P959=CETAK!$J$12),OR(CETAK!$J$13="",$N959=CETAK!$J$13),OR(CETAK!$J$14="",$T959=CETAK!$J$14)),MAX($AC$3:AC958)+1,""))</f>
        <v/>
      </c>
      <c r="AD959" s="40" t="str">
        <f aca="false">IF($B959="","",IF(AND(OR(ABSENSI!$H$10="",$F959=ABSENSI!$H$10),OR(ABSENSI!$H$11="",$G959=ABSENSI!$H$11),OR(ABSENSI!$H$12="",$P959=ABSENSI!$H$12)),MAX($AD$3:AD958)+1,""))</f>
        <v/>
      </c>
      <c r="AE959" s="40" t="str">
        <f aca="false">IF($B959="","",IF(AND(OR(KARTU!$K$6="",$F959=KARTU!$K$6),OR(KARTU!$K$7="",$G959=KARTU!$K$7),OR(KARTU!$K$8="",$P959=KARTU!$K$8)),MAX($AE$3:AE958)+1,""))</f>
        <v/>
      </c>
    </row>
    <row r="960" customFormat="false" ht="15" hidden="false" customHeight="false" outlineLevel="0" collapsed="false">
      <c r="A960" s="35" t="str">
        <f aca="false">IF($B960="","",COUNTA($B$4:$B960))</f>
        <v/>
      </c>
      <c r="B960" s="36"/>
      <c r="C960" s="37"/>
      <c r="D960" s="37"/>
      <c r="E960" s="38"/>
      <c r="F960" s="36"/>
      <c r="G960" s="39"/>
      <c r="H960" s="39"/>
      <c r="I960" s="36"/>
      <c r="J960" s="36"/>
      <c r="K960" s="36"/>
      <c r="L960" s="36"/>
      <c r="M960" s="40" t="str">
        <f aca="false">IF($F960="","",$F960&amp;IF($G960="",""," - RT "&amp;$G960&amp;IF($H960="","","/"&amp;$H960)))</f>
        <v/>
      </c>
      <c r="N960" s="36"/>
      <c r="O960" s="37"/>
      <c r="P960" s="39"/>
      <c r="Q960" s="41"/>
      <c r="R960" s="35" t="str">
        <f aca="true">IF(OR($B960="",$Q960=""),"",DATEDIF($Q960,TODAY(),"Y"))</f>
        <v/>
      </c>
      <c r="S960" s="40" t="str">
        <f aca="false">IF($R960="","",INDEX(usia_label,MATCH($R960,usia_min,1)))</f>
        <v/>
      </c>
      <c r="T960" s="36"/>
      <c r="U960" s="41"/>
      <c r="V960" s="36"/>
      <c r="W960" s="36"/>
      <c r="X960" s="40" t="str">
        <f aca="false">IF($M960="","",$M960&amp;"#"&amp;COUNTIF($M$4:$M960,$M960))</f>
        <v/>
      </c>
      <c r="Y960" s="40" t="str">
        <f aca="false">IF($B960="","",IF($C960="","NIK kosong",IF(LEN($C960)&lt;&gt;16,"NIK bukan 16 digit",IF(COUNTIF($C$4:$C$2003,$C960&amp;"*")&gt;1,"NIK ganda",IF(AND($D960&lt;&gt;"",LEN($D960)&lt;&gt;16),"No. KK bukan 16 digit",IF(AND($F960="",$I960=""),"Alamat kosong",IF($N960="","Jabatan kosong",IF($O960="","No. HP kosong",IF(AND($R960&lt;&gt;"",$R960&lt;17),"Usia di bawah 17","")))))))))</f>
        <v/>
      </c>
      <c r="Z960" s="40" t="str">
        <f aca="false">IF($B960="","",IF(AND(OR(CARI!$C$5="",ISNUMBER(SEARCH(CARI!$C$5,$B960&amp;" "&amp;$C960&amp;" "&amp;$D960&amp;" "&amp;$O960&amp;" "&amp;$I960&amp;" "&amp;$F960&amp;" "&amp;$J960&amp;" "&amp;$K960&amp;" "&amp;$L960&amp;" "&amp;$V960))),OR(CARI!$C$6="",$F960=CARI!$C$6),OR(CARI!$C$7="",$G960=CARI!$C$7),OR(CARI!$C$8="",$T960=CARI!$C$8)),MAX($Z$3:Z959)+1,""))</f>
        <v/>
      </c>
      <c r="AA960" s="40" t="str">
        <f aca="false">IF($Y960="","",MAX($AA$3:AA959)+1)</f>
        <v/>
      </c>
      <c r="AB960" s="40" t="str">
        <f aca="false">IF($F960="","",$F960&amp;"#"&amp;COUNTIF($F$4:$F960,$F960))</f>
        <v/>
      </c>
      <c r="AC960" s="40" t="str">
        <f aca="false">IF($B960="","",IF(AND(OR(CETAK!$J$10="",$F960=CETAK!$J$10),OR(CETAK!$J$11="",$G960=CETAK!$J$11),OR(CETAK!$J$12="",$P960=CETAK!$J$12),OR(CETAK!$J$13="",$N960=CETAK!$J$13),OR(CETAK!$J$14="",$T960=CETAK!$J$14)),MAX($AC$3:AC959)+1,""))</f>
        <v/>
      </c>
      <c r="AD960" s="40" t="str">
        <f aca="false">IF($B960="","",IF(AND(OR(ABSENSI!$H$10="",$F960=ABSENSI!$H$10),OR(ABSENSI!$H$11="",$G960=ABSENSI!$H$11),OR(ABSENSI!$H$12="",$P960=ABSENSI!$H$12)),MAX($AD$3:AD959)+1,""))</f>
        <v/>
      </c>
      <c r="AE960" s="40" t="str">
        <f aca="false">IF($B960="","",IF(AND(OR(KARTU!$K$6="",$F960=KARTU!$K$6),OR(KARTU!$K$7="",$G960=KARTU!$K$7),OR(KARTU!$K$8="",$P960=KARTU!$K$8)),MAX($AE$3:AE959)+1,""))</f>
        <v/>
      </c>
    </row>
    <row r="961" customFormat="false" ht="15" hidden="false" customHeight="false" outlineLevel="0" collapsed="false">
      <c r="A961" s="35" t="str">
        <f aca="false">IF($B961="","",COUNTA($B$4:$B961))</f>
        <v/>
      </c>
      <c r="B961" s="36"/>
      <c r="C961" s="37"/>
      <c r="D961" s="37"/>
      <c r="E961" s="38"/>
      <c r="F961" s="36"/>
      <c r="G961" s="39"/>
      <c r="H961" s="39"/>
      <c r="I961" s="36"/>
      <c r="J961" s="36"/>
      <c r="K961" s="36"/>
      <c r="L961" s="36"/>
      <c r="M961" s="40" t="str">
        <f aca="false">IF($F961="","",$F961&amp;IF($G961="",""," - RT "&amp;$G961&amp;IF($H961="","","/"&amp;$H961)))</f>
        <v/>
      </c>
      <c r="N961" s="36"/>
      <c r="O961" s="37"/>
      <c r="P961" s="39"/>
      <c r="Q961" s="41"/>
      <c r="R961" s="35" t="str">
        <f aca="true">IF(OR($B961="",$Q961=""),"",DATEDIF($Q961,TODAY(),"Y"))</f>
        <v/>
      </c>
      <c r="S961" s="40" t="str">
        <f aca="false">IF($R961="","",INDEX(usia_label,MATCH($R961,usia_min,1)))</f>
        <v/>
      </c>
      <c r="T961" s="36"/>
      <c r="U961" s="41"/>
      <c r="V961" s="36"/>
      <c r="W961" s="36"/>
      <c r="X961" s="40" t="str">
        <f aca="false">IF($M961="","",$M961&amp;"#"&amp;COUNTIF($M$4:$M961,$M961))</f>
        <v/>
      </c>
      <c r="Y961" s="40" t="str">
        <f aca="false">IF($B961="","",IF($C961="","NIK kosong",IF(LEN($C961)&lt;&gt;16,"NIK bukan 16 digit",IF(COUNTIF($C$4:$C$2003,$C961&amp;"*")&gt;1,"NIK ganda",IF(AND($D961&lt;&gt;"",LEN($D961)&lt;&gt;16),"No. KK bukan 16 digit",IF(AND($F961="",$I961=""),"Alamat kosong",IF($N961="","Jabatan kosong",IF($O961="","No. HP kosong",IF(AND($R961&lt;&gt;"",$R961&lt;17),"Usia di bawah 17","")))))))))</f>
        <v/>
      </c>
      <c r="Z961" s="40" t="str">
        <f aca="false">IF($B961="","",IF(AND(OR(CARI!$C$5="",ISNUMBER(SEARCH(CARI!$C$5,$B961&amp;" "&amp;$C961&amp;" "&amp;$D961&amp;" "&amp;$O961&amp;" "&amp;$I961&amp;" "&amp;$F961&amp;" "&amp;$J961&amp;" "&amp;$K961&amp;" "&amp;$L961&amp;" "&amp;$V961))),OR(CARI!$C$6="",$F961=CARI!$C$6),OR(CARI!$C$7="",$G961=CARI!$C$7),OR(CARI!$C$8="",$T961=CARI!$C$8)),MAX($Z$3:Z960)+1,""))</f>
        <v/>
      </c>
      <c r="AA961" s="40" t="str">
        <f aca="false">IF($Y961="","",MAX($AA$3:AA960)+1)</f>
        <v/>
      </c>
      <c r="AB961" s="40" t="str">
        <f aca="false">IF($F961="","",$F961&amp;"#"&amp;COUNTIF($F$4:$F961,$F961))</f>
        <v/>
      </c>
      <c r="AC961" s="40" t="str">
        <f aca="false">IF($B961="","",IF(AND(OR(CETAK!$J$10="",$F961=CETAK!$J$10),OR(CETAK!$J$11="",$G961=CETAK!$J$11),OR(CETAK!$J$12="",$P961=CETAK!$J$12),OR(CETAK!$J$13="",$N961=CETAK!$J$13),OR(CETAK!$J$14="",$T961=CETAK!$J$14)),MAX($AC$3:AC960)+1,""))</f>
        <v/>
      </c>
      <c r="AD961" s="40" t="str">
        <f aca="false">IF($B961="","",IF(AND(OR(ABSENSI!$H$10="",$F961=ABSENSI!$H$10),OR(ABSENSI!$H$11="",$G961=ABSENSI!$H$11),OR(ABSENSI!$H$12="",$P961=ABSENSI!$H$12)),MAX($AD$3:AD960)+1,""))</f>
        <v/>
      </c>
      <c r="AE961" s="40" t="str">
        <f aca="false">IF($B961="","",IF(AND(OR(KARTU!$K$6="",$F961=KARTU!$K$6),OR(KARTU!$K$7="",$G961=KARTU!$K$7),OR(KARTU!$K$8="",$P961=KARTU!$K$8)),MAX($AE$3:AE960)+1,""))</f>
        <v/>
      </c>
    </row>
    <row r="962" customFormat="false" ht="15" hidden="false" customHeight="false" outlineLevel="0" collapsed="false">
      <c r="A962" s="35" t="str">
        <f aca="false">IF($B962="","",COUNTA($B$4:$B962))</f>
        <v/>
      </c>
      <c r="B962" s="36"/>
      <c r="C962" s="37"/>
      <c r="D962" s="37"/>
      <c r="E962" s="38"/>
      <c r="F962" s="36"/>
      <c r="G962" s="39"/>
      <c r="H962" s="39"/>
      <c r="I962" s="36"/>
      <c r="J962" s="36"/>
      <c r="K962" s="36"/>
      <c r="L962" s="36"/>
      <c r="M962" s="40" t="str">
        <f aca="false">IF($F962="","",$F962&amp;IF($G962="",""," - RT "&amp;$G962&amp;IF($H962="","","/"&amp;$H962)))</f>
        <v/>
      </c>
      <c r="N962" s="36"/>
      <c r="O962" s="37"/>
      <c r="P962" s="39"/>
      <c r="Q962" s="41"/>
      <c r="R962" s="35" t="str">
        <f aca="true">IF(OR($B962="",$Q962=""),"",DATEDIF($Q962,TODAY(),"Y"))</f>
        <v/>
      </c>
      <c r="S962" s="40" t="str">
        <f aca="false">IF($R962="","",INDEX(usia_label,MATCH($R962,usia_min,1)))</f>
        <v/>
      </c>
      <c r="T962" s="36"/>
      <c r="U962" s="41"/>
      <c r="V962" s="36"/>
      <c r="W962" s="36"/>
      <c r="X962" s="40" t="str">
        <f aca="false">IF($M962="","",$M962&amp;"#"&amp;COUNTIF($M$4:$M962,$M962))</f>
        <v/>
      </c>
      <c r="Y962" s="40" t="str">
        <f aca="false">IF($B962="","",IF($C962="","NIK kosong",IF(LEN($C962)&lt;&gt;16,"NIK bukan 16 digit",IF(COUNTIF($C$4:$C$2003,$C962&amp;"*")&gt;1,"NIK ganda",IF(AND($D962&lt;&gt;"",LEN($D962)&lt;&gt;16),"No. KK bukan 16 digit",IF(AND($F962="",$I962=""),"Alamat kosong",IF($N962="","Jabatan kosong",IF($O962="","No. HP kosong",IF(AND($R962&lt;&gt;"",$R962&lt;17),"Usia di bawah 17","")))))))))</f>
        <v/>
      </c>
      <c r="Z962" s="40" t="str">
        <f aca="false">IF($B962="","",IF(AND(OR(CARI!$C$5="",ISNUMBER(SEARCH(CARI!$C$5,$B962&amp;" "&amp;$C962&amp;" "&amp;$D962&amp;" "&amp;$O962&amp;" "&amp;$I962&amp;" "&amp;$F962&amp;" "&amp;$J962&amp;" "&amp;$K962&amp;" "&amp;$L962&amp;" "&amp;$V962))),OR(CARI!$C$6="",$F962=CARI!$C$6),OR(CARI!$C$7="",$G962=CARI!$C$7),OR(CARI!$C$8="",$T962=CARI!$C$8)),MAX($Z$3:Z961)+1,""))</f>
        <v/>
      </c>
      <c r="AA962" s="40" t="str">
        <f aca="false">IF($Y962="","",MAX($AA$3:AA961)+1)</f>
        <v/>
      </c>
      <c r="AB962" s="40" t="str">
        <f aca="false">IF($F962="","",$F962&amp;"#"&amp;COUNTIF($F$4:$F962,$F962))</f>
        <v/>
      </c>
      <c r="AC962" s="40" t="str">
        <f aca="false">IF($B962="","",IF(AND(OR(CETAK!$J$10="",$F962=CETAK!$J$10),OR(CETAK!$J$11="",$G962=CETAK!$J$11),OR(CETAK!$J$12="",$P962=CETAK!$J$12),OR(CETAK!$J$13="",$N962=CETAK!$J$13),OR(CETAK!$J$14="",$T962=CETAK!$J$14)),MAX($AC$3:AC961)+1,""))</f>
        <v/>
      </c>
      <c r="AD962" s="40" t="str">
        <f aca="false">IF($B962="","",IF(AND(OR(ABSENSI!$H$10="",$F962=ABSENSI!$H$10),OR(ABSENSI!$H$11="",$G962=ABSENSI!$H$11),OR(ABSENSI!$H$12="",$P962=ABSENSI!$H$12)),MAX($AD$3:AD961)+1,""))</f>
        <v/>
      </c>
      <c r="AE962" s="40" t="str">
        <f aca="false">IF($B962="","",IF(AND(OR(KARTU!$K$6="",$F962=KARTU!$K$6),OR(KARTU!$K$7="",$G962=KARTU!$K$7),OR(KARTU!$K$8="",$P962=KARTU!$K$8)),MAX($AE$3:AE961)+1,""))</f>
        <v/>
      </c>
    </row>
    <row r="963" customFormat="false" ht="15" hidden="false" customHeight="false" outlineLevel="0" collapsed="false">
      <c r="A963" s="35" t="str">
        <f aca="false">IF($B963="","",COUNTA($B$4:$B963))</f>
        <v/>
      </c>
      <c r="B963" s="36"/>
      <c r="C963" s="37"/>
      <c r="D963" s="37"/>
      <c r="E963" s="38"/>
      <c r="F963" s="36"/>
      <c r="G963" s="39"/>
      <c r="H963" s="39"/>
      <c r="I963" s="36"/>
      <c r="J963" s="36"/>
      <c r="K963" s="36"/>
      <c r="L963" s="36"/>
      <c r="M963" s="40" t="str">
        <f aca="false">IF($F963="","",$F963&amp;IF($G963="",""," - RT "&amp;$G963&amp;IF($H963="","","/"&amp;$H963)))</f>
        <v/>
      </c>
      <c r="N963" s="36"/>
      <c r="O963" s="37"/>
      <c r="P963" s="39"/>
      <c r="Q963" s="41"/>
      <c r="R963" s="35" t="str">
        <f aca="true">IF(OR($B963="",$Q963=""),"",DATEDIF($Q963,TODAY(),"Y"))</f>
        <v/>
      </c>
      <c r="S963" s="40" t="str">
        <f aca="false">IF($R963="","",INDEX(usia_label,MATCH($R963,usia_min,1)))</f>
        <v/>
      </c>
      <c r="T963" s="36"/>
      <c r="U963" s="41"/>
      <c r="V963" s="36"/>
      <c r="W963" s="36"/>
      <c r="X963" s="40" t="str">
        <f aca="false">IF($M963="","",$M963&amp;"#"&amp;COUNTIF($M$4:$M963,$M963))</f>
        <v/>
      </c>
      <c r="Y963" s="40" t="str">
        <f aca="false">IF($B963="","",IF($C963="","NIK kosong",IF(LEN($C963)&lt;&gt;16,"NIK bukan 16 digit",IF(COUNTIF($C$4:$C$2003,$C963&amp;"*")&gt;1,"NIK ganda",IF(AND($D963&lt;&gt;"",LEN($D963)&lt;&gt;16),"No. KK bukan 16 digit",IF(AND($F963="",$I963=""),"Alamat kosong",IF($N963="","Jabatan kosong",IF($O963="","No. HP kosong",IF(AND($R963&lt;&gt;"",$R963&lt;17),"Usia di bawah 17","")))))))))</f>
        <v/>
      </c>
      <c r="Z963" s="40" t="str">
        <f aca="false">IF($B963="","",IF(AND(OR(CARI!$C$5="",ISNUMBER(SEARCH(CARI!$C$5,$B963&amp;" "&amp;$C963&amp;" "&amp;$D963&amp;" "&amp;$O963&amp;" "&amp;$I963&amp;" "&amp;$F963&amp;" "&amp;$J963&amp;" "&amp;$K963&amp;" "&amp;$L963&amp;" "&amp;$V963))),OR(CARI!$C$6="",$F963=CARI!$C$6),OR(CARI!$C$7="",$G963=CARI!$C$7),OR(CARI!$C$8="",$T963=CARI!$C$8)),MAX($Z$3:Z962)+1,""))</f>
        <v/>
      </c>
      <c r="AA963" s="40" t="str">
        <f aca="false">IF($Y963="","",MAX($AA$3:AA962)+1)</f>
        <v/>
      </c>
      <c r="AB963" s="40" t="str">
        <f aca="false">IF($F963="","",$F963&amp;"#"&amp;COUNTIF($F$4:$F963,$F963))</f>
        <v/>
      </c>
      <c r="AC963" s="40" t="str">
        <f aca="false">IF($B963="","",IF(AND(OR(CETAK!$J$10="",$F963=CETAK!$J$10),OR(CETAK!$J$11="",$G963=CETAK!$J$11),OR(CETAK!$J$12="",$P963=CETAK!$J$12),OR(CETAK!$J$13="",$N963=CETAK!$J$13),OR(CETAK!$J$14="",$T963=CETAK!$J$14)),MAX($AC$3:AC962)+1,""))</f>
        <v/>
      </c>
      <c r="AD963" s="40" t="str">
        <f aca="false">IF($B963="","",IF(AND(OR(ABSENSI!$H$10="",$F963=ABSENSI!$H$10),OR(ABSENSI!$H$11="",$G963=ABSENSI!$H$11),OR(ABSENSI!$H$12="",$P963=ABSENSI!$H$12)),MAX($AD$3:AD962)+1,""))</f>
        <v/>
      </c>
      <c r="AE963" s="40" t="str">
        <f aca="false">IF($B963="","",IF(AND(OR(KARTU!$K$6="",$F963=KARTU!$K$6),OR(KARTU!$K$7="",$G963=KARTU!$K$7),OR(KARTU!$K$8="",$P963=KARTU!$K$8)),MAX($AE$3:AE962)+1,""))</f>
        <v/>
      </c>
    </row>
    <row r="964" customFormat="false" ht="15" hidden="false" customHeight="false" outlineLevel="0" collapsed="false">
      <c r="A964" s="35" t="str">
        <f aca="false">IF($B964="","",COUNTA($B$4:$B964))</f>
        <v/>
      </c>
      <c r="B964" s="36"/>
      <c r="C964" s="37"/>
      <c r="D964" s="37"/>
      <c r="E964" s="38"/>
      <c r="F964" s="36"/>
      <c r="G964" s="39"/>
      <c r="H964" s="39"/>
      <c r="I964" s="36"/>
      <c r="J964" s="36"/>
      <c r="K964" s="36"/>
      <c r="L964" s="36"/>
      <c r="M964" s="40" t="str">
        <f aca="false">IF($F964="","",$F964&amp;IF($G964="",""," - RT "&amp;$G964&amp;IF($H964="","","/"&amp;$H964)))</f>
        <v/>
      </c>
      <c r="N964" s="36"/>
      <c r="O964" s="37"/>
      <c r="P964" s="39"/>
      <c r="Q964" s="41"/>
      <c r="R964" s="35" t="str">
        <f aca="true">IF(OR($B964="",$Q964=""),"",DATEDIF($Q964,TODAY(),"Y"))</f>
        <v/>
      </c>
      <c r="S964" s="40" t="str">
        <f aca="false">IF($R964="","",INDEX(usia_label,MATCH($R964,usia_min,1)))</f>
        <v/>
      </c>
      <c r="T964" s="36"/>
      <c r="U964" s="41"/>
      <c r="V964" s="36"/>
      <c r="W964" s="36"/>
      <c r="X964" s="40" t="str">
        <f aca="false">IF($M964="","",$M964&amp;"#"&amp;COUNTIF($M$4:$M964,$M964))</f>
        <v/>
      </c>
      <c r="Y964" s="40" t="str">
        <f aca="false">IF($B964="","",IF($C964="","NIK kosong",IF(LEN($C964)&lt;&gt;16,"NIK bukan 16 digit",IF(COUNTIF($C$4:$C$2003,$C964&amp;"*")&gt;1,"NIK ganda",IF(AND($D964&lt;&gt;"",LEN($D964)&lt;&gt;16),"No. KK bukan 16 digit",IF(AND($F964="",$I964=""),"Alamat kosong",IF($N964="","Jabatan kosong",IF($O964="","No. HP kosong",IF(AND($R964&lt;&gt;"",$R964&lt;17),"Usia di bawah 17","")))))))))</f>
        <v/>
      </c>
      <c r="Z964" s="40" t="str">
        <f aca="false">IF($B964="","",IF(AND(OR(CARI!$C$5="",ISNUMBER(SEARCH(CARI!$C$5,$B964&amp;" "&amp;$C964&amp;" "&amp;$D964&amp;" "&amp;$O964&amp;" "&amp;$I964&amp;" "&amp;$F964&amp;" "&amp;$J964&amp;" "&amp;$K964&amp;" "&amp;$L964&amp;" "&amp;$V964))),OR(CARI!$C$6="",$F964=CARI!$C$6),OR(CARI!$C$7="",$G964=CARI!$C$7),OR(CARI!$C$8="",$T964=CARI!$C$8)),MAX($Z$3:Z963)+1,""))</f>
        <v/>
      </c>
      <c r="AA964" s="40" t="str">
        <f aca="false">IF($Y964="","",MAX($AA$3:AA963)+1)</f>
        <v/>
      </c>
      <c r="AB964" s="40" t="str">
        <f aca="false">IF($F964="","",$F964&amp;"#"&amp;COUNTIF($F$4:$F964,$F964))</f>
        <v/>
      </c>
      <c r="AC964" s="40" t="str">
        <f aca="false">IF($B964="","",IF(AND(OR(CETAK!$J$10="",$F964=CETAK!$J$10),OR(CETAK!$J$11="",$G964=CETAK!$J$11),OR(CETAK!$J$12="",$P964=CETAK!$J$12),OR(CETAK!$J$13="",$N964=CETAK!$J$13),OR(CETAK!$J$14="",$T964=CETAK!$J$14)),MAX($AC$3:AC963)+1,""))</f>
        <v/>
      </c>
      <c r="AD964" s="40" t="str">
        <f aca="false">IF($B964="","",IF(AND(OR(ABSENSI!$H$10="",$F964=ABSENSI!$H$10),OR(ABSENSI!$H$11="",$G964=ABSENSI!$H$11),OR(ABSENSI!$H$12="",$P964=ABSENSI!$H$12)),MAX($AD$3:AD963)+1,""))</f>
        <v/>
      </c>
      <c r="AE964" s="40" t="str">
        <f aca="false">IF($B964="","",IF(AND(OR(KARTU!$K$6="",$F964=KARTU!$K$6),OR(KARTU!$K$7="",$G964=KARTU!$K$7),OR(KARTU!$K$8="",$P964=KARTU!$K$8)),MAX($AE$3:AE963)+1,""))</f>
        <v/>
      </c>
    </row>
    <row r="965" customFormat="false" ht="15" hidden="false" customHeight="false" outlineLevel="0" collapsed="false">
      <c r="A965" s="35" t="str">
        <f aca="false">IF($B965="","",COUNTA($B$4:$B965))</f>
        <v/>
      </c>
      <c r="B965" s="36"/>
      <c r="C965" s="37"/>
      <c r="D965" s="37"/>
      <c r="E965" s="38"/>
      <c r="F965" s="36"/>
      <c r="G965" s="39"/>
      <c r="H965" s="39"/>
      <c r="I965" s="36"/>
      <c r="J965" s="36"/>
      <c r="K965" s="36"/>
      <c r="L965" s="36"/>
      <c r="M965" s="40" t="str">
        <f aca="false">IF($F965="","",$F965&amp;IF($G965="",""," - RT "&amp;$G965&amp;IF($H965="","","/"&amp;$H965)))</f>
        <v/>
      </c>
      <c r="N965" s="36"/>
      <c r="O965" s="37"/>
      <c r="P965" s="39"/>
      <c r="Q965" s="41"/>
      <c r="R965" s="35" t="str">
        <f aca="true">IF(OR($B965="",$Q965=""),"",DATEDIF($Q965,TODAY(),"Y"))</f>
        <v/>
      </c>
      <c r="S965" s="40" t="str">
        <f aca="false">IF($R965="","",INDEX(usia_label,MATCH($R965,usia_min,1)))</f>
        <v/>
      </c>
      <c r="T965" s="36"/>
      <c r="U965" s="41"/>
      <c r="V965" s="36"/>
      <c r="W965" s="36"/>
      <c r="X965" s="40" t="str">
        <f aca="false">IF($M965="","",$M965&amp;"#"&amp;COUNTIF($M$4:$M965,$M965))</f>
        <v/>
      </c>
      <c r="Y965" s="40" t="str">
        <f aca="false">IF($B965="","",IF($C965="","NIK kosong",IF(LEN($C965)&lt;&gt;16,"NIK bukan 16 digit",IF(COUNTIF($C$4:$C$2003,$C965&amp;"*")&gt;1,"NIK ganda",IF(AND($D965&lt;&gt;"",LEN($D965)&lt;&gt;16),"No. KK bukan 16 digit",IF(AND($F965="",$I965=""),"Alamat kosong",IF($N965="","Jabatan kosong",IF($O965="","No. HP kosong",IF(AND($R965&lt;&gt;"",$R965&lt;17),"Usia di bawah 17","")))))))))</f>
        <v/>
      </c>
      <c r="Z965" s="40" t="str">
        <f aca="false">IF($B965="","",IF(AND(OR(CARI!$C$5="",ISNUMBER(SEARCH(CARI!$C$5,$B965&amp;" "&amp;$C965&amp;" "&amp;$D965&amp;" "&amp;$O965&amp;" "&amp;$I965&amp;" "&amp;$F965&amp;" "&amp;$J965&amp;" "&amp;$K965&amp;" "&amp;$L965&amp;" "&amp;$V965))),OR(CARI!$C$6="",$F965=CARI!$C$6),OR(CARI!$C$7="",$G965=CARI!$C$7),OR(CARI!$C$8="",$T965=CARI!$C$8)),MAX($Z$3:Z964)+1,""))</f>
        <v/>
      </c>
      <c r="AA965" s="40" t="str">
        <f aca="false">IF($Y965="","",MAX($AA$3:AA964)+1)</f>
        <v/>
      </c>
      <c r="AB965" s="40" t="str">
        <f aca="false">IF($F965="","",$F965&amp;"#"&amp;COUNTIF($F$4:$F965,$F965))</f>
        <v/>
      </c>
      <c r="AC965" s="40" t="str">
        <f aca="false">IF($B965="","",IF(AND(OR(CETAK!$J$10="",$F965=CETAK!$J$10),OR(CETAK!$J$11="",$G965=CETAK!$J$11),OR(CETAK!$J$12="",$P965=CETAK!$J$12),OR(CETAK!$J$13="",$N965=CETAK!$J$13),OR(CETAK!$J$14="",$T965=CETAK!$J$14)),MAX($AC$3:AC964)+1,""))</f>
        <v/>
      </c>
      <c r="AD965" s="40" t="str">
        <f aca="false">IF($B965="","",IF(AND(OR(ABSENSI!$H$10="",$F965=ABSENSI!$H$10),OR(ABSENSI!$H$11="",$G965=ABSENSI!$H$11),OR(ABSENSI!$H$12="",$P965=ABSENSI!$H$12)),MAX($AD$3:AD964)+1,""))</f>
        <v/>
      </c>
      <c r="AE965" s="40" t="str">
        <f aca="false">IF($B965="","",IF(AND(OR(KARTU!$K$6="",$F965=KARTU!$K$6),OR(KARTU!$K$7="",$G965=KARTU!$K$7),OR(KARTU!$K$8="",$P965=KARTU!$K$8)),MAX($AE$3:AE964)+1,""))</f>
        <v/>
      </c>
    </row>
    <row r="966" customFormat="false" ht="15" hidden="false" customHeight="false" outlineLevel="0" collapsed="false">
      <c r="A966" s="35" t="str">
        <f aca="false">IF($B966="","",COUNTA($B$4:$B966))</f>
        <v/>
      </c>
      <c r="B966" s="36"/>
      <c r="C966" s="37"/>
      <c r="D966" s="37"/>
      <c r="E966" s="38"/>
      <c r="F966" s="36"/>
      <c r="G966" s="39"/>
      <c r="H966" s="39"/>
      <c r="I966" s="36"/>
      <c r="J966" s="36"/>
      <c r="K966" s="36"/>
      <c r="L966" s="36"/>
      <c r="M966" s="40" t="str">
        <f aca="false">IF($F966="","",$F966&amp;IF($G966="",""," - RT "&amp;$G966&amp;IF($H966="","","/"&amp;$H966)))</f>
        <v/>
      </c>
      <c r="N966" s="36"/>
      <c r="O966" s="37"/>
      <c r="P966" s="39"/>
      <c r="Q966" s="41"/>
      <c r="R966" s="35" t="str">
        <f aca="true">IF(OR($B966="",$Q966=""),"",DATEDIF($Q966,TODAY(),"Y"))</f>
        <v/>
      </c>
      <c r="S966" s="40" t="str">
        <f aca="false">IF($R966="","",INDEX(usia_label,MATCH($R966,usia_min,1)))</f>
        <v/>
      </c>
      <c r="T966" s="36"/>
      <c r="U966" s="41"/>
      <c r="V966" s="36"/>
      <c r="W966" s="36"/>
      <c r="X966" s="40" t="str">
        <f aca="false">IF($M966="","",$M966&amp;"#"&amp;COUNTIF($M$4:$M966,$M966))</f>
        <v/>
      </c>
      <c r="Y966" s="40" t="str">
        <f aca="false">IF($B966="","",IF($C966="","NIK kosong",IF(LEN($C966)&lt;&gt;16,"NIK bukan 16 digit",IF(COUNTIF($C$4:$C$2003,$C966&amp;"*")&gt;1,"NIK ganda",IF(AND($D966&lt;&gt;"",LEN($D966)&lt;&gt;16),"No. KK bukan 16 digit",IF(AND($F966="",$I966=""),"Alamat kosong",IF($N966="","Jabatan kosong",IF($O966="","No. HP kosong",IF(AND($R966&lt;&gt;"",$R966&lt;17),"Usia di bawah 17","")))))))))</f>
        <v/>
      </c>
      <c r="Z966" s="40" t="str">
        <f aca="false">IF($B966="","",IF(AND(OR(CARI!$C$5="",ISNUMBER(SEARCH(CARI!$C$5,$B966&amp;" "&amp;$C966&amp;" "&amp;$D966&amp;" "&amp;$O966&amp;" "&amp;$I966&amp;" "&amp;$F966&amp;" "&amp;$J966&amp;" "&amp;$K966&amp;" "&amp;$L966&amp;" "&amp;$V966))),OR(CARI!$C$6="",$F966=CARI!$C$6),OR(CARI!$C$7="",$G966=CARI!$C$7),OR(CARI!$C$8="",$T966=CARI!$C$8)),MAX($Z$3:Z965)+1,""))</f>
        <v/>
      </c>
      <c r="AA966" s="40" t="str">
        <f aca="false">IF($Y966="","",MAX($AA$3:AA965)+1)</f>
        <v/>
      </c>
      <c r="AB966" s="40" t="str">
        <f aca="false">IF($F966="","",$F966&amp;"#"&amp;COUNTIF($F$4:$F966,$F966))</f>
        <v/>
      </c>
      <c r="AC966" s="40" t="str">
        <f aca="false">IF($B966="","",IF(AND(OR(CETAK!$J$10="",$F966=CETAK!$J$10),OR(CETAK!$J$11="",$G966=CETAK!$J$11),OR(CETAK!$J$12="",$P966=CETAK!$J$12),OR(CETAK!$J$13="",$N966=CETAK!$J$13),OR(CETAK!$J$14="",$T966=CETAK!$J$14)),MAX($AC$3:AC965)+1,""))</f>
        <v/>
      </c>
      <c r="AD966" s="40" t="str">
        <f aca="false">IF($B966="","",IF(AND(OR(ABSENSI!$H$10="",$F966=ABSENSI!$H$10),OR(ABSENSI!$H$11="",$G966=ABSENSI!$H$11),OR(ABSENSI!$H$12="",$P966=ABSENSI!$H$12)),MAX($AD$3:AD965)+1,""))</f>
        <v/>
      </c>
      <c r="AE966" s="40" t="str">
        <f aca="false">IF($B966="","",IF(AND(OR(KARTU!$K$6="",$F966=KARTU!$K$6),OR(KARTU!$K$7="",$G966=KARTU!$K$7),OR(KARTU!$K$8="",$P966=KARTU!$K$8)),MAX($AE$3:AE965)+1,""))</f>
        <v/>
      </c>
    </row>
    <row r="967" customFormat="false" ht="15" hidden="false" customHeight="false" outlineLevel="0" collapsed="false">
      <c r="A967" s="35" t="str">
        <f aca="false">IF($B967="","",COUNTA($B$4:$B967))</f>
        <v/>
      </c>
      <c r="B967" s="36"/>
      <c r="C967" s="37"/>
      <c r="D967" s="37"/>
      <c r="E967" s="38"/>
      <c r="F967" s="36"/>
      <c r="G967" s="39"/>
      <c r="H967" s="39"/>
      <c r="I967" s="36"/>
      <c r="J967" s="36"/>
      <c r="K967" s="36"/>
      <c r="L967" s="36"/>
      <c r="M967" s="40" t="str">
        <f aca="false">IF($F967="","",$F967&amp;IF($G967="",""," - RT "&amp;$G967&amp;IF($H967="","","/"&amp;$H967)))</f>
        <v/>
      </c>
      <c r="N967" s="36"/>
      <c r="O967" s="37"/>
      <c r="P967" s="39"/>
      <c r="Q967" s="41"/>
      <c r="R967" s="35" t="str">
        <f aca="true">IF(OR($B967="",$Q967=""),"",DATEDIF($Q967,TODAY(),"Y"))</f>
        <v/>
      </c>
      <c r="S967" s="40" t="str">
        <f aca="false">IF($R967="","",INDEX(usia_label,MATCH($R967,usia_min,1)))</f>
        <v/>
      </c>
      <c r="T967" s="36"/>
      <c r="U967" s="41"/>
      <c r="V967" s="36"/>
      <c r="W967" s="36"/>
      <c r="X967" s="40" t="str">
        <f aca="false">IF($M967="","",$M967&amp;"#"&amp;COUNTIF($M$4:$M967,$M967))</f>
        <v/>
      </c>
      <c r="Y967" s="40" t="str">
        <f aca="false">IF($B967="","",IF($C967="","NIK kosong",IF(LEN($C967)&lt;&gt;16,"NIK bukan 16 digit",IF(COUNTIF($C$4:$C$2003,$C967&amp;"*")&gt;1,"NIK ganda",IF(AND($D967&lt;&gt;"",LEN($D967)&lt;&gt;16),"No. KK bukan 16 digit",IF(AND($F967="",$I967=""),"Alamat kosong",IF($N967="","Jabatan kosong",IF($O967="","No. HP kosong",IF(AND($R967&lt;&gt;"",$R967&lt;17),"Usia di bawah 17","")))))))))</f>
        <v/>
      </c>
      <c r="Z967" s="40" t="str">
        <f aca="false">IF($B967="","",IF(AND(OR(CARI!$C$5="",ISNUMBER(SEARCH(CARI!$C$5,$B967&amp;" "&amp;$C967&amp;" "&amp;$D967&amp;" "&amp;$O967&amp;" "&amp;$I967&amp;" "&amp;$F967&amp;" "&amp;$J967&amp;" "&amp;$K967&amp;" "&amp;$L967&amp;" "&amp;$V967))),OR(CARI!$C$6="",$F967=CARI!$C$6),OR(CARI!$C$7="",$G967=CARI!$C$7),OR(CARI!$C$8="",$T967=CARI!$C$8)),MAX($Z$3:Z966)+1,""))</f>
        <v/>
      </c>
      <c r="AA967" s="40" t="str">
        <f aca="false">IF($Y967="","",MAX($AA$3:AA966)+1)</f>
        <v/>
      </c>
      <c r="AB967" s="40" t="str">
        <f aca="false">IF($F967="","",$F967&amp;"#"&amp;COUNTIF($F$4:$F967,$F967))</f>
        <v/>
      </c>
      <c r="AC967" s="40" t="str">
        <f aca="false">IF($B967="","",IF(AND(OR(CETAK!$J$10="",$F967=CETAK!$J$10),OR(CETAK!$J$11="",$G967=CETAK!$J$11),OR(CETAK!$J$12="",$P967=CETAK!$J$12),OR(CETAK!$J$13="",$N967=CETAK!$J$13),OR(CETAK!$J$14="",$T967=CETAK!$J$14)),MAX($AC$3:AC966)+1,""))</f>
        <v/>
      </c>
      <c r="AD967" s="40" t="str">
        <f aca="false">IF($B967="","",IF(AND(OR(ABSENSI!$H$10="",$F967=ABSENSI!$H$10),OR(ABSENSI!$H$11="",$G967=ABSENSI!$H$11),OR(ABSENSI!$H$12="",$P967=ABSENSI!$H$12)),MAX($AD$3:AD966)+1,""))</f>
        <v/>
      </c>
      <c r="AE967" s="40" t="str">
        <f aca="false">IF($B967="","",IF(AND(OR(KARTU!$K$6="",$F967=KARTU!$K$6),OR(KARTU!$K$7="",$G967=KARTU!$K$7),OR(KARTU!$K$8="",$P967=KARTU!$K$8)),MAX($AE$3:AE966)+1,""))</f>
        <v/>
      </c>
    </row>
    <row r="968" customFormat="false" ht="15" hidden="false" customHeight="false" outlineLevel="0" collapsed="false">
      <c r="A968" s="35" t="str">
        <f aca="false">IF($B968="","",COUNTA($B$4:$B968))</f>
        <v/>
      </c>
      <c r="B968" s="36"/>
      <c r="C968" s="37"/>
      <c r="D968" s="37"/>
      <c r="E968" s="38"/>
      <c r="F968" s="36"/>
      <c r="G968" s="39"/>
      <c r="H968" s="39"/>
      <c r="I968" s="36"/>
      <c r="J968" s="36"/>
      <c r="K968" s="36"/>
      <c r="L968" s="36"/>
      <c r="M968" s="40" t="str">
        <f aca="false">IF($F968="","",$F968&amp;IF($G968="",""," - RT "&amp;$G968&amp;IF($H968="","","/"&amp;$H968)))</f>
        <v/>
      </c>
      <c r="N968" s="36"/>
      <c r="O968" s="37"/>
      <c r="P968" s="39"/>
      <c r="Q968" s="41"/>
      <c r="R968" s="35" t="str">
        <f aca="true">IF(OR($B968="",$Q968=""),"",DATEDIF($Q968,TODAY(),"Y"))</f>
        <v/>
      </c>
      <c r="S968" s="40" t="str">
        <f aca="false">IF($R968="","",INDEX(usia_label,MATCH($R968,usia_min,1)))</f>
        <v/>
      </c>
      <c r="T968" s="36"/>
      <c r="U968" s="41"/>
      <c r="V968" s="36"/>
      <c r="W968" s="36"/>
      <c r="X968" s="40" t="str">
        <f aca="false">IF($M968="","",$M968&amp;"#"&amp;COUNTIF($M$4:$M968,$M968))</f>
        <v/>
      </c>
      <c r="Y968" s="40" t="str">
        <f aca="false">IF($B968="","",IF($C968="","NIK kosong",IF(LEN($C968)&lt;&gt;16,"NIK bukan 16 digit",IF(COUNTIF($C$4:$C$2003,$C968&amp;"*")&gt;1,"NIK ganda",IF(AND($D968&lt;&gt;"",LEN($D968)&lt;&gt;16),"No. KK bukan 16 digit",IF(AND($F968="",$I968=""),"Alamat kosong",IF($N968="","Jabatan kosong",IF($O968="","No. HP kosong",IF(AND($R968&lt;&gt;"",$R968&lt;17),"Usia di bawah 17","")))))))))</f>
        <v/>
      </c>
      <c r="Z968" s="40" t="str">
        <f aca="false">IF($B968="","",IF(AND(OR(CARI!$C$5="",ISNUMBER(SEARCH(CARI!$C$5,$B968&amp;" "&amp;$C968&amp;" "&amp;$D968&amp;" "&amp;$O968&amp;" "&amp;$I968&amp;" "&amp;$F968&amp;" "&amp;$J968&amp;" "&amp;$K968&amp;" "&amp;$L968&amp;" "&amp;$V968))),OR(CARI!$C$6="",$F968=CARI!$C$6),OR(CARI!$C$7="",$G968=CARI!$C$7),OR(CARI!$C$8="",$T968=CARI!$C$8)),MAX($Z$3:Z967)+1,""))</f>
        <v/>
      </c>
      <c r="AA968" s="40" t="str">
        <f aca="false">IF($Y968="","",MAX($AA$3:AA967)+1)</f>
        <v/>
      </c>
      <c r="AB968" s="40" t="str">
        <f aca="false">IF($F968="","",$F968&amp;"#"&amp;COUNTIF($F$4:$F968,$F968))</f>
        <v/>
      </c>
      <c r="AC968" s="40" t="str">
        <f aca="false">IF($B968="","",IF(AND(OR(CETAK!$J$10="",$F968=CETAK!$J$10),OR(CETAK!$J$11="",$G968=CETAK!$J$11),OR(CETAK!$J$12="",$P968=CETAK!$J$12),OR(CETAK!$J$13="",$N968=CETAK!$J$13),OR(CETAK!$J$14="",$T968=CETAK!$J$14)),MAX($AC$3:AC967)+1,""))</f>
        <v/>
      </c>
      <c r="AD968" s="40" t="str">
        <f aca="false">IF($B968="","",IF(AND(OR(ABSENSI!$H$10="",$F968=ABSENSI!$H$10),OR(ABSENSI!$H$11="",$G968=ABSENSI!$H$11),OR(ABSENSI!$H$12="",$P968=ABSENSI!$H$12)),MAX($AD$3:AD967)+1,""))</f>
        <v/>
      </c>
      <c r="AE968" s="40" t="str">
        <f aca="false">IF($B968="","",IF(AND(OR(KARTU!$K$6="",$F968=KARTU!$K$6),OR(KARTU!$K$7="",$G968=KARTU!$K$7),OR(KARTU!$K$8="",$P968=KARTU!$K$8)),MAX($AE$3:AE967)+1,""))</f>
        <v/>
      </c>
    </row>
    <row r="969" customFormat="false" ht="15" hidden="false" customHeight="false" outlineLevel="0" collapsed="false">
      <c r="A969" s="35" t="str">
        <f aca="false">IF($B969="","",COUNTA($B$4:$B969))</f>
        <v/>
      </c>
      <c r="B969" s="36"/>
      <c r="C969" s="37"/>
      <c r="D969" s="37"/>
      <c r="E969" s="38"/>
      <c r="F969" s="36"/>
      <c r="G969" s="39"/>
      <c r="H969" s="39"/>
      <c r="I969" s="36"/>
      <c r="J969" s="36"/>
      <c r="K969" s="36"/>
      <c r="L969" s="36"/>
      <c r="M969" s="40" t="str">
        <f aca="false">IF($F969="","",$F969&amp;IF($G969="",""," - RT "&amp;$G969&amp;IF($H969="","","/"&amp;$H969)))</f>
        <v/>
      </c>
      <c r="N969" s="36"/>
      <c r="O969" s="37"/>
      <c r="P969" s="39"/>
      <c r="Q969" s="41"/>
      <c r="R969" s="35" t="str">
        <f aca="true">IF(OR($B969="",$Q969=""),"",DATEDIF($Q969,TODAY(),"Y"))</f>
        <v/>
      </c>
      <c r="S969" s="40" t="str">
        <f aca="false">IF($R969="","",INDEX(usia_label,MATCH($R969,usia_min,1)))</f>
        <v/>
      </c>
      <c r="T969" s="36"/>
      <c r="U969" s="41"/>
      <c r="V969" s="36"/>
      <c r="W969" s="36"/>
      <c r="X969" s="40" t="str">
        <f aca="false">IF($M969="","",$M969&amp;"#"&amp;COUNTIF($M$4:$M969,$M969))</f>
        <v/>
      </c>
      <c r="Y969" s="40" t="str">
        <f aca="false">IF($B969="","",IF($C969="","NIK kosong",IF(LEN($C969)&lt;&gt;16,"NIK bukan 16 digit",IF(COUNTIF($C$4:$C$2003,$C969&amp;"*")&gt;1,"NIK ganda",IF(AND($D969&lt;&gt;"",LEN($D969)&lt;&gt;16),"No. KK bukan 16 digit",IF(AND($F969="",$I969=""),"Alamat kosong",IF($N969="","Jabatan kosong",IF($O969="","No. HP kosong",IF(AND($R969&lt;&gt;"",$R969&lt;17),"Usia di bawah 17","")))))))))</f>
        <v/>
      </c>
      <c r="Z969" s="40" t="str">
        <f aca="false">IF($B969="","",IF(AND(OR(CARI!$C$5="",ISNUMBER(SEARCH(CARI!$C$5,$B969&amp;" "&amp;$C969&amp;" "&amp;$D969&amp;" "&amp;$O969&amp;" "&amp;$I969&amp;" "&amp;$F969&amp;" "&amp;$J969&amp;" "&amp;$K969&amp;" "&amp;$L969&amp;" "&amp;$V969))),OR(CARI!$C$6="",$F969=CARI!$C$6),OR(CARI!$C$7="",$G969=CARI!$C$7),OR(CARI!$C$8="",$T969=CARI!$C$8)),MAX($Z$3:Z968)+1,""))</f>
        <v/>
      </c>
      <c r="AA969" s="40" t="str">
        <f aca="false">IF($Y969="","",MAX($AA$3:AA968)+1)</f>
        <v/>
      </c>
      <c r="AB969" s="40" t="str">
        <f aca="false">IF($F969="","",$F969&amp;"#"&amp;COUNTIF($F$4:$F969,$F969))</f>
        <v/>
      </c>
      <c r="AC969" s="40" t="str">
        <f aca="false">IF($B969="","",IF(AND(OR(CETAK!$J$10="",$F969=CETAK!$J$10),OR(CETAK!$J$11="",$G969=CETAK!$J$11),OR(CETAK!$J$12="",$P969=CETAK!$J$12),OR(CETAK!$J$13="",$N969=CETAK!$J$13),OR(CETAK!$J$14="",$T969=CETAK!$J$14)),MAX($AC$3:AC968)+1,""))</f>
        <v/>
      </c>
      <c r="AD969" s="40" t="str">
        <f aca="false">IF($B969="","",IF(AND(OR(ABSENSI!$H$10="",$F969=ABSENSI!$H$10),OR(ABSENSI!$H$11="",$G969=ABSENSI!$H$11),OR(ABSENSI!$H$12="",$P969=ABSENSI!$H$12)),MAX($AD$3:AD968)+1,""))</f>
        <v/>
      </c>
      <c r="AE969" s="40" t="str">
        <f aca="false">IF($B969="","",IF(AND(OR(KARTU!$K$6="",$F969=KARTU!$K$6),OR(KARTU!$K$7="",$G969=KARTU!$K$7),OR(KARTU!$K$8="",$P969=KARTU!$K$8)),MAX($AE$3:AE968)+1,""))</f>
        <v/>
      </c>
    </row>
    <row r="970" customFormat="false" ht="15" hidden="false" customHeight="false" outlineLevel="0" collapsed="false">
      <c r="A970" s="35" t="str">
        <f aca="false">IF($B970="","",COUNTA($B$4:$B970))</f>
        <v/>
      </c>
      <c r="B970" s="36"/>
      <c r="C970" s="37"/>
      <c r="D970" s="37"/>
      <c r="E970" s="38"/>
      <c r="F970" s="36"/>
      <c r="G970" s="39"/>
      <c r="H970" s="39"/>
      <c r="I970" s="36"/>
      <c r="J970" s="36"/>
      <c r="K970" s="36"/>
      <c r="L970" s="36"/>
      <c r="M970" s="40" t="str">
        <f aca="false">IF($F970="","",$F970&amp;IF($G970="",""," - RT "&amp;$G970&amp;IF($H970="","","/"&amp;$H970)))</f>
        <v/>
      </c>
      <c r="N970" s="36"/>
      <c r="O970" s="37"/>
      <c r="P970" s="39"/>
      <c r="Q970" s="41"/>
      <c r="R970" s="35" t="str">
        <f aca="true">IF(OR($B970="",$Q970=""),"",DATEDIF($Q970,TODAY(),"Y"))</f>
        <v/>
      </c>
      <c r="S970" s="40" t="str">
        <f aca="false">IF($R970="","",INDEX(usia_label,MATCH($R970,usia_min,1)))</f>
        <v/>
      </c>
      <c r="T970" s="36"/>
      <c r="U970" s="41"/>
      <c r="V970" s="36"/>
      <c r="W970" s="36"/>
      <c r="X970" s="40" t="str">
        <f aca="false">IF($M970="","",$M970&amp;"#"&amp;COUNTIF($M$4:$M970,$M970))</f>
        <v/>
      </c>
      <c r="Y970" s="40" t="str">
        <f aca="false">IF($B970="","",IF($C970="","NIK kosong",IF(LEN($C970)&lt;&gt;16,"NIK bukan 16 digit",IF(COUNTIF($C$4:$C$2003,$C970&amp;"*")&gt;1,"NIK ganda",IF(AND($D970&lt;&gt;"",LEN($D970)&lt;&gt;16),"No. KK bukan 16 digit",IF(AND($F970="",$I970=""),"Alamat kosong",IF($N970="","Jabatan kosong",IF($O970="","No. HP kosong",IF(AND($R970&lt;&gt;"",$R970&lt;17),"Usia di bawah 17","")))))))))</f>
        <v/>
      </c>
      <c r="Z970" s="40" t="str">
        <f aca="false">IF($B970="","",IF(AND(OR(CARI!$C$5="",ISNUMBER(SEARCH(CARI!$C$5,$B970&amp;" "&amp;$C970&amp;" "&amp;$D970&amp;" "&amp;$O970&amp;" "&amp;$I970&amp;" "&amp;$F970&amp;" "&amp;$J970&amp;" "&amp;$K970&amp;" "&amp;$L970&amp;" "&amp;$V970))),OR(CARI!$C$6="",$F970=CARI!$C$6),OR(CARI!$C$7="",$G970=CARI!$C$7),OR(CARI!$C$8="",$T970=CARI!$C$8)),MAX($Z$3:Z969)+1,""))</f>
        <v/>
      </c>
      <c r="AA970" s="40" t="str">
        <f aca="false">IF($Y970="","",MAX($AA$3:AA969)+1)</f>
        <v/>
      </c>
      <c r="AB970" s="40" t="str">
        <f aca="false">IF($F970="","",$F970&amp;"#"&amp;COUNTIF($F$4:$F970,$F970))</f>
        <v/>
      </c>
      <c r="AC970" s="40" t="str">
        <f aca="false">IF($B970="","",IF(AND(OR(CETAK!$J$10="",$F970=CETAK!$J$10),OR(CETAK!$J$11="",$G970=CETAK!$J$11),OR(CETAK!$J$12="",$P970=CETAK!$J$12),OR(CETAK!$J$13="",$N970=CETAK!$J$13),OR(CETAK!$J$14="",$T970=CETAK!$J$14)),MAX($AC$3:AC969)+1,""))</f>
        <v/>
      </c>
      <c r="AD970" s="40" t="str">
        <f aca="false">IF($B970="","",IF(AND(OR(ABSENSI!$H$10="",$F970=ABSENSI!$H$10),OR(ABSENSI!$H$11="",$G970=ABSENSI!$H$11),OR(ABSENSI!$H$12="",$P970=ABSENSI!$H$12)),MAX($AD$3:AD969)+1,""))</f>
        <v/>
      </c>
      <c r="AE970" s="40" t="str">
        <f aca="false">IF($B970="","",IF(AND(OR(KARTU!$K$6="",$F970=KARTU!$K$6),OR(KARTU!$K$7="",$G970=KARTU!$K$7),OR(KARTU!$K$8="",$P970=KARTU!$K$8)),MAX($AE$3:AE969)+1,""))</f>
        <v/>
      </c>
    </row>
    <row r="971" customFormat="false" ht="15" hidden="false" customHeight="false" outlineLevel="0" collapsed="false">
      <c r="A971" s="35" t="str">
        <f aca="false">IF($B971="","",COUNTA($B$4:$B971))</f>
        <v/>
      </c>
      <c r="B971" s="36"/>
      <c r="C971" s="37"/>
      <c r="D971" s="37"/>
      <c r="E971" s="38"/>
      <c r="F971" s="36"/>
      <c r="G971" s="39"/>
      <c r="H971" s="39"/>
      <c r="I971" s="36"/>
      <c r="J971" s="36"/>
      <c r="K971" s="36"/>
      <c r="L971" s="36"/>
      <c r="M971" s="40" t="str">
        <f aca="false">IF($F971="","",$F971&amp;IF($G971="",""," - RT "&amp;$G971&amp;IF($H971="","","/"&amp;$H971)))</f>
        <v/>
      </c>
      <c r="N971" s="36"/>
      <c r="O971" s="37"/>
      <c r="P971" s="39"/>
      <c r="Q971" s="41"/>
      <c r="R971" s="35" t="str">
        <f aca="true">IF(OR($B971="",$Q971=""),"",DATEDIF($Q971,TODAY(),"Y"))</f>
        <v/>
      </c>
      <c r="S971" s="40" t="str">
        <f aca="false">IF($R971="","",INDEX(usia_label,MATCH($R971,usia_min,1)))</f>
        <v/>
      </c>
      <c r="T971" s="36"/>
      <c r="U971" s="41"/>
      <c r="V971" s="36"/>
      <c r="W971" s="36"/>
      <c r="X971" s="40" t="str">
        <f aca="false">IF($M971="","",$M971&amp;"#"&amp;COUNTIF($M$4:$M971,$M971))</f>
        <v/>
      </c>
      <c r="Y971" s="40" t="str">
        <f aca="false">IF($B971="","",IF($C971="","NIK kosong",IF(LEN($C971)&lt;&gt;16,"NIK bukan 16 digit",IF(COUNTIF($C$4:$C$2003,$C971&amp;"*")&gt;1,"NIK ganda",IF(AND($D971&lt;&gt;"",LEN($D971)&lt;&gt;16),"No. KK bukan 16 digit",IF(AND($F971="",$I971=""),"Alamat kosong",IF($N971="","Jabatan kosong",IF($O971="","No. HP kosong",IF(AND($R971&lt;&gt;"",$R971&lt;17),"Usia di bawah 17","")))))))))</f>
        <v/>
      </c>
      <c r="Z971" s="40" t="str">
        <f aca="false">IF($B971="","",IF(AND(OR(CARI!$C$5="",ISNUMBER(SEARCH(CARI!$C$5,$B971&amp;" "&amp;$C971&amp;" "&amp;$D971&amp;" "&amp;$O971&amp;" "&amp;$I971&amp;" "&amp;$F971&amp;" "&amp;$J971&amp;" "&amp;$K971&amp;" "&amp;$L971&amp;" "&amp;$V971))),OR(CARI!$C$6="",$F971=CARI!$C$6),OR(CARI!$C$7="",$G971=CARI!$C$7),OR(CARI!$C$8="",$T971=CARI!$C$8)),MAX($Z$3:Z970)+1,""))</f>
        <v/>
      </c>
      <c r="AA971" s="40" t="str">
        <f aca="false">IF($Y971="","",MAX($AA$3:AA970)+1)</f>
        <v/>
      </c>
      <c r="AB971" s="40" t="str">
        <f aca="false">IF($F971="","",$F971&amp;"#"&amp;COUNTIF($F$4:$F971,$F971))</f>
        <v/>
      </c>
      <c r="AC971" s="40" t="str">
        <f aca="false">IF($B971="","",IF(AND(OR(CETAK!$J$10="",$F971=CETAK!$J$10),OR(CETAK!$J$11="",$G971=CETAK!$J$11),OR(CETAK!$J$12="",$P971=CETAK!$J$12),OR(CETAK!$J$13="",$N971=CETAK!$J$13),OR(CETAK!$J$14="",$T971=CETAK!$J$14)),MAX($AC$3:AC970)+1,""))</f>
        <v/>
      </c>
      <c r="AD971" s="40" t="str">
        <f aca="false">IF($B971="","",IF(AND(OR(ABSENSI!$H$10="",$F971=ABSENSI!$H$10),OR(ABSENSI!$H$11="",$G971=ABSENSI!$H$11),OR(ABSENSI!$H$12="",$P971=ABSENSI!$H$12)),MAX($AD$3:AD970)+1,""))</f>
        <v/>
      </c>
      <c r="AE971" s="40" t="str">
        <f aca="false">IF($B971="","",IF(AND(OR(KARTU!$K$6="",$F971=KARTU!$K$6),OR(KARTU!$K$7="",$G971=KARTU!$K$7),OR(KARTU!$K$8="",$P971=KARTU!$K$8)),MAX($AE$3:AE970)+1,""))</f>
        <v/>
      </c>
    </row>
    <row r="972" customFormat="false" ht="15" hidden="false" customHeight="false" outlineLevel="0" collapsed="false">
      <c r="A972" s="35" t="str">
        <f aca="false">IF($B972="","",COUNTA($B$4:$B972))</f>
        <v/>
      </c>
      <c r="B972" s="36"/>
      <c r="C972" s="37"/>
      <c r="D972" s="37"/>
      <c r="E972" s="38"/>
      <c r="F972" s="36"/>
      <c r="G972" s="39"/>
      <c r="H972" s="39"/>
      <c r="I972" s="36"/>
      <c r="J972" s="36"/>
      <c r="K972" s="36"/>
      <c r="L972" s="36"/>
      <c r="M972" s="40" t="str">
        <f aca="false">IF($F972="","",$F972&amp;IF($G972="",""," - RT "&amp;$G972&amp;IF($H972="","","/"&amp;$H972)))</f>
        <v/>
      </c>
      <c r="N972" s="36"/>
      <c r="O972" s="37"/>
      <c r="P972" s="39"/>
      <c r="Q972" s="41"/>
      <c r="R972" s="35" t="str">
        <f aca="true">IF(OR($B972="",$Q972=""),"",DATEDIF($Q972,TODAY(),"Y"))</f>
        <v/>
      </c>
      <c r="S972" s="40" t="str">
        <f aca="false">IF($R972="","",INDEX(usia_label,MATCH($R972,usia_min,1)))</f>
        <v/>
      </c>
      <c r="T972" s="36"/>
      <c r="U972" s="41"/>
      <c r="V972" s="36"/>
      <c r="W972" s="36"/>
      <c r="X972" s="40" t="str">
        <f aca="false">IF($M972="","",$M972&amp;"#"&amp;COUNTIF($M$4:$M972,$M972))</f>
        <v/>
      </c>
      <c r="Y972" s="40" t="str">
        <f aca="false">IF($B972="","",IF($C972="","NIK kosong",IF(LEN($C972)&lt;&gt;16,"NIK bukan 16 digit",IF(COUNTIF($C$4:$C$2003,$C972&amp;"*")&gt;1,"NIK ganda",IF(AND($D972&lt;&gt;"",LEN($D972)&lt;&gt;16),"No. KK bukan 16 digit",IF(AND($F972="",$I972=""),"Alamat kosong",IF($N972="","Jabatan kosong",IF($O972="","No. HP kosong",IF(AND($R972&lt;&gt;"",$R972&lt;17),"Usia di bawah 17","")))))))))</f>
        <v/>
      </c>
      <c r="Z972" s="40" t="str">
        <f aca="false">IF($B972="","",IF(AND(OR(CARI!$C$5="",ISNUMBER(SEARCH(CARI!$C$5,$B972&amp;" "&amp;$C972&amp;" "&amp;$D972&amp;" "&amp;$O972&amp;" "&amp;$I972&amp;" "&amp;$F972&amp;" "&amp;$J972&amp;" "&amp;$K972&amp;" "&amp;$L972&amp;" "&amp;$V972))),OR(CARI!$C$6="",$F972=CARI!$C$6),OR(CARI!$C$7="",$G972=CARI!$C$7),OR(CARI!$C$8="",$T972=CARI!$C$8)),MAX($Z$3:Z971)+1,""))</f>
        <v/>
      </c>
      <c r="AA972" s="40" t="str">
        <f aca="false">IF($Y972="","",MAX($AA$3:AA971)+1)</f>
        <v/>
      </c>
      <c r="AB972" s="40" t="str">
        <f aca="false">IF($F972="","",$F972&amp;"#"&amp;COUNTIF($F$4:$F972,$F972))</f>
        <v/>
      </c>
      <c r="AC972" s="40" t="str">
        <f aca="false">IF($B972="","",IF(AND(OR(CETAK!$J$10="",$F972=CETAK!$J$10),OR(CETAK!$J$11="",$G972=CETAK!$J$11),OR(CETAK!$J$12="",$P972=CETAK!$J$12),OR(CETAK!$J$13="",$N972=CETAK!$J$13),OR(CETAK!$J$14="",$T972=CETAK!$J$14)),MAX($AC$3:AC971)+1,""))</f>
        <v/>
      </c>
      <c r="AD972" s="40" t="str">
        <f aca="false">IF($B972="","",IF(AND(OR(ABSENSI!$H$10="",$F972=ABSENSI!$H$10),OR(ABSENSI!$H$11="",$G972=ABSENSI!$H$11),OR(ABSENSI!$H$12="",$P972=ABSENSI!$H$12)),MAX($AD$3:AD971)+1,""))</f>
        <v/>
      </c>
      <c r="AE972" s="40" t="str">
        <f aca="false">IF($B972="","",IF(AND(OR(KARTU!$K$6="",$F972=KARTU!$K$6),OR(KARTU!$K$7="",$G972=KARTU!$K$7),OR(KARTU!$K$8="",$P972=KARTU!$K$8)),MAX($AE$3:AE971)+1,""))</f>
        <v/>
      </c>
    </row>
    <row r="973" customFormat="false" ht="15" hidden="false" customHeight="false" outlineLevel="0" collapsed="false">
      <c r="A973" s="35" t="str">
        <f aca="false">IF($B973="","",COUNTA($B$4:$B973))</f>
        <v/>
      </c>
      <c r="B973" s="36"/>
      <c r="C973" s="37"/>
      <c r="D973" s="37"/>
      <c r="E973" s="38"/>
      <c r="F973" s="36"/>
      <c r="G973" s="39"/>
      <c r="H973" s="39"/>
      <c r="I973" s="36"/>
      <c r="J973" s="36"/>
      <c r="K973" s="36"/>
      <c r="L973" s="36"/>
      <c r="M973" s="40" t="str">
        <f aca="false">IF($F973="","",$F973&amp;IF($G973="",""," - RT "&amp;$G973&amp;IF($H973="","","/"&amp;$H973)))</f>
        <v/>
      </c>
      <c r="N973" s="36"/>
      <c r="O973" s="37"/>
      <c r="P973" s="39"/>
      <c r="Q973" s="41"/>
      <c r="R973" s="35" t="str">
        <f aca="true">IF(OR($B973="",$Q973=""),"",DATEDIF($Q973,TODAY(),"Y"))</f>
        <v/>
      </c>
      <c r="S973" s="40" t="str">
        <f aca="false">IF($R973="","",INDEX(usia_label,MATCH($R973,usia_min,1)))</f>
        <v/>
      </c>
      <c r="T973" s="36"/>
      <c r="U973" s="41"/>
      <c r="V973" s="36"/>
      <c r="W973" s="36"/>
      <c r="X973" s="40" t="str">
        <f aca="false">IF($M973="","",$M973&amp;"#"&amp;COUNTIF($M$4:$M973,$M973))</f>
        <v/>
      </c>
      <c r="Y973" s="40" t="str">
        <f aca="false">IF($B973="","",IF($C973="","NIK kosong",IF(LEN($C973)&lt;&gt;16,"NIK bukan 16 digit",IF(COUNTIF($C$4:$C$2003,$C973&amp;"*")&gt;1,"NIK ganda",IF(AND($D973&lt;&gt;"",LEN($D973)&lt;&gt;16),"No. KK bukan 16 digit",IF(AND($F973="",$I973=""),"Alamat kosong",IF($N973="","Jabatan kosong",IF($O973="","No. HP kosong",IF(AND($R973&lt;&gt;"",$R973&lt;17),"Usia di bawah 17","")))))))))</f>
        <v/>
      </c>
      <c r="Z973" s="40" t="str">
        <f aca="false">IF($B973="","",IF(AND(OR(CARI!$C$5="",ISNUMBER(SEARCH(CARI!$C$5,$B973&amp;" "&amp;$C973&amp;" "&amp;$D973&amp;" "&amp;$O973&amp;" "&amp;$I973&amp;" "&amp;$F973&amp;" "&amp;$J973&amp;" "&amp;$K973&amp;" "&amp;$L973&amp;" "&amp;$V973))),OR(CARI!$C$6="",$F973=CARI!$C$6),OR(CARI!$C$7="",$G973=CARI!$C$7),OR(CARI!$C$8="",$T973=CARI!$C$8)),MAX($Z$3:Z972)+1,""))</f>
        <v/>
      </c>
      <c r="AA973" s="40" t="str">
        <f aca="false">IF($Y973="","",MAX($AA$3:AA972)+1)</f>
        <v/>
      </c>
      <c r="AB973" s="40" t="str">
        <f aca="false">IF($F973="","",$F973&amp;"#"&amp;COUNTIF($F$4:$F973,$F973))</f>
        <v/>
      </c>
      <c r="AC973" s="40" t="str">
        <f aca="false">IF($B973="","",IF(AND(OR(CETAK!$J$10="",$F973=CETAK!$J$10),OR(CETAK!$J$11="",$G973=CETAK!$J$11),OR(CETAK!$J$12="",$P973=CETAK!$J$12),OR(CETAK!$J$13="",$N973=CETAK!$J$13),OR(CETAK!$J$14="",$T973=CETAK!$J$14)),MAX($AC$3:AC972)+1,""))</f>
        <v/>
      </c>
      <c r="AD973" s="40" t="str">
        <f aca="false">IF($B973="","",IF(AND(OR(ABSENSI!$H$10="",$F973=ABSENSI!$H$10),OR(ABSENSI!$H$11="",$G973=ABSENSI!$H$11),OR(ABSENSI!$H$12="",$P973=ABSENSI!$H$12)),MAX($AD$3:AD972)+1,""))</f>
        <v/>
      </c>
      <c r="AE973" s="40" t="str">
        <f aca="false">IF($B973="","",IF(AND(OR(KARTU!$K$6="",$F973=KARTU!$K$6),OR(KARTU!$K$7="",$G973=KARTU!$K$7),OR(KARTU!$K$8="",$P973=KARTU!$K$8)),MAX($AE$3:AE972)+1,""))</f>
        <v/>
      </c>
    </row>
    <row r="974" customFormat="false" ht="15" hidden="false" customHeight="false" outlineLevel="0" collapsed="false">
      <c r="A974" s="35" t="str">
        <f aca="false">IF($B974="","",COUNTA($B$4:$B974))</f>
        <v/>
      </c>
      <c r="B974" s="36"/>
      <c r="C974" s="37"/>
      <c r="D974" s="37"/>
      <c r="E974" s="38"/>
      <c r="F974" s="36"/>
      <c r="G974" s="39"/>
      <c r="H974" s="39"/>
      <c r="I974" s="36"/>
      <c r="J974" s="36"/>
      <c r="K974" s="36"/>
      <c r="L974" s="36"/>
      <c r="M974" s="40" t="str">
        <f aca="false">IF($F974="","",$F974&amp;IF($G974="",""," - RT "&amp;$G974&amp;IF($H974="","","/"&amp;$H974)))</f>
        <v/>
      </c>
      <c r="N974" s="36"/>
      <c r="O974" s="37"/>
      <c r="P974" s="39"/>
      <c r="Q974" s="41"/>
      <c r="R974" s="35" t="str">
        <f aca="true">IF(OR($B974="",$Q974=""),"",DATEDIF($Q974,TODAY(),"Y"))</f>
        <v/>
      </c>
      <c r="S974" s="40" t="str">
        <f aca="false">IF($R974="","",INDEX(usia_label,MATCH($R974,usia_min,1)))</f>
        <v/>
      </c>
      <c r="T974" s="36"/>
      <c r="U974" s="41"/>
      <c r="V974" s="36"/>
      <c r="W974" s="36"/>
      <c r="X974" s="40" t="str">
        <f aca="false">IF($M974="","",$M974&amp;"#"&amp;COUNTIF($M$4:$M974,$M974))</f>
        <v/>
      </c>
      <c r="Y974" s="40" t="str">
        <f aca="false">IF($B974="","",IF($C974="","NIK kosong",IF(LEN($C974)&lt;&gt;16,"NIK bukan 16 digit",IF(COUNTIF($C$4:$C$2003,$C974&amp;"*")&gt;1,"NIK ganda",IF(AND($D974&lt;&gt;"",LEN($D974)&lt;&gt;16),"No. KK bukan 16 digit",IF(AND($F974="",$I974=""),"Alamat kosong",IF($N974="","Jabatan kosong",IF($O974="","No. HP kosong",IF(AND($R974&lt;&gt;"",$R974&lt;17),"Usia di bawah 17","")))))))))</f>
        <v/>
      </c>
      <c r="Z974" s="40" t="str">
        <f aca="false">IF($B974="","",IF(AND(OR(CARI!$C$5="",ISNUMBER(SEARCH(CARI!$C$5,$B974&amp;" "&amp;$C974&amp;" "&amp;$D974&amp;" "&amp;$O974&amp;" "&amp;$I974&amp;" "&amp;$F974&amp;" "&amp;$J974&amp;" "&amp;$K974&amp;" "&amp;$L974&amp;" "&amp;$V974))),OR(CARI!$C$6="",$F974=CARI!$C$6),OR(CARI!$C$7="",$G974=CARI!$C$7),OR(CARI!$C$8="",$T974=CARI!$C$8)),MAX($Z$3:Z973)+1,""))</f>
        <v/>
      </c>
      <c r="AA974" s="40" t="str">
        <f aca="false">IF($Y974="","",MAX($AA$3:AA973)+1)</f>
        <v/>
      </c>
      <c r="AB974" s="40" t="str">
        <f aca="false">IF($F974="","",$F974&amp;"#"&amp;COUNTIF($F$4:$F974,$F974))</f>
        <v/>
      </c>
      <c r="AC974" s="40" t="str">
        <f aca="false">IF($B974="","",IF(AND(OR(CETAK!$J$10="",$F974=CETAK!$J$10),OR(CETAK!$J$11="",$G974=CETAK!$J$11),OR(CETAK!$J$12="",$P974=CETAK!$J$12),OR(CETAK!$J$13="",$N974=CETAK!$J$13),OR(CETAK!$J$14="",$T974=CETAK!$J$14)),MAX($AC$3:AC973)+1,""))</f>
        <v/>
      </c>
      <c r="AD974" s="40" t="str">
        <f aca="false">IF($B974="","",IF(AND(OR(ABSENSI!$H$10="",$F974=ABSENSI!$H$10),OR(ABSENSI!$H$11="",$G974=ABSENSI!$H$11),OR(ABSENSI!$H$12="",$P974=ABSENSI!$H$12)),MAX($AD$3:AD973)+1,""))</f>
        <v/>
      </c>
      <c r="AE974" s="40" t="str">
        <f aca="false">IF($B974="","",IF(AND(OR(KARTU!$K$6="",$F974=KARTU!$K$6),OR(KARTU!$K$7="",$G974=KARTU!$K$7),OR(KARTU!$K$8="",$P974=KARTU!$K$8)),MAX($AE$3:AE973)+1,""))</f>
        <v/>
      </c>
    </row>
    <row r="975" customFormat="false" ht="15" hidden="false" customHeight="false" outlineLevel="0" collapsed="false">
      <c r="A975" s="35" t="str">
        <f aca="false">IF($B975="","",COUNTA($B$4:$B975))</f>
        <v/>
      </c>
      <c r="B975" s="36"/>
      <c r="C975" s="37"/>
      <c r="D975" s="37"/>
      <c r="E975" s="38"/>
      <c r="F975" s="36"/>
      <c r="G975" s="39"/>
      <c r="H975" s="39"/>
      <c r="I975" s="36"/>
      <c r="J975" s="36"/>
      <c r="K975" s="36"/>
      <c r="L975" s="36"/>
      <c r="M975" s="40" t="str">
        <f aca="false">IF($F975="","",$F975&amp;IF($G975="",""," - RT "&amp;$G975&amp;IF($H975="","","/"&amp;$H975)))</f>
        <v/>
      </c>
      <c r="N975" s="36"/>
      <c r="O975" s="37"/>
      <c r="P975" s="39"/>
      <c r="Q975" s="41"/>
      <c r="R975" s="35" t="str">
        <f aca="true">IF(OR($B975="",$Q975=""),"",DATEDIF($Q975,TODAY(),"Y"))</f>
        <v/>
      </c>
      <c r="S975" s="40" t="str">
        <f aca="false">IF($R975="","",INDEX(usia_label,MATCH($R975,usia_min,1)))</f>
        <v/>
      </c>
      <c r="T975" s="36"/>
      <c r="U975" s="41"/>
      <c r="V975" s="36"/>
      <c r="W975" s="36"/>
      <c r="X975" s="40" t="str">
        <f aca="false">IF($M975="","",$M975&amp;"#"&amp;COUNTIF($M$4:$M975,$M975))</f>
        <v/>
      </c>
      <c r="Y975" s="40" t="str">
        <f aca="false">IF($B975="","",IF($C975="","NIK kosong",IF(LEN($C975)&lt;&gt;16,"NIK bukan 16 digit",IF(COUNTIF($C$4:$C$2003,$C975&amp;"*")&gt;1,"NIK ganda",IF(AND($D975&lt;&gt;"",LEN($D975)&lt;&gt;16),"No. KK bukan 16 digit",IF(AND($F975="",$I975=""),"Alamat kosong",IF($N975="","Jabatan kosong",IF($O975="","No. HP kosong",IF(AND($R975&lt;&gt;"",$R975&lt;17),"Usia di bawah 17","")))))))))</f>
        <v/>
      </c>
      <c r="Z975" s="40" t="str">
        <f aca="false">IF($B975="","",IF(AND(OR(CARI!$C$5="",ISNUMBER(SEARCH(CARI!$C$5,$B975&amp;" "&amp;$C975&amp;" "&amp;$D975&amp;" "&amp;$O975&amp;" "&amp;$I975&amp;" "&amp;$F975&amp;" "&amp;$J975&amp;" "&amp;$K975&amp;" "&amp;$L975&amp;" "&amp;$V975))),OR(CARI!$C$6="",$F975=CARI!$C$6),OR(CARI!$C$7="",$G975=CARI!$C$7),OR(CARI!$C$8="",$T975=CARI!$C$8)),MAX($Z$3:Z974)+1,""))</f>
        <v/>
      </c>
      <c r="AA975" s="40" t="str">
        <f aca="false">IF($Y975="","",MAX($AA$3:AA974)+1)</f>
        <v/>
      </c>
      <c r="AB975" s="40" t="str">
        <f aca="false">IF($F975="","",$F975&amp;"#"&amp;COUNTIF($F$4:$F975,$F975))</f>
        <v/>
      </c>
      <c r="AC975" s="40" t="str">
        <f aca="false">IF($B975="","",IF(AND(OR(CETAK!$J$10="",$F975=CETAK!$J$10),OR(CETAK!$J$11="",$G975=CETAK!$J$11),OR(CETAK!$J$12="",$P975=CETAK!$J$12),OR(CETAK!$J$13="",$N975=CETAK!$J$13),OR(CETAK!$J$14="",$T975=CETAK!$J$14)),MAX($AC$3:AC974)+1,""))</f>
        <v/>
      </c>
      <c r="AD975" s="40" t="str">
        <f aca="false">IF($B975="","",IF(AND(OR(ABSENSI!$H$10="",$F975=ABSENSI!$H$10),OR(ABSENSI!$H$11="",$G975=ABSENSI!$H$11),OR(ABSENSI!$H$12="",$P975=ABSENSI!$H$12)),MAX($AD$3:AD974)+1,""))</f>
        <v/>
      </c>
      <c r="AE975" s="40" t="str">
        <f aca="false">IF($B975="","",IF(AND(OR(KARTU!$K$6="",$F975=KARTU!$K$6),OR(KARTU!$K$7="",$G975=KARTU!$K$7),OR(KARTU!$K$8="",$P975=KARTU!$K$8)),MAX($AE$3:AE974)+1,""))</f>
        <v/>
      </c>
    </row>
    <row r="976" customFormat="false" ht="15" hidden="false" customHeight="false" outlineLevel="0" collapsed="false">
      <c r="A976" s="35" t="str">
        <f aca="false">IF($B976="","",COUNTA($B$4:$B976))</f>
        <v/>
      </c>
      <c r="B976" s="36"/>
      <c r="C976" s="37"/>
      <c r="D976" s="37"/>
      <c r="E976" s="38"/>
      <c r="F976" s="36"/>
      <c r="G976" s="39"/>
      <c r="H976" s="39"/>
      <c r="I976" s="36"/>
      <c r="J976" s="36"/>
      <c r="K976" s="36"/>
      <c r="L976" s="36"/>
      <c r="M976" s="40" t="str">
        <f aca="false">IF($F976="","",$F976&amp;IF($G976="",""," - RT "&amp;$G976&amp;IF($H976="","","/"&amp;$H976)))</f>
        <v/>
      </c>
      <c r="N976" s="36"/>
      <c r="O976" s="37"/>
      <c r="P976" s="39"/>
      <c r="Q976" s="41"/>
      <c r="R976" s="35" t="str">
        <f aca="true">IF(OR($B976="",$Q976=""),"",DATEDIF($Q976,TODAY(),"Y"))</f>
        <v/>
      </c>
      <c r="S976" s="40" t="str">
        <f aca="false">IF($R976="","",INDEX(usia_label,MATCH($R976,usia_min,1)))</f>
        <v/>
      </c>
      <c r="T976" s="36"/>
      <c r="U976" s="41"/>
      <c r="V976" s="36"/>
      <c r="W976" s="36"/>
      <c r="X976" s="40" t="str">
        <f aca="false">IF($M976="","",$M976&amp;"#"&amp;COUNTIF($M$4:$M976,$M976))</f>
        <v/>
      </c>
      <c r="Y976" s="40" t="str">
        <f aca="false">IF($B976="","",IF($C976="","NIK kosong",IF(LEN($C976)&lt;&gt;16,"NIK bukan 16 digit",IF(COUNTIF($C$4:$C$2003,$C976&amp;"*")&gt;1,"NIK ganda",IF(AND($D976&lt;&gt;"",LEN($D976)&lt;&gt;16),"No. KK bukan 16 digit",IF(AND($F976="",$I976=""),"Alamat kosong",IF($N976="","Jabatan kosong",IF($O976="","No. HP kosong",IF(AND($R976&lt;&gt;"",$R976&lt;17),"Usia di bawah 17","")))))))))</f>
        <v/>
      </c>
      <c r="Z976" s="40" t="str">
        <f aca="false">IF($B976="","",IF(AND(OR(CARI!$C$5="",ISNUMBER(SEARCH(CARI!$C$5,$B976&amp;" "&amp;$C976&amp;" "&amp;$D976&amp;" "&amp;$O976&amp;" "&amp;$I976&amp;" "&amp;$F976&amp;" "&amp;$J976&amp;" "&amp;$K976&amp;" "&amp;$L976&amp;" "&amp;$V976))),OR(CARI!$C$6="",$F976=CARI!$C$6),OR(CARI!$C$7="",$G976=CARI!$C$7),OR(CARI!$C$8="",$T976=CARI!$C$8)),MAX($Z$3:Z975)+1,""))</f>
        <v/>
      </c>
      <c r="AA976" s="40" t="str">
        <f aca="false">IF($Y976="","",MAX($AA$3:AA975)+1)</f>
        <v/>
      </c>
      <c r="AB976" s="40" t="str">
        <f aca="false">IF($F976="","",$F976&amp;"#"&amp;COUNTIF($F$4:$F976,$F976))</f>
        <v/>
      </c>
      <c r="AC976" s="40" t="str">
        <f aca="false">IF($B976="","",IF(AND(OR(CETAK!$J$10="",$F976=CETAK!$J$10),OR(CETAK!$J$11="",$G976=CETAK!$J$11),OR(CETAK!$J$12="",$P976=CETAK!$J$12),OR(CETAK!$J$13="",$N976=CETAK!$J$13),OR(CETAK!$J$14="",$T976=CETAK!$J$14)),MAX($AC$3:AC975)+1,""))</f>
        <v/>
      </c>
      <c r="AD976" s="40" t="str">
        <f aca="false">IF($B976="","",IF(AND(OR(ABSENSI!$H$10="",$F976=ABSENSI!$H$10),OR(ABSENSI!$H$11="",$G976=ABSENSI!$H$11),OR(ABSENSI!$H$12="",$P976=ABSENSI!$H$12)),MAX($AD$3:AD975)+1,""))</f>
        <v/>
      </c>
      <c r="AE976" s="40" t="str">
        <f aca="false">IF($B976="","",IF(AND(OR(KARTU!$K$6="",$F976=KARTU!$K$6),OR(KARTU!$K$7="",$G976=KARTU!$K$7),OR(KARTU!$K$8="",$P976=KARTU!$K$8)),MAX($AE$3:AE975)+1,""))</f>
        <v/>
      </c>
    </row>
    <row r="977" customFormat="false" ht="15" hidden="false" customHeight="false" outlineLevel="0" collapsed="false">
      <c r="A977" s="35" t="str">
        <f aca="false">IF($B977="","",COUNTA($B$4:$B977))</f>
        <v/>
      </c>
      <c r="B977" s="36"/>
      <c r="C977" s="37"/>
      <c r="D977" s="37"/>
      <c r="E977" s="38"/>
      <c r="F977" s="36"/>
      <c r="G977" s="39"/>
      <c r="H977" s="39"/>
      <c r="I977" s="36"/>
      <c r="J977" s="36"/>
      <c r="K977" s="36"/>
      <c r="L977" s="36"/>
      <c r="M977" s="40" t="str">
        <f aca="false">IF($F977="","",$F977&amp;IF($G977="",""," - RT "&amp;$G977&amp;IF($H977="","","/"&amp;$H977)))</f>
        <v/>
      </c>
      <c r="N977" s="36"/>
      <c r="O977" s="37"/>
      <c r="P977" s="39"/>
      <c r="Q977" s="41"/>
      <c r="R977" s="35" t="str">
        <f aca="true">IF(OR($B977="",$Q977=""),"",DATEDIF($Q977,TODAY(),"Y"))</f>
        <v/>
      </c>
      <c r="S977" s="40" t="str">
        <f aca="false">IF($R977="","",INDEX(usia_label,MATCH($R977,usia_min,1)))</f>
        <v/>
      </c>
      <c r="T977" s="36"/>
      <c r="U977" s="41"/>
      <c r="V977" s="36"/>
      <c r="W977" s="36"/>
      <c r="X977" s="40" t="str">
        <f aca="false">IF($M977="","",$M977&amp;"#"&amp;COUNTIF($M$4:$M977,$M977))</f>
        <v/>
      </c>
      <c r="Y977" s="40" t="str">
        <f aca="false">IF($B977="","",IF($C977="","NIK kosong",IF(LEN($C977)&lt;&gt;16,"NIK bukan 16 digit",IF(COUNTIF($C$4:$C$2003,$C977&amp;"*")&gt;1,"NIK ganda",IF(AND($D977&lt;&gt;"",LEN($D977)&lt;&gt;16),"No. KK bukan 16 digit",IF(AND($F977="",$I977=""),"Alamat kosong",IF($N977="","Jabatan kosong",IF($O977="","No. HP kosong",IF(AND($R977&lt;&gt;"",$R977&lt;17),"Usia di bawah 17","")))))))))</f>
        <v/>
      </c>
      <c r="Z977" s="40" t="str">
        <f aca="false">IF($B977="","",IF(AND(OR(CARI!$C$5="",ISNUMBER(SEARCH(CARI!$C$5,$B977&amp;" "&amp;$C977&amp;" "&amp;$D977&amp;" "&amp;$O977&amp;" "&amp;$I977&amp;" "&amp;$F977&amp;" "&amp;$J977&amp;" "&amp;$K977&amp;" "&amp;$L977&amp;" "&amp;$V977))),OR(CARI!$C$6="",$F977=CARI!$C$6),OR(CARI!$C$7="",$G977=CARI!$C$7),OR(CARI!$C$8="",$T977=CARI!$C$8)),MAX($Z$3:Z976)+1,""))</f>
        <v/>
      </c>
      <c r="AA977" s="40" t="str">
        <f aca="false">IF($Y977="","",MAX($AA$3:AA976)+1)</f>
        <v/>
      </c>
      <c r="AB977" s="40" t="str">
        <f aca="false">IF($F977="","",$F977&amp;"#"&amp;COUNTIF($F$4:$F977,$F977))</f>
        <v/>
      </c>
      <c r="AC977" s="40" t="str">
        <f aca="false">IF($B977="","",IF(AND(OR(CETAK!$J$10="",$F977=CETAK!$J$10),OR(CETAK!$J$11="",$G977=CETAK!$J$11),OR(CETAK!$J$12="",$P977=CETAK!$J$12),OR(CETAK!$J$13="",$N977=CETAK!$J$13),OR(CETAK!$J$14="",$T977=CETAK!$J$14)),MAX($AC$3:AC976)+1,""))</f>
        <v/>
      </c>
      <c r="AD977" s="40" t="str">
        <f aca="false">IF($B977="","",IF(AND(OR(ABSENSI!$H$10="",$F977=ABSENSI!$H$10),OR(ABSENSI!$H$11="",$G977=ABSENSI!$H$11),OR(ABSENSI!$H$12="",$P977=ABSENSI!$H$12)),MAX($AD$3:AD976)+1,""))</f>
        <v/>
      </c>
      <c r="AE977" s="40" t="str">
        <f aca="false">IF($B977="","",IF(AND(OR(KARTU!$K$6="",$F977=KARTU!$K$6),OR(KARTU!$K$7="",$G977=KARTU!$K$7),OR(KARTU!$K$8="",$P977=KARTU!$K$8)),MAX($AE$3:AE976)+1,""))</f>
        <v/>
      </c>
    </row>
    <row r="978" customFormat="false" ht="15" hidden="false" customHeight="false" outlineLevel="0" collapsed="false">
      <c r="A978" s="35" t="str">
        <f aca="false">IF($B978="","",COUNTA($B$4:$B978))</f>
        <v/>
      </c>
      <c r="B978" s="36"/>
      <c r="C978" s="37"/>
      <c r="D978" s="37"/>
      <c r="E978" s="38"/>
      <c r="F978" s="36"/>
      <c r="G978" s="39"/>
      <c r="H978" s="39"/>
      <c r="I978" s="36"/>
      <c r="J978" s="36"/>
      <c r="K978" s="36"/>
      <c r="L978" s="36"/>
      <c r="M978" s="40" t="str">
        <f aca="false">IF($F978="","",$F978&amp;IF($G978="",""," - RT "&amp;$G978&amp;IF($H978="","","/"&amp;$H978)))</f>
        <v/>
      </c>
      <c r="N978" s="36"/>
      <c r="O978" s="37"/>
      <c r="P978" s="39"/>
      <c r="Q978" s="41"/>
      <c r="R978" s="35" t="str">
        <f aca="true">IF(OR($B978="",$Q978=""),"",DATEDIF($Q978,TODAY(),"Y"))</f>
        <v/>
      </c>
      <c r="S978" s="40" t="str">
        <f aca="false">IF($R978="","",INDEX(usia_label,MATCH($R978,usia_min,1)))</f>
        <v/>
      </c>
      <c r="T978" s="36"/>
      <c r="U978" s="41"/>
      <c r="V978" s="36"/>
      <c r="W978" s="36"/>
      <c r="X978" s="40" t="str">
        <f aca="false">IF($M978="","",$M978&amp;"#"&amp;COUNTIF($M$4:$M978,$M978))</f>
        <v/>
      </c>
      <c r="Y978" s="40" t="str">
        <f aca="false">IF($B978="","",IF($C978="","NIK kosong",IF(LEN($C978)&lt;&gt;16,"NIK bukan 16 digit",IF(COUNTIF($C$4:$C$2003,$C978&amp;"*")&gt;1,"NIK ganda",IF(AND($D978&lt;&gt;"",LEN($D978)&lt;&gt;16),"No. KK bukan 16 digit",IF(AND($F978="",$I978=""),"Alamat kosong",IF($N978="","Jabatan kosong",IF($O978="","No. HP kosong",IF(AND($R978&lt;&gt;"",$R978&lt;17),"Usia di bawah 17","")))))))))</f>
        <v/>
      </c>
      <c r="Z978" s="40" t="str">
        <f aca="false">IF($B978="","",IF(AND(OR(CARI!$C$5="",ISNUMBER(SEARCH(CARI!$C$5,$B978&amp;" "&amp;$C978&amp;" "&amp;$D978&amp;" "&amp;$O978&amp;" "&amp;$I978&amp;" "&amp;$F978&amp;" "&amp;$J978&amp;" "&amp;$K978&amp;" "&amp;$L978&amp;" "&amp;$V978))),OR(CARI!$C$6="",$F978=CARI!$C$6),OR(CARI!$C$7="",$G978=CARI!$C$7),OR(CARI!$C$8="",$T978=CARI!$C$8)),MAX($Z$3:Z977)+1,""))</f>
        <v/>
      </c>
      <c r="AA978" s="40" t="str">
        <f aca="false">IF($Y978="","",MAX($AA$3:AA977)+1)</f>
        <v/>
      </c>
      <c r="AB978" s="40" t="str">
        <f aca="false">IF($F978="","",$F978&amp;"#"&amp;COUNTIF($F$4:$F978,$F978))</f>
        <v/>
      </c>
      <c r="AC978" s="40" t="str">
        <f aca="false">IF($B978="","",IF(AND(OR(CETAK!$J$10="",$F978=CETAK!$J$10),OR(CETAK!$J$11="",$G978=CETAK!$J$11),OR(CETAK!$J$12="",$P978=CETAK!$J$12),OR(CETAK!$J$13="",$N978=CETAK!$J$13),OR(CETAK!$J$14="",$T978=CETAK!$J$14)),MAX($AC$3:AC977)+1,""))</f>
        <v/>
      </c>
      <c r="AD978" s="40" t="str">
        <f aca="false">IF($B978="","",IF(AND(OR(ABSENSI!$H$10="",$F978=ABSENSI!$H$10),OR(ABSENSI!$H$11="",$G978=ABSENSI!$H$11),OR(ABSENSI!$H$12="",$P978=ABSENSI!$H$12)),MAX($AD$3:AD977)+1,""))</f>
        <v/>
      </c>
      <c r="AE978" s="40" t="str">
        <f aca="false">IF($B978="","",IF(AND(OR(KARTU!$K$6="",$F978=KARTU!$K$6),OR(KARTU!$K$7="",$G978=KARTU!$K$7),OR(KARTU!$K$8="",$P978=KARTU!$K$8)),MAX($AE$3:AE977)+1,""))</f>
        <v/>
      </c>
    </row>
    <row r="979" customFormat="false" ht="15" hidden="false" customHeight="false" outlineLevel="0" collapsed="false">
      <c r="A979" s="35" t="str">
        <f aca="false">IF($B979="","",COUNTA($B$4:$B979))</f>
        <v/>
      </c>
      <c r="B979" s="36"/>
      <c r="C979" s="37"/>
      <c r="D979" s="37"/>
      <c r="E979" s="38"/>
      <c r="F979" s="36"/>
      <c r="G979" s="39"/>
      <c r="H979" s="39"/>
      <c r="I979" s="36"/>
      <c r="J979" s="36"/>
      <c r="K979" s="36"/>
      <c r="L979" s="36"/>
      <c r="M979" s="40" t="str">
        <f aca="false">IF($F979="","",$F979&amp;IF($G979="",""," - RT "&amp;$G979&amp;IF($H979="","","/"&amp;$H979)))</f>
        <v/>
      </c>
      <c r="N979" s="36"/>
      <c r="O979" s="37"/>
      <c r="P979" s="39"/>
      <c r="Q979" s="41"/>
      <c r="R979" s="35" t="str">
        <f aca="true">IF(OR($B979="",$Q979=""),"",DATEDIF($Q979,TODAY(),"Y"))</f>
        <v/>
      </c>
      <c r="S979" s="40" t="str">
        <f aca="false">IF($R979="","",INDEX(usia_label,MATCH($R979,usia_min,1)))</f>
        <v/>
      </c>
      <c r="T979" s="36"/>
      <c r="U979" s="41"/>
      <c r="V979" s="36"/>
      <c r="W979" s="36"/>
      <c r="X979" s="40" t="str">
        <f aca="false">IF($M979="","",$M979&amp;"#"&amp;COUNTIF($M$4:$M979,$M979))</f>
        <v/>
      </c>
      <c r="Y979" s="40" t="str">
        <f aca="false">IF($B979="","",IF($C979="","NIK kosong",IF(LEN($C979)&lt;&gt;16,"NIK bukan 16 digit",IF(COUNTIF($C$4:$C$2003,$C979&amp;"*")&gt;1,"NIK ganda",IF(AND($D979&lt;&gt;"",LEN($D979)&lt;&gt;16),"No. KK bukan 16 digit",IF(AND($F979="",$I979=""),"Alamat kosong",IF($N979="","Jabatan kosong",IF($O979="","No. HP kosong",IF(AND($R979&lt;&gt;"",$R979&lt;17),"Usia di bawah 17","")))))))))</f>
        <v/>
      </c>
      <c r="Z979" s="40" t="str">
        <f aca="false">IF($B979="","",IF(AND(OR(CARI!$C$5="",ISNUMBER(SEARCH(CARI!$C$5,$B979&amp;" "&amp;$C979&amp;" "&amp;$D979&amp;" "&amp;$O979&amp;" "&amp;$I979&amp;" "&amp;$F979&amp;" "&amp;$J979&amp;" "&amp;$K979&amp;" "&amp;$L979&amp;" "&amp;$V979))),OR(CARI!$C$6="",$F979=CARI!$C$6),OR(CARI!$C$7="",$G979=CARI!$C$7),OR(CARI!$C$8="",$T979=CARI!$C$8)),MAX($Z$3:Z978)+1,""))</f>
        <v/>
      </c>
      <c r="AA979" s="40" t="str">
        <f aca="false">IF($Y979="","",MAX($AA$3:AA978)+1)</f>
        <v/>
      </c>
      <c r="AB979" s="40" t="str">
        <f aca="false">IF($F979="","",$F979&amp;"#"&amp;COUNTIF($F$4:$F979,$F979))</f>
        <v/>
      </c>
      <c r="AC979" s="40" t="str">
        <f aca="false">IF($B979="","",IF(AND(OR(CETAK!$J$10="",$F979=CETAK!$J$10),OR(CETAK!$J$11="",$G979=CETAK!$J$11),OR(CETAK!$J$12="",$P979=CETAK!$J$12),OR(CETAK!$J$13="",$N979=CETAK!$J$13),OR(CETAK!$J$14="",$T979=CETAK!$J$14)),MAX($AC$3:AC978)+1,""))</f>
        <v/>
      </c>
      <c r="AD979" s="40" t="str">
        <f aca="false">IF($B979="","",IF(AND(OR(ABSENSI!$H$10="",$F979=ABSENSI!$H$10),OR(ABSENSI!$H$11="",$G979=ABSENSI!$H$11),OR(ABSENSI!$H$12="",$P979=ABSENSI!$H$12)),MAX($AD$3:AD978)+1,""))</f>
        <v/>
      </c>
      <c r="AE979" s="40" t="str">
        <f aca="false">IF($B979="","",IF(AND(OR(KARTU!$K$6="",$F979=KARTU!$K$6),OR(KARTU!$K$7="",$G979=KARTU!$K$7),OR(KARTU!$K$8="",$P979=KARTU!$K$8)),MAX($AE$3:AE978)+1,""))</f>
        <v/>
      </c>
    </row>
    <row r="980" customFormat="false" ht="15" hidden="false" customHeight="false" outlineLevel="0" collapsed="false">
      <c r="A980" s="35" t="str">
        <f aca="false">IF($B980="","",COUNTA($B$4:$B980))</f>
        <v/>
      </c>
      <c r="B980" s="36"/>
      <c r="C980" s="37"/>
      <c r="D980" s="37"/>
      <c r="E980" s="38"/>
      <c r="F980" s="36"/>
      <c r="G980" s="39"/>
      <c r="H980" s="39"/>
      <c r="I980" s="36"/>
      <c r="J980" s="36"/>
      <c r="K980" s="36"/>
      <c r="L980" s="36"/>
      <c r="M980" s="40" t="str">
        <f aca="false">IF($F980="","",$F980&amp;IF($G980="",""," - RT "&amp;$G980&amp;IF($H980="","","/"&amp;$H980)))</f>
        <v/>
      </c>
      <c r="N980" s="36"/>
      <c r="O980" s="37"/>
      <c r="P980" s="39"/>
      <c r="Q980" s="41"/>
      <c r="R980" s="35" t="str">
        <f aca="true">IF(OR($B980="",$Q980=""),"",DATEDIF($Q980,TODAY(),"Y"))</f>
        <v/>
      </c>
      <c r="S980" s="40" t="str">
        <f aca="false">IF($R980="","",INDEX(usia_label,MATCH($R980,usia_min,1)))</f>
        <v/>
      </c>
      <c r="T980" s="36"/>
      <c r="U980" s="41"/>
      <c r="V980" s="36"/>
      <c r="W980" s="36"/>
      <c r="X980" s="40" t="str">
        <f aca="false">IF($M980="","",$M980&amp;"#"&amp;COUNTIF($M$4:$M980,$M980))</f>
        <v/>
      </c>
      <c r="Y980" s="40" t="str">
        <f aca="false">IF($B980="","",IF($C980="","NIK kosong",IF(LEN($C980)&lt;&gt;16,"NIK bukan 16 digit",IF(COUNTIF($C$4:$C$2003,$C980&amp;"*")&gt;1,"NIK ganda",IF(AND($D980&lt;&gt;"",LEN($D980)&lt;&gt;16),"No. KK bukan 16 digit",IF(AND($F980="",$I980=""),"Alamat kosong",IF($N980="","Jabatan kosong",IF($O980="","No. HP kosong",IF(AND($R980&lt;&gt;"",$R980&lt;17),"Usia di bawah 17","")))))))))</f>
        <v/>
      </c>
      <c r="Z980" s="40" t="str">
        <f aca="false">IF($B980="","",IF(AND(OR(CARI!$C$5="",ISNUMBER(SEARCH(CARI!$C$5,$B980&amp;" "&amp;$C980&amp;" "&amp;$D980&amp;" "&amp;$O980&amp;" "&amp;$I980&amp;" "&amp;$F980&amp;" "&amp;$J980&amp;" "&amp;$K980&amp;" "&amp;$L980&amp;" "&amp;$V980))),OR(CARI!$C$6="",$F980=CARI!$C$6),OR(CARI!$C$7="",$G980=CARI!$C$7),OR(CARI!$C$8="",$T980=CARI!$C$8)),MAX($Z$3:Z979)+1,""))</f>
        <v/>
      </c>
      <c r="AA980" s="40" t="str">
        <f aca="false">IF($Y980="","",MAX($AA$3:AA979)+1)</f>
        <v/>
      </c>
      <c r="AB980" s="40" t="str">
        <f aca="false">IF($F980="","",$F980&amp;"#"&amp;COUNTIF($F$4:$F980,$F980))</f>
        <v/>
      </c>
      <c r="AC980" s="40" t="str">
        <f aca="false">IF($B980="","",IF(AND(OR(CETAK!$J$10="",$F980=CETAK!$J$10),OR(CETAK!$J$11="",$G980=CETAK!$J$11),OR(CETAK!$J$12="",$P980=CETAK!$J$12),OR(CETAK!$J$13="",$N980=CETAK!$J$13),OR(CETAK!$J$14="",$T980=CETAK!$J$14)),MAX($AC$3:AC979)+1,""))</f>
        <v/>
      </c>
      <c r="AD980" s="40" t="str">
        <f aca="false">IF($B980="","",IF(AND(OR(ABSENSI!$H$10="",$F980=ABSENSI!$H$10),OR(ABSENSI!$H$11="",$G980=ABSENSI!$H$11),OR(ABSENSI!$H$12="",$P980=ABSENSI!$H$12)),MAX($AD$3:AD979)+1,""))</f>
        <v/>
      </c>
      <c r="AE980" s="40" t="str">
        <f aca="false">IF($B980="","",IF(AND(OR(KARTU!$K$6="",$F980=KARTU!$K$6),OR(KARTU!$K$7="",$G980=KARTU!$K$7),OR(KARTU!$K$8="",$P980=KARTU!$K$8)),MAX($AE$3:AE979)+1,""))</f>
        <v/>
      </c>
    </row>
    <row r="981" customFormat="false" ht="15" hidden="false" customHeight="false" outlineLevel="0" collapsed="false">
      <c r="A981" s="35" t="str">
        <f aca="false">IF($B981="","",COUNTA($B$4:$B981))</f>
        <v/>
      </c>
      <c r="B981" s="36"/>
      <c r="C981" s="37"/>
      <c r="D981" s="37"/>
      <c r="E981" s="38"/>
      <c r="F981" s="36"/>
      <c r="G981" s="39"/>
      <c r="H981" s="39"/>
      <c r="I981" s="36"/>
      <c r="J981" s="36"/>
      <c r="K981" s="36"/>
      <c r="L981" s="36"/>
      <c r="M981" s="40" t="str">
        <f aca="false">IF($F981="","",$F981&amp;IF($G981="",""," - RT "&amp;$G981&amp;IF($H981="","","/"&amp;$H981)))</f>
        <v/>
      </c>
      <c r="N981" s="36"/>
      <c r="O981" s="37"/>
      <c r="P981" s="39"/>
      <c r="Q981" s="41"/>
      <c r="R981" s="35" t="str">
        <f aca="true">IF(OR($B981="",$Q981=""),"",DATEDIF($Q981,TODAY(),"Y"))</f>
        <v/>
      </c>
      <c r="S981" s="40" t="str">
        <f aca="false">IF($R981="","",INDEX(usia_label,MATCH($R981,usia_min,1)))</f>
        <v/>
      </c>
      <c r="T981" s="36"/>
      <c r="U981" s="41"/>
      <c r="V981" s="36"/>
      <c r="W981" s="36"/>
      <c r="X981" s="40" t="str">
        <f aca="false">IF($M981="","",$M981&amp;"#"&amp;COUNTIF($M$4:$M981,$M981))</f>
        <v/>
      </c>
      <c r="Y981" s="40" t="str">
        <f aca="false">IF($B981="","",IF($C981="","NIK kosong",IF(LEN($C981)&lt;&gt;16,"NIK bukan 16 digit",IF(COUNTIF($C$4:$C$2003,$C981&amp;"*")&gt;1,"NIK ganda",IF(AND($D981&lt;&gt;"",LEN($D981)&lt;&gt;16),"No. KK bukan 16 digit",IF(AND($F981="",$I981=""),"Alamat kosong",IF($N981="","Jabatan kosong",IF($O981="","No. HP kosong",IF(AND($R981&lt;&gt;"",$R981&lt;17),"Usia di bawah 17","")))))))))</f>
        <v/>
      </c>
      <c r="Z981" s="40" t="str">
        <f aca="false">IF($B981="","",IF(AND(OR(CARI!$C$5="",ISNUMBER(SEARCH(CARI!$C$5,$B981&amp;" "&amp;$C981&amp;" "&amp;$D981&amp;" "&amp;$O981&amp;" "&amp;$I981&amp;" "&amp;$F981&amp;" "&amp;$J981&amp;" "&amp;$K981&amp;" "&amp;$L981&amp;" "&amp;$V981))),OR(CARI!$C$6="",$F981=CARI!$C$6),OR(CARI!$C$7="",$G981=CARI!$C$7),OR(CARI!$C$8="",$T981=CARI!$C$8)),MAX($Z$3:Z980)+1,""))</f>
        <v/>
      </c>
      <c r="AA981" s="40" t="str">
        <f aca="false">IF($Y981="","",MAX($AA$3:AA980)+1)</f>
        <v/>
      </c>
      <c r="AB981" s="40" t="str">
        <f aca="false">IF($F981="","",$F981&amp;"#"&amp;COUNTIF($F$4:$F981,$F981))</f>
        <v/>
      </c>
      <c r="AC981" s="40" t="str">
        <f aca="false">IF($B981="","",IF(AND(OR(CETAK!$J$10="",$F981=CETAK!$J$10),OR(CETAK!$J$11="",$G981=CETAK!$J$11),OR(CETAK!$J$12="",$P981=CETAK!$J$12),OR(CETAK!$J$13="",$N981=CETAK!$J$13),OR(CETAK!$J$14="",$T981=CETAK!$J$14)),MAX($AC$3:AC980)+1,""))</f>
        <v/>
      </c>
      <c r="AD981" s="40" t="str">
        <f aca="false">IF($B981="","",IF(AND(OR(ABSENSI!$H$10="",$F981=ABSENSI!$H$10),OR(ABSENSI!$H$11="",$G981=ABSENSI!$H$11),OR(ABSENSI!$H$12="",$P981=ABSENSI!$H$12)),MAX($AD$3:AD980)+1,""))</f>
        <v/>
      </c>
      <c r="AE981" s="40" t="str">
        <f aca="false">IF($B981="","",IF(AND(OR(KARTU!$K$6="",$F981=KARTU!$K$6),OR(KARTU!$K$7="",$G981=KARTU!$K$7),OR(KARTU!$K$8="",$P981=KARTU!$K$8)),MAX($AE$3:AE980)+1,""))</f>
        <v/>
      </c>
    </row>
    <row r="982" customFormat="false" ht="15" hidden="false" customHeight="false" outlineLevel="0" collapsed="false">
      <c r="A982" s="35" t="str">
        <f aca="false">IF($B982="","",COUNTA($B$4:$B982))</f>
        <v/>
      </c>
      <c r="B982" s="36"/>
      <c r="C982" s="37"/>
      <c r="D982" s="37"/>
      <c r="E982" s="38"/>
      <c r="F982" s="36"/>
      <c r="G982" s="39"/>
      <c r="H982" s="39"/>
      <c r="I982" s="36"/>
      <c r="J982" s="36"/>
      <c r="K982" s="36"/>
      <c r="L982" s="36"/>
      <c r="M982" s="40" t="str">
        <f aca="false">IF($F982="","",$F982&amp;IF($G982="",""," - RT "&amp;$G982&amp;IF($H982="","","/"&amp;$H982)))</f>
        <v/>
      </c>
      <c r="N982" s="36"/>
      <c r="O982" s="37"/>
      <c r="P982" s="39"/>
      <c r="Q982" s="41"/>
      <c r="R982" s="35" t="str">
        <f aca="true">IF(OR($B982="",$Q982=""),"",DATEDIF($Q982,TODAY(),"Y"))</f>
        <v/>
      </c>
      <c r="S982" s="40" t="str">
        <f aca="false">IF($R982="","",INDEX(usia_label,MATCH($R982,usia_min,1)))</f>
        <v/>
      </c>
      <c r="T982" s="36"/>
      <c r="U982" s="41"/>
      <c r="V982" s="36"/>
      <c r="W982" s="36"/>
      <c r="X982" s="40" t="str">
        <f aca="false">IF($M982="","",$M982&amp;"#"&amp;COUNTIF($M$4:$M982,$M982))</f>
        <v/>
      </c>
      <c r="Y982" s="40" t="str">
        <f aca="false">IF($B982="","",IF($C982="","NIK kosong",IF(LEN($C982)&lt;&gt;16,"NIK bukan 16 digit",IF(COUNTIF($C$4:$C$2003,$C982&amp;"*")&gt;1,"NIK ganda",IF(AND($D982&lt;&gt;"",LEN($D982)&lt;&gt;16),"No. KK bukan 16 digit",IF(AND($F982="",$I982=""),"Alamat kosong",IF($N982="","Jabatan kosong",IF($O982="","No. HP kosong",IF(AND($R982&lt;&gt;"",$R982&lt;17),"Usia di bawah 17","")))))))))</f>
        <v/>
      </c>
      <c r="Z982" s="40" t="str">
        <f aca="false">IF($B982="","",IF(AND(OR(CARI!$C$5="",ISNUMBER(SEARCH(CARI!$C$5,$B982&amp;" "&amp;$C982&amp;" "&amp;$D982&amp;" "&amp;$O982&amp;" "&amp;$I982&amp;" "&amp;$F982&amp;" "&amp;$J982&amp;" "&amp;$K982&amp;" "&amp;$L982&amp;" "&amp;$V982))),OR(CARI!$C$6="",$F982=CARI!$C$6),OR(CARI!$C$7="",$G982=CARI!$C$7),OR(CARI!$C$8="",$T982=CARI!$C$8)),MAX($Z$3:Z981)+1,""))</f>
        <v/>
      </c>
      <c r="AA982" s="40" t="str">
        <f aca="false">IF($Y982="","",MAX($AA$3:AA981)+1)</f>
        <v/>
      </c>
      <c r="AB982" s="40" t="str">
        <f aca="false">IF($F982="","",$F982&amp;"#"&amp;COUNTIF($F$4:$F982,$F982))</f>
        <v/>
      </c>
      <c r="AC982" s="40" t="str">
        <f aca="false">IF($B982="","",IF(AND(OR(CETAK!$J$10="",$F982=CETAK!$J$10),OR(CETAK!$J$11="",$G982=CETAK!$J$11),OR(CETAK!$J$12="",$P982=CETAK!$J$12),OR(CETAK!$J$13="",$N982=CETAK!$J$13),OR(CETAK!$J$14="",$T982=CETAK!$J$14)),MAX($AC$3:AC981)+1,""))</f>
        <v/>
      </c>
      <c r="AD982" s="40" t="str">
        <f aca="false">IF($B982="","",IF(AND(OR(ABSENSI!$H$10="",$F982=ABSENSI!$H$10),OR(ABSENSI!$H$11="",$G982=ABSENSI!$H$11),OR(ABSENSI!$H$12="",$P982=ABSENSI!$H$12)),MAX($AD$3:AD981)+1,""))</f>
        <v/>
      </c>
      <c r="AE982" s="40" t="str">
        <f aca="false">IF($B982="","",IF(AND(OR(KARTU!$K$6="",$F982=KARTU!$K$6),OR(KARTU!$K$7="",$G982=KARTU!$K$7),OR(KARTU!$K$8="",$P982=KARTU!$K$8)),MAX($AE$3:AE981)+1,""))</f>
        <v/>
      </c>
    </row>
    <row r="983" customFormat="false" ht="15" hidden="false" customHeight="false" outlineLevel="0" collapsed="false">
      <c r="A983" s="35" t="str">
        <f aca="false">IF($B983="","",COUNTA($B$4:$B983))</f>
        <v/>
      </c>
      <c r="B983" s="36"/>
      <c r="C983" s="37"/>
      <c r="D983" s="37"/>
      <c r="E983" s="38"/>
      <c r="F983" s="36"/>
      <c r="G983" s="39"/>
      <c r="H983" s="39"/>
      <c r="I983" s="36"/>
      <c r="J983" s="36"/>
      <c r="K983" s="36"/>
      <c r="L983" s="36"/>
      <c r="M983" s="40" t="str">
        <f aca="false">IF($F983="","",$F983&amp;IF($G983="",""," - RT "&amp;$G983&amp;IF($H983="","","/"&amp;$H983)))</f>
        <v/>
      </c>
      <c r="N983" s="36"/>
      <c r="O983" s="37"/>
      <c r="P983" s="39"/>
      <c r="Q983" s="41"/>
      <c r="R983" s="35" t="str">
        <f aca="true">IF(OR($B983="",$Q983=""),"",DATEDIF($Q983,TODAY(),"Y"))</f>
        <v/>
      </c>
      <c r="S983" s="40" t="str">
        <f aca="false">IF($R983="","",INDEX(usia_label,MATCH($R983,usia_min,1)))</f>
        <v/>
      </c>
      <c r="T983" s="36"/>
      <c r="U983" s="41"/>
      <c r="V983" s="36"/>
      <c r="W983" s="36"/>
      <c r="X983" s="40" t="str">
        <f aca="false">IF($M983="","",$M983&amp;"#"&amp;COUNTIF($M$4:$M983,$M983))</f>
        <v/>
      </c>
      <c r="Y983" s="40" t="str">
        <f aca="false">IF($B983="","",IF($C983="","NIK kosong",IF(LEN($C983)&lt;&gt;16,"NIK bukan 16 digit",IF(COUNTIF($C$4:$C$2003,$C983&amp;"*")&gt;1,"NIK ganda",IF(AND($D983&lt;&gt;"",LEN($D983)&lt;&gt;16),"No. KK bukan 16 digit",IF(AND($F983="",$I983=""),"Alamat kosong",IF($N983="","Jabatan kosong",IF($O983="","No. HP kosong",IF(AND($R983&lt;&gt;"",$R983&lt;17),"Usia di bawah 17","")))))))))</f>
        <v/>
      </c>
      <c r="Z983" s="40" t="str">
        <f aca="false">IF($B983="","",IF(AND(OR(CARI!$C$5="",ISNUMBER(SEARCH(CARI!$C$5,$B983&amp;" "&amp;$C983&amp;" "&amp;$D983&amp;" "&amp;$O983&amp;" "&amp;$I983&amp;" "&amp;$F983&amp;" "&amp;$J983&amp;" "&amp;$K983&amp;" "&amp;$L983&amp;" "&amp;$V983))),OR(CARI!$C$6="",$F983=CARI!$C$6),OR(CARI!$C$7="",$G983=CARI!$C$7),OR(CARI!$C$8="",$T983=CARI!$C$8)),MAX($Z$3:Z982)+1,""))</f>
        <v/>
      </c>
      <c r="AA983" s="40" t="str">
        <f aca="false">IF($Y983="","",MAX($AA$3:AA982)+1)</f>
        <v/>
      </c>
      <c r="AB983" s="40" t="str">
        <f aca="false">IF($F983="","",$F983&amp;"#"&amp;COUNTIF($F$4:$F983,$F983))</f>
        <v/>
      </c>
      <c r="AC983" s="40" t="str">
        <f aca="false">IF($B983="","",IF(AND(OR(CETAK!$J$10="",$F983=CETAK!$J$10),OR(CETAK!$J$11="",$G983=CETAK!$J$11),OR(CETAK!$J$12="",$P983=CETAK!$J$12),OR(CETAK!$J$13="",$N983=CETAK!$J$13),OR(CETAK!$J$14="",$T983=CETAK!$J$14)),MAX($AC$3:AC982)+1,""))</f>
        <v/>
      </c>
      <c r="AD983" s="40" t="str">
        <f aca="false">IF($B983="","",IF(AND(OR(ABSENSI!$H$10="",$F983=ABSENSI!$H$10),OR(ABSENSI!$H$11="",$G983=ABSENSI!$H$11),OR(ABSENSI!$H$12="",$P983=ABSENSI!$H$12)),MAX($AD$3:AD982)+1,""))</f>
        <v/>
      </c>
      <c r="AE983" s="40" t="str">
        <f aca="false">IF($B983="","",IF(AND(OR(KARTU!$K$6="",$F983=KARTU!$K$6),OR(KARTU!$K$7="",$G983=KARTU!$K$7),OR(KARTU!$K$8="",$P983=KARTU!$K$8)),MAX($AE$3:AE982)+1,""))</f>
        <v/>
      </c>
    </row>
    <row r="984" customFormat="false" ht="15" hidden="false" customHeight="false" outlineLevel="0" collapsed="false">
      <c r="A984" s="35" t="str">
        <f aca="false">IF($B984="","",COUNTA($B$4:$B984))</f>
        <v/>
      </c>
      <c r="B984" s="36"/>
      <c r="C984" s="37"/>
      <c r="D984" s="37"/>
      <c r="E984" s="38"/>
      <c r="F984" s="36"/>
      <c r="G984" s="39"/>
      <c r="H984" s="39"/>
      <c r="I984" s="36"/>
      <c r="J984" s="36"/>
      <c r="K984" s="36"/>
      <c r="L984" s="36"/>
      <c r="M984" s="40" t="str">
        <f aca="false">IF($F984="","",$F984&amp;IF($G984="",""," - RT "&amp;$G984&amp;IF($H984="","","/"&amp;$H984)))</f>
        <v/>
      </c>
      <c r="N984" s="36"/>
      <c r="O984" s="37"/>
      <c r="P984" s="39"/>
      <c r="Q984" s="41"/>
      <c r="R984" s="35" t="str">
        <f aca="true">IF(OR($B984="",$Q984=""),"",DATEDIF($Q984,TODAY(),"Y"))</f>
        <v/>
      </c>
      <c r="S984" s="40" t="str">
        <f aca="false">IF($R984="","",INDEX(usia_label,MATCH($R984,usia_min,1)))</f>
        <v/>
      </c>
      <c r="T984" s="36"/>
      <c r="U984" s="41"/>
      <c r="V984" s="36"/>
      <c r="W984" s="36"/>
      <c r="X984" s="40" t="str">
        <f aca="false">IF($M984="","",$M984&amp;"#"&amp;COUNTIF($M$4:$M984,$M984))</f>
        <v/>
      </c>
      <c r="Y984" s="40" t="str">
        <f aca="false">IF($B984="","",IF($C984="","NIK kosong",IF(LEN($C984)&lt;&gt;16,"NIK bukan 16 digit",IF(COUNTIF($C$4:$C$2003,$C984&amp;"*")&gt;1,"NIK ganda",IF(AND($D984&lt;&gt;"",LEN($D984)&lt;&gt;16),"No. KK bukan 16 digit",IF(AND($F984="",$I984=""),"Alamat kosong",IF($N984="","Jabatan kosong",IF($O984="","No. HP kosong",IF(AND($R984&lt;&gt;"",$R984&lt;17),"Usia di bawah 17","")))))))))</f>
        <v/>
      </c>
      <c r="Z984" s="40" t="str">
        <f aca="false">IF($B984="","",IF(AND(OR(CARI!$C$5="",ISNUMBER(SEARCH(CARI!$C$5,$B984&amp;" "&amp;$C984&amp;" "&amp;$D984&amp;" "&amp;$O984&amp;" "&amp;$I984&amp;" "&amp;$F984&amp;" "&amp;$J984&amp;" "&amp;$K984&amp;" "&amp;$L984&amp;" "&amp;$V984))),OR(CARI!$C$6="",$F984=CARI!$C$6),OR(CARI!$C$7="",$G984=CARI!$C$7),OR(CARI!$C$8="",$T984=CARI!$C$8)),MAX($Z$3:Z983)+1,""))</f>
        <v/>
      </c>
      <c r="AA984" s="40" t="str">
        <f aca="false">IF($Y984="","",MAX($AA$3:AA983)+1)</f>
        <v/>
      </c>
      <c r="AB984" s="40" t="str">
        <f aca="false">IF($F984="","",$F984&amp;"#"&amp;COUNTIF($F$4:$F984,$F984))</f>
        <v/>
      </c>
      <c r="AC984" s="40" t="str">
        <f aca="false">IF($B984="","",IF(AND(OR(CETAK!$J$10="",$F984=CETAK!$J$10),OR(CETAK!$J$11="",$G984=CETAK!$J$11),OR(CETAK!$J$12="",$P984=CETAK!$J$12),OR(CETAK!$J$13="",$N984=CETAK!$J$13),OR(CETAK!$J$14="",$T984=CETAK!$J$14)),MAX($AC$3:AC983)+1,""))</f>
        <v/>
      </c>
      <c r="AD984" s="40" t="str">
        <f aca="false">IF($B984="","",IF(AND(OR(ABSENSI!$H$10="",$F984=ABSENSI!$H$10),OR(ABSENSI!$H$11="",$G984=ABSENSI!$H$11),OR(ABSENSI!$H$12="",$P984=ABSENSI!$H$12)),MAX($AD$3:AD983)+1,""))</f>
        <v/>
      </c>
      <c r="AE984" s="40" t="str">
        <f aca="false">IF($B984="","",IF(AND(OR(KARTU!$K$6="",$F984=KARTU!$K$6),OR(KARTU!$K$7="",$G984=KARTU!$K$7),OR(KARTU!$K$8="",$P984=KARTU!$K$8)),MAX($AE$3:AE983)+1,""))</f>
        <v/>
      </c>
    </row>
    <row r="985" customFormat="false" ht="15" hidden="false" customHeight="false" outlineLevel="0" collapsed="false">
      <c r="A985" s="35" t="str">
        <f aca="false">IF($B985="","",COUNTA($B$4:$B985))</f>
        <v/>
      </c>
      <c r="B985" s="36"/>
      <c r="C985" s="37"/>
      <c r="D985" s="37"/>
      <c r="E985" s="38"/>
      <c r="F985" s="36"/>
      <c r="G985" s="39"/>
      <c r="H985" s="39"/>
      <c r="I985" s="36"/>
      <c r="J985" s="36"/>
      <c r="K985" s="36"/>
      <c r="L985" s="36"/>
      <c r="M985" s="40" t="str">
        <f aca="false">IF($F985="","",$F985&amp;IF($G985="",""," - RT "&amp;$G985&amp;IF($H985="","","/"&amp;$H985)))</f>
        <v/>
      </c>
      <c r="N985" s="36"/>
      <c r="O985" s="37"/>
      <c r="P985" s="39"/>
      <c r="Q985" s="41"/>
      <c r="R985" s="35" t="str">
        <f aca="true">IF(OR($B985="",$Q985=""),"",DATEDIF($Q985,TODAY(),"Y"))</f>
        <v/>
      </c>
      <c r="S985" s="40" t="str">
        <f aca="false">IF($R985="","",INDEX(usia_label,MATCH($R985,usia_min,1)))</f>
        <v/>
      </c>
      <c r="T985" s="36"/>
      <c r="U985" s="41"/>
      <c r="V985" s="36"/>
      <c r="W985" s="36"/>
      <c r="X985" s="40" t="str">
        <f aca="false">IF($M985="","",$M985&amp;"#"&amp;COUNTIF($M$4:$M985,$M985))</f>
        <v/>
      </c>
      <c r="Y985" s="40" t="str">
        <f aca="false">IF($B985="","",IF($C985="","NIK kosong",IF(LEN($C985)&lt;&gt;16,"NIK bukan 16 digit",IF(COUNTIF($C$4:$C$2003,$C985&amp;"*")&gt;1,"NIK ganda",IF(AND($D985&lt;&gt;"",LEN($D985)&lt;&gt;16),"No. KK bukan 16 digit",IF(AND($F985="",$I985=""),"Alamat kosong",IF($N985="","Jabatan kosong",IF($O985="","No. HP kosong",IF(AND($R985&lt;&gt;"",$R985&lt;17),"Usia di bawah 17","")))))))))</f>
        <v/>
      </c>
      <c r="Z985" s="40" t="str">
        <f aca="false">IF($B985="","",IF(AND(OR(CARI!$C$5="",ISNUMBER(SEARCH(CARI!$C$5,$B985&amp;" "&amp;$C985&amp;" "&amp;$D985&amp;" "&amp;$O985&amp;" "&amp;$I985&amp;" "&amp;$F985&amp;" "&amp;$J985&amp;" "&amp;$K985&amp;" "&amp;$L985&amp;" "&amp;$V985))),OR(CARI!$C$6="",$F985=CARI!$C$6),OR(CARI!$C$7="",$G985=CARI!$C$7),OR(CARI!$C$8="",$T985=CARI!$C$8)),MAX($Z$3:Z984)+1,""))</f>
        <v/>
      </c>
      <c r="AA985" s="40" t="str">
        <f aca="false">IF($Y985="","",MAX($AA$3:AA984)+1)</f>
        <v/>
      </c>
      <c r="AB985" s="40" t="str">
        <f aca="false">IF($F985="","",$F985&amp;"#"&amp;COUNTIF($F$4:$F985,$F985))</f>
        <v/>
      </c>
      <c r="AC985" s="40" t="str">
        <f aca="false">IF($B985="","",IF(AND(OR(CETAK!$J$10="",$F985=CETAK!$J$10),OR(CETAK!$J$11="",$G985=CETAK!$J$11),OR(CETAK!$J$12="",$P985=CETAK!$J$12),OR(CETAK!$J$13="",$N985=CETAK!$J$13),OR(CETAK!$J$14="",$T985=CETAK!$J$14)),MAX($AC$3:AC984)+1,""))</f>
        <v/>
      </c>
      <c r="AD985" s="40" t="str">
        <f aca="false">IF($B985="","",IF(AND(OR(ABSENSI!$H$10="",$F985=ABSENSI!$H$10),OR(ABSENSI!$H$11="",$G985=ABSENSI!$H$11),OR(ABSENSI!$H$12="",$P985=ABSENSI!$H$12)),MAX($AD$3:AD984)+1,""))</f>
        <v/>
      </c>
      <c r="AE985" s="40" t="str">
        <f aca="false">IF($B985="","",IF(AND(OR(KARTU!$K$6="",$F985=KARTU!$K$6),OR(KARTU!$K$7="",$G985=KARTU!$K$7),OR(KARTU!$K$8="",$P985=KARTU!$K$8)),MAX($AE$3:AE984)+1,""))</f>
        <v/>
      </c>
    </row>
    <row r="986" customFormat="false" ht="15" hidden="false" customHeight="false" outlineLevel="0" collapsed="false">
      <c r="A986" s="35" t="str">
        <f aca="false">IF($B986="","",COUNTA($B$4:$B986))</f>
        <v/>
      </c>
      <c r="B986" s="36"/>
      <c r="C986" s="37"/>
      <c r="D986" s="37"/>
      <c r="E986" s="38"/>
      <c r="F986" s="36"/>
      <c r="G986" s="39"/>
      <c r="H986" s="39"/>
      <c r="I986" s="36"/>
      <c r="J986" s="36"/>
      <c r="K986" s="36"/>
      <c r="L986" s="36"/>
      <c r="M986" s="40" t="str">
        <f aca="false">IF($F986="","",$F986&amp;IF($G986="",""," - RT "&amp;$G986&amp;IF($H986="","","/"&amp;$H986)))</f>
        <v/>
      </c>
      <c r="N986" s="36"/>
      <c r="O986" s="37"/>
      <c r="P986" s="39"/>
      <c r="Q986" s="41"/>
      <c r="R986" s="35" t="str">
        <f aca="true">IF(OR($B986="",$Q986=""),"",DATEDIF($Q986,TODAY(),"Y"))</f>
        <v/>
      </c>
      <c r="S986" s="40" t="str">
        <f aca="false">IF($R986="","",INDEX(usia_label,MATCH($R986,usia_min,1)))</f>
        <v/>
      </c>
      <c r="T986" s="36"/>
      <c r="U986" s="41"/>
      <c r="V986" s="36"/>
      <c r="W986" s="36"/>
      <c r="X986" s="40" t="str">
        <f aca="false">IF($M986="","",$M986&amp;"#"&amp;COUNTIF($M$4:$M986,$M986))</f>
        <v/>
      </c>
      <c r="Y986" s="40" t="str">
        <f aca="false">IF($B986="","",IF($C986="","NIK kosong",IF(LEN($C986)&lt;&gt;16,"NIK bukan 16 digit",IF(COUNTIF($C$4:$C$2003,$C986&amp;"*")&gt;1,"NIK ganda",IF(AND($D986&lt;&gt;"",LEN($D986)&lt;&gt;16),"No. KK bukan 16 digit",IF(AND($F986="",$I986=""),"Alamat kosong",IF($N986="","Jabatan kosong",IF($O986="","No. HP kosong",IF(AND($R986&lt;&gt;"",$R986&lt;17),"Usia di bawah 17","")))))))))</f>
        <v/>
      </c>
      <c r="Z986" s="40" t="str">
        <f aca="false">IF($B986="","",IF(AND(OR(CARI!$C$5="",ISNUMBER(SEARCH(CARI!$C$5,$B986&amp;" "&amp;$C986&amp;" "&amp;$D986&amp;" "&amp;$O986&amp;" "&amp;$I986&amp;" "&amp;$F986&amp;" "&amp;$J986&amp;" "&amp;$K986&amp;" "&amp;$L986&amp;" "&amp;$V986))),OR(CARI!$C$6="",$F986=CARI!$C$6),OR(CARI!$C$7="",$G986=CARI!$C$7),OR(CARI!$C$8="",$T986=CARI!$C$8)),MAX($Z$3:Z985)+1,""))</f>
        <v/>
      </c>
      <c r="AA986" s="40" t="str">
        <f aca="false">IF($Y986="","",MAX($AA$3:AA985)+1)</f>
        <v/>
      </c>
      <c r="AB986" s="40" t="str">
        <f aca="false">IF($F986="","",$F986&amp;"#"&amp;COUNTIF($F$4:$F986,$F986))</f>
        <v/>
      </c>
      <c r="AC986" s="40" t="str">
        <f aca="false">IF($B986="","",IF(AND(OR(CETAK!$J$10="",$F986=CETAK!$J$10),OR(CETAK!$J$11="",$G986=CETAK!$J$11),OR(CETAK!$J$12="",$P986=CETAK!$J$12),OR(CETAK!$J$13="",$N986=CETAK!$J$13),OR(CETAK!$J$14="",$T986=CETAK!$J$14)),MAX($AC$3:AC985)+1,""))</f>
        <v/>
      </c>
      <c r="AD986" s="40" t="str">
        <f aca="false">IF($B986="","",IF(AND(OR(ABSENSI!$H$10="",$F986=ABSENSI!$H$10),OR(ABSENSI!$H$11="",$G986=ABSENSI!$H$11),OR(ABSENSI!$H$12="",$P986=ABSENSI!$H$12)),MAX($AD$3:AD985)+1,""))</f>
        <v/>
      </c>
      <c r="AE986" s="40" t="str">
        <f aca="false">IF($B986="","",IF(AND(OR(KARTU!$K$6="",$F986=KARTU!$K$6),OR(KARTU!$K$7="",$G986=KARTU!$K$7),OR(KARTU!$K$8="",$P986=KARTU!$K$8)),MAX($AE$3:AE985)+1,""))</f>
        <v/>
      </c>
    </row>
    <row r="987" customFormat="false" ht="15" hidden="false" customHeight="false" outlineLevel="0" collapsed="false">
      <c r="A987" s="35" t="str">
        <f aca="false">IF($B987="","",COUNTA($B$4:$B987))</f>
        <v/>
      </c>
      <c r="B987" s="36"/>
      <c r="C987" s="37"/>
      <c r="D987" s="37"/>
      <c r="E987" s="38"/>
      <c r="F987" s="36"/>
      <c r="G987" s="39"/>
      <c r="H987" s="39"/>
      <c r="I987" s="36"/>
      <c r="J987" s="36"/>
      <c r="K987" s="36"/>
      <c r="L987" s="36"/>
      <c r="M987" s="40" t="str">
        <f aca="false">IF($F987="","",$F987&amp;IF($G987="",""," - RT "&amp;$G987&amp;IF($H987="","","/"&amp;$H987)))</f>
        <v/>
      </c>
      <c r="N987" s="36"/>
      <c r="O987" s="37"/>
      <c r="P987" s="39"/>
      <c r="Q987" s="41"/>
      <c r="R987" s="35" t="str">
        <f aca="true">IF(OR($B987="",$Q987=""),"",DATEDIF($Q987,TODAY(),"Y"))</f>
        <v/>
      </c>
      <c r="S987" s="40" t="str">
        <f aca="false">IF($R987="","",INDEX(usia_label,MATCH($R987,usia_min,1)))</f>
        <v/>
      </c>
      <c r="T987" s="36"/>
      <c r="U987" s="41"/>
      <c r="V987" s="36"/>
      <c r="W987" s="36"/>
      <c r="X987" s="40" t="str">
        <f aca="false">IF($M987="","",$M987&amp;"#"&amp;COUNTIF($M$4:$M987,$M987))</f>
        <v/>
      </c>
      <c r="Y987" s="40" t="str">
        <f aca="false">IF($B987="","",IF($C987="","NIK kosong",IF(LEN($C987)&lt;&gt;16,"NIK bukan 16 digit",IF(COUNTIF($C$4:$C$2003,$C987&amp;"*")&gt;1,"NIK ganda",IF(AND($D987&lt;&gt;"",LEN($D987)&lt;&gt;16),"No. KK bukan 16 digit",IF(AND($F987="",$I987=""),"Alamat kosong",IF($N987="","Jabatan kosong",IF($O987="","No. HP kosong",IF(AND($R987&lt;&gt;"",$R987&lt;17),"Usia di bawah 17","")))))))))</f>
        <v/>
      </c>
      <c r="Z987" s="40" t="str">
        <f aca="false">IF($B987="","",IF(AND(OR(CARI!$C$5="",ISNUMBER(SEARCH(CARI!$C$5,$B987&amp;" "&amp;$C987&amp;" "&amp;$D987&amp;" "&amp;$O987&amp;" "&amp;$I987&amp;" "&amp;$F987&amp;" "&amp;$J987&amp;" "&amp;$K987&amp;" "&amp;$L987&amp;" "&amp;$V987))),OR(CARI!$C$6="",$F987=CARI!$C$6),OR(CARI!$C$7="",$G987=CARI!$C$7),OR(CARI!$C$8="",$T987=CARI!$C$8)),MAX($Z$3:Z986)+1,""))</f>
        <v/>
      </c>
      <c r="AA987" s="40" t="str">
        <f aca="false">IF($Y987="","",MAX($AA$3:AA986)+1)</f>
        <v/>
      </c>
      <c r="AB987" s="40" t="str">
        <f aca="false">IF($F987="","",$F987&amp;"#"&amp;COUNTIF($F$4:$F987,$F987))</f>
        <v/>
      </c>
      <c r="AC987" s="40" t="str">
        <f aca="false">IF($B987="","",IF(AND(OR(CETAK!$J$10="",$F987=CETAK!$J$10),OR(CETAK!$J$11="",$G987=CETAK!$J$11),OR(CETAK!$J$12="",$P987=CETAK!$J$12),OR(CETAK!$J$13="",$N987=CETAK!$J$13),OR(CETAK!$J$14="",$T987=CETAK!$J$14)),MAX($AC$3:AC986)+1,""))</f>
        <v/>
      </c>
      <c r="AD987" s="40" t="str">
        <f aca="false">IF($B987="","",IF(AND(OR(ABSENSI!$H$10="",$F987=ABSENSI!$H$10),OR(ABSENSI!$H$11="",$G987=ABSENSI!$H$11),OR(ABSENSI!$H$12="",$P987=ABSENSI!$H$12)),MAX($AD$3:AD986)+1,""))</f>
        <v/>
      </c>
      <c r="AE987" s="40" t="str">
        <f aca="false">IF($B987="","",IF(AND(OR(KARTU!$K$6="",$F987=KARTU!$K$6),OR(KARTU!$K$7="",$G987=KARTU!$K$7),OR(KARTU!$K$8="",$P987=KARTU!$K$8)),MAX($AE$3:AE986)+1,""))</f>
        <v/>
      </c>
    </row>
    <row r="988" customFormat="false" ht="15" hidden="false" customHeight="false" outlineLevel="0" collapsed="false">
      <c r="A988" s="35" t="str">
        <f aca="false">IF($B988="","",COUNTA($B$4:$B988))</f>
        <v/>
      </c>
      <c r="B988" s="36"/>
      <c r="C988" s="37"/>
      <c r="D988" s="37"/>
      <c r="E988" s="38"/>
      <c r="F988" s="36"/>
      <c r="G988" s="39"/>
      <c r="H988" s="39"/>
      <c r="I988" s="36"/>
      <c r="J988" s="36"/>
      <c r="K988" s="36"/>
      <c r="L988" s="36"/>
      <c r="M988" s="40" t="str">
        <f aca="false">IF($F988="","",$F988&amp;IF($G988="",""," - RT "&amp;$G988&amp;IF($H988="","","/"&amp;$H988)))</f>
        <v/>
      </c>
      <c r="N988" s="36"/>
      <c r="O988" s="37"/>
      <c r="P988" s="39"/>
      <c r="Q988" s="41"/>
      <c r="R988" s="35" t="str">
        <f aca="true">IF(OR($B988="",$Q988=""),"",DATEDIF($Q988,TODAY(),"Y"))</f>
        <v/>
      </c>
      <c r="S988" s="40" t="str">
        <f aca="false">IF($R988="","",INDEX(usia_label,MATCH($R988,usia_min,1)))</f>
        <v/>
      </c>
      <c r="T988" s="36"/>
      <c r="U988" s="41"/>
      <c r="V988" s="36"/>
      <c r="W988" s="36"/>
      <c r="X988" s="40" t="str">
        <f aca="false">IF($M988="","",$M988&amp;"#"&amp;COUNTIF($M$4:$M988,$M988))</f>
        <v/>
      </c>
      <c r="Y988" s="40" t="str">
        <f aca="false">IF($B988="","",IF($C988="","NIK kosong",IF(LEN($C988)&lt;&gt;16,"NIK bukan 16 digit",IF(COUNTIF($C$4:$C$2003,$C988&amp;"*")&gt;1,"NIK ganda",IF(AND($D988&lt;&gt;"",LEN($D988)&lt;&gt;16),"No. KK bukan 16 digit",IF(AND($F988="",$I988=""),"Alamat kosong",IF($N988="","Jabatan kosong",IF($O988="","No. HP kosong",IF(AND($R988&lt;&gt;"",$R988&lt;17),"Usia di bawah 17","")))))))))</f>
        <v/>
      </c>
      <c r="Z988" s="40" t="str">
        <f aca="false">IF($B988="","",IF(AND(OR(CARI!$C$5="",ISNUMBER(SEARCH(CARI!$C$5,$B988&amp;" "&amp;$C988&amp;" "&amp;$D988&amp;" "&amp;$O988&amp;" "&amp;$I988&amp;" "&amp;$F988&amp;" "&amp;$J988&amp;" "&amp;$K988&amp;" "&amp;$L988&amp;" "&amp;$V988))),OR(CARI!$C$6="",$F988=CARI!$C$6),OR(CARI!$C$7="",$G988=CARI!$C$7),OR(CARI!$C$8="",$T988=CARI!$C$8)),MAX($Z$3:Z987)+1,""))</f>
        <v/>
      </c>
      <c r="AA988" s="40" t="str">
        <f aca="false">IF($Y988="","",MAX($AA$3:AA987)+1)</f>
        <v/>
      </c>
      <c r="AB988" s="40" t="str">
        <f aca="false">IF($F988="","",$F988&amp;"#"&amp;COUNTIF($F$4:$F988,$F988))</f>
        <v/>
      </c>
      <c r="AC988" s="40" t="str">
        <f aca="false">IF($B988="","",IF(AND(OR(CETAK!$J$10="",$F988=CETAK!$J$10),OR(CETAK!$J$11="",$G988=CETAK!$J$11),OR(CETAK!$J$12="",$P988=CETAK!$J$12),OR(CETAK!$J$13="",$N988=CETAK!$J$13),OR(CETAK!$J$14="",$T988=CETAK!$J$14)),MAX($AC$3:AC987)+1,""))</f>
        <v/>
      </c>
      <c r="AD988" s="40" t="str">
        <f aca="false">IF($B988="","",IF(AND(OR(ABSENSI!$H$10="",$F988=ABSENSI!$H$10),OR(ABSENSI!$H$11="",$G988=ABSENSI!$H$11),OR(ABSENSI!$H$12="",$P988=ABSENSI!$H$12)),MAX($AD$3:AD987)+1,""))</f>
        <v/>
      </c>
      <c r="AE988" s="40" t="str">
        <f aca="false">IF($B988="","",IF(AND(OR(KARTU!$K$6="",$F988=KARTU!$K$6),OR(KARTU!$K$7="",$G988=KARTU!$K$7),OR(KARTU!$K$8="",$P988=KARTU!$K$8)),MAX($AE$3:AE987)+1,""))</f>
        <v/>
      </c>
    </row>
    <row r="989" customFormat="false" ht="15" hidden="false" customHeight="false" outlineLevel="0" collapsed="false">
      <c r="A989" s="35" t="str">
        <f aca="false">IF($B989="","",COUNTA($B$4:$B989))</f>
        <v/>
      </c>
      <c r="B989" s="36"/>
      <c r="C989" s="37"/>
      <c r="D989" s="37"/>
      <c r="E989" s="38"/>
      <c r="F989" s="36"/>
      <c r="G989" s="39"/>
      <c r="H989" s="39"/>
      <c r="I989" s="36"/>
      <c r="J989" s="36"/>
      <c r="K989" s="36"/>
      <c r="L989" s="36"/>
      <c r="M989" s="40" t="str">
        <f aca="false">IF($F989="","",$F989&amp;IF($G989="",""," - RT "&amp;$G989&amp;IF($H989="","","/"&amp;$H989)))</f>
        <v/>
      </c>
      <c r="N989" s="36"/>
      <c r="O989" s="37"/>
      <c r="P989" s="39"/>
      <c r="Q989" s="41"/>
      <c r="R989" s="35" t="str">
        <f aca="true">IF(OR($B989="",$Q989=""),"",DATEDIF($Q989,TODAY(),"Y"))</f>
        <v/>
      </c>
      <c r="S989" s="40" t="str">
        <f aca="false">IF($R989="","",INDEX(usia_label,MATCH($R989,usia_min,1)))</f>
        <v/>
      </c>
      <c r="T989" s="36"/>
      <c r="U989" s="41"/>
      <c r="V989" s="36"/>
      <c r="W989" s="36"/>
      <c r="X989" s="40" t="str">
        <f aca="false">IF($M989="","",$M989&amp;"#"&amp;COUNTIF($M$4:$M989,$M989))</f>
        <v/>
      </c>
      <c r="Y989" s="40" t="str">
        <f aca="false">IF($B989="","",IF($C989="","NIK kosong",IF(LEN($C989)&lt;&gt;16,"NIK bukan 16 digit",IF(COUNTIF($C$4:$C$2003,$C989&amp;"*")&gt;1,"NIK ganda",IF(AND($D989&lt;&gt;"",LEN($D989)&lt;&gt;16),"No. KK bukan 16 digit",IF(AND($F989="",$I989=""),"Alamat kosong",IF($N989="","Jabatan kosong",IF($O989="","No. HP kosong",IF(AND($R989&lt;&gt;"",$R989&lt;17),"Usia di bawah 17","")))))))))</f>
        <v/>
      </c>
      <c r="Z989" s="40" t="str">
        <f aca="false">IF($B989="","",IF(AND(OR(CARI!$C$5="",ISNUMBER(SEARCH(CARI!$C$5,$B989&amp;" "&amp;$C989&amp;" "&amp;$D989&amp;" "&amp;$O989&amp;" "&amp;$I989&amp;" "&amp;$F989&amp;" "&amp;$J989&amp;" "&amp;$K989&amp;" "&amp;$L989&amp;" "&amp;$V989))),OR(CARI!$C$6="",$F989=CARI!$C$6),OR(CARI!$C$7="",$G989=CARI!$C$7),OR(CARI!$C$8="",$T989=CARI!$C$8)),MAX($Z$3:Z988)+1,""))</f>
        <v/>
      </c>
      <c r="AA989" s="40" t="str">
        <f aca="false">IF($Y989="","",MAX($AA$3:AA988)+1)</f>
        <v/>
      </c>
      <c r="AB989" s="40" t="str">
        <f aca="false">IF($F989="","",$F989&amp;"#"&amp;COUNTIF($F$4:$F989,$F989))</f>
        <v/>
      </c>
      <c r="AC989" s="40" t="str">
        <f aca="false">IF($B989="","",IF(AND(OR(CETAK!$J$10="",$F989=CETAK!$J$10),OR(CETAK!$J$11="",$G989=CETAK!$J$11),OR(CETAK!$J$12="",$P989=CETAK!$J$12),OR(CETAK!$J$13="",$N989=CETAK!$J$13),OR(CETAK!$J$14="",$T989=CETAK!$J$14)),MAX($AC$3:AC988)+1,""))</f>
        <v/>
      </c>
      <c r="AD989" s="40" t="str">
        <f aca="false">IF($B989="","",IF(AND(OR(ABSENSI!$H$10="",$F989=ABSENSI!$H$10),OR(ABSENSI!$H$11="",$G989=ABSENSI!$H$11),OR(ABSENSI!$H$12="",$P989=ABSENSI!$H$12)),MAX($AD$3:AD988)+1,""))</f>
        <v/>
      </c>
      <c r="AE989" s="40" t="str">
        <f aca="false">IF($B989="","",IF(AND(OR(KARTU!$K$6="",$F989=KARTU!$K$6),OR(KARTU!$K$7="",$G989=KARTU!$K$7),OR(KARTU!$K$8="",$P989=KARTU!$K$8)),MAX($AE$3:AE988)+1,""))</f>
        <v/>
      </c>
    </row>
    <row r="990" customFormat="false" ht="15" hidden="false" customHeight="false" outlineLevel="0" collapsed="false">
      <c r="A990" s="35" t="str">
        <f aca="false">IF($B990="","",COUNTA($B$4:$B990))</f>
        <v/>
      </c>
      <c r="B990" s="36"/>
      <c r="C990" s="37"/>
      <c r="D990" s="37"/>
      <c r="E990" s="38"/>
      <c r="F990" s="36"/>
      <c r="G990" s="39"/>
      <c r="H990" s="39"/>
      <c r="I990" s="36"/>
      <c r="J990" s="36"/>
      <c r="K990" s="36"/>
      <c r="L990" s="36"/>
      <c r="M990" s="40" t="str">
        <f aca="false">IF($F990="","",$F990&amp;IF($G990="",""," - RT "&amp;$G990&amp;IF($H990="","","/"&amp;$H990)))</f>
        <v/>
      </c>
      <c r="N990" s="36"/>
      <c r="O990" s="37"/>
      <c r="P990" s="39"/>
      <c r="Q990" s="41"/>
      <c r="R990" s="35" t="str">
        <f aca="true">IF(OR($B990="",$Q990=""),"",DATEDIF($Q990,TODAY(),"Y"))</f>
        <v/>
      </c>
      <c r="S990" s="40" t="str">
        <f aca="false">IF($R990="","",INDEX(usia_label,MATCH($R990,usia_min,1)))</f>
        <v/>
      </c>
      <c r="T990" s="36"/>
      <c r="U990" s="41"/>
      <c r="V990" s="36"/>
      <c r="W990" s="36"/>
      <c r="X990" s="40" t="str">
        <f aca="false">IF($M990="","",$M990&amp;"#"&amp;COUNTIF($M$4:$M990,$M990))</f>
        <v/>
      </c>
      <c r="Y990" s="40" t="str">
        <f aca="false">IF($B990="","",IF($C990="","NIK kosong",IF(LEN($C990)&lt;&gt;16,"NIK bukan 16 digit",IF(COUNTIF($C$4:$C$2003,$C990&amp;"*")&gt;1,"NIK ganda",IF(AND($D990&lt;&gt;"",LEN($D990)&lt;&gt;16),"No. KK bukan 16 digit",IF(AND($F990="",$I990=""),"Alamat kosong",IF($N990="","Jabatan kosong",IF($O990="","No. HP kosong",IF(AND($R990&lt;&gt;"",$R990&lt;17),"Usia di bawah 17","")))))))))</f>
        <v/>
      </c>
      <c r="Z990" s="40" t="str">
        <f aca="false">IF($B990="","",IF(AND(OR(CARI!$C$5="",ISNUMBER(SEARCH(CARI!$C$5,$B990&amp;" "&amp;$C990&amp;" "&amp;$D990&amp;" "&amp;$O990&amp;" "&amp;$I990&amp;" "&amp;$F990&amp;" "&amp;$J990&amp;" "&amp;$K990&amp;" "&amp;$L990&amp;" "&amp;$V990))),OR(CARI!$C$6="",$F990=CARI!$C$6),OR(CARI!$C$7="",$G990=CARI!$C$7),OR(CARI!$C$8="",$T990=CARI!$C$8)),MAX($Z$3:Z989)+1,""))</f>
        <v/>
      </c>
      <c r="AA990" s="40" t="str">
        <f aca="false">IF($Y990="","",MAX($AA$3:AA989)+1)</f>
        <v/>
      </c>
      <c r="AB990" s="40" t="str">
        <f aca="false">IF($F990="","",$F990&amp;"#"&amp;COUNTIF($F$4:$F990,$F990))</f>
        <v/>
      </c>
      <c r="AC990" s="40" t="str">
        <f aca="false">IF($B990="","",IF(AND(OR(CETAK!$J$10="",$F990=CETAK!$J$10),OR(CETAK!$J$11="",$G990=CETAK!$J$11),OR(CETAK!$J$12="",$P990=CETAK!$J$12),OR(CETAK!$J$13="",$N990=CETAK!$J$13),OR(CETAK!$J$14="",$T990=CETAK!$J$14)),MAX($AC$3:AC989)+1,""))</f>
        <v/>
      </c>
      <c r="AD990" s="40" t="str">
        <f aca="false">IF($B990="","",IF(AND(OR(ABSENSI!$H$10="",$F990=ABSENSI!$H$10),OR(ABSENSI!$H$11="",$G990=ABSENSI!$H$11),OR(ABSENSI!$H$12="",$P990=ABSENSI!$H$12)),MAX($AD$3:AD989)+1,""))</f>
        <v/>
      </c>
      <c r="AE990" s="40" t="str">
        <f aca="false">IF($B990="","",IF(AND(OR(KARTU!$K$6="",$F990=KARTU!$K$6),OR(KARTU!$K$7="",$G990=KARTU!$K$7),OR(KARTU!$K$8="",$P990=KARTU!$K$8)),MAX($AE$3:AE989)+1,""))</f>
        <v/>
      </c>
    </row>
    <row r="991" customFormat="false" ht="15" hidden="false" customHeight="false" outlineLevel="0" collapsed="false">
      <c r="A991" s="35" t="str">
        <f aca="false">IF($B991="","",COUNTA($B$4:$B991))</f>
        <v/>
      </c>
      <c r="B991" s="36"/>
      <c r="C991" s="37"/>
      <c r="D991" s="37"/>
      <c r="E991" s="38"/>
      <c r="F991" s="36"/>
      <c r="G991" s="39"/>
      <c r="H991" s="39"/>
      <c r="I991" s="36"/>
      <c r="J991" s="36"/>
      <c r="K991" s="36"/>
      <c r="L991" s="36"/>
      <c r="M991" s="40" t="str">
        <f aca="false">IF($F991="","",$F991&amp;IF($G991="",""," - RT "&amp;$G991&amp;IF($H991="","","/"&amp;$H991)))</f>
        <v/>
      </c>
      <c r="N991" s="36"/>
      <c r="O991" s="37"/>
      <c r="P991" s="39"/>
      <c r="Q991" s="41"/>
      <c r="R991" s="35" t="str">
        <f aca="true">IF(OR($B991="",$Q991=""),"",DATEDIF($Q991,TODAY(),"Y"))</f>
        <v/>
      </c>
      <c r="S991" s="40" t="str">
        <f aca="false">IF($R991="","",INDEX(usia_label,MATCH($R991,usia_min,1)))</f>
        <v/>
      </c>
      <c r="T991" s="36"/>
      <c r="U991" s="41"/>
      <c r="V991" s="36"/>
      <c r="W991" s="36"/>
      <c r="X991" s="40" t="str">
        <f aca="false">IF($M991="","",$M991&amp;"#"&amp;COUNTIF($M$4:$M991,$M991))</f>
        <v/>
      </c>
      <c r="Y991" s="40" t="str">
        <f aca="false">IF($B991="","",IF($C991="","NIK kosong",IF(LEN($C991)&lt;&gt;16,"NIK bukan 16 digit",IF(COUNTIF($C$4:$C$2003,$C991&amp;"*")&gt;1,"NIK ganda",IF(AND($D991&lt;&gt;"",LEN($D991)&lt;&gt;16),"No. KK bukan 16 digit",IF(AND($F991="",$I991=""),"Alamat kosong",IF($N991="","Jabatan kosong",IF($O991="","No. HP kosong",IF(AND($R991&lt;&gt;"",$R991&lt;17),"Usia di bawah 17","")))))))))</f>
        <v/>
      </c>
      <c r="Z991" s="40" t="str">
        <f aca="false">IF($B991="","",IF(AND(OR(CARI!$C$5="",ISNUMBER(SEARCH(CARI!$C$5,$B991&amp;" "&amp;$C991&amp;" "&amp;$D991&amp;" "&amp;$O991&amp;" "&amp;$I991&amp;" "&amp;$F991&amp;" "&amp;$J991&amp;" "&amp;$K991&amp;" "&amp;$L991&amp;" "&amp;$V991))),OR(CARI!$C$6="",$F991=CARI!$C$6),OR(CARI!$C$7="",$G991=CARI!$C$7),OR(CARI!$C$8="",$T991=CARI!$C$8)),MAX($Z$3:Z990)+1,""))</f>
        <v/>
      </c>
      <c r="AA991" s="40" t="str">
        <f aca="false">IF($Y991="","",MAX($AA$3:AA990)+1)</f>
        <v/>
      </c>
      <c r="AB991" s="40" t="str">
        <f aca="false">IF($F991="","",$F991&amp;"#"&amp;COUNTIF($F$4:$F991,$F991))</f>
        <v/>
      </c>
      <c r="AC991" s="40" t="str">
        <f aca="false">IF($B991="","",IF(AND(OR(CETAK!$J$10="",$F991=CETAK!$J$10),OR(CETAK!$J$11="",$G991=CETAK!$J$11),OR(CETAK!$J$12="",$P991=CETAK!$J$12),OR(CETAK!$J$13="",$N991=CETAK!$J$13),OR(CETAK!$J$14="",$T991=CETAK!$J$14)),MAX($AC$3:AC990)+1,""))</f>
        <v/>
      </c>
      <c r="AD991" s="40" t="str">
        <f aca="false">IF($B991="","",IF(AND(OR(ABSENSI!$H$10="",$F991=ABSENSI!$H$10),OR(ABSENSI!$H$11="",$G991=ABSENSI!$H$11),OR(ABSENSI!$H$12="",$P991=ABSENSI!$H$12)),MAX($AD$3:AD990)+1,""))</f>
        <v/>
      </c>
      <c r="AE991" s="40" t="str">
        <f aca="false">IF($B991="","",IF(AND(OR(KARTU!$K$6="",$F991=KARTU!$K$6),OR(KARTU!$K$7="",$G991=KARTU!$K$7),OR(KARTU!$K$8="",$P991=KARTU!$K$8)),MAX($AE$3:AE990)+1,""))</f>
        <v/>
      </c>
    </row>
    <row r="992" customFormat="false" ht="15" hidden="false" customHeight="false" outlineLevel="0" collapsed="false">
      <c r="A992" s="35" t="str">
        <f aca="false">IF($B992="","",COUNTA($B$4:$B992))</f>
        <v/>
      </c>
      <c r="B992" s="36"/>
      <c r="C992" s="37"/>
      <c r="D992" s="37"/>
      <c r="E992" s="38"/>
      <c r="F992" s="36"/>
      <c r="G992" s="39"/>
      <c r="H992" s="39"/>
      <c r="I992" s="36"/>
      <c r="J992" s="36"/>
      <c r="K992" s="36"/>
      <c r="L992" s="36"/>
      <c r="M992" s="40" t="str">
        <f aca="false">IF($F992="","",$F992&amp;IF($G992="",""," - RT "&amp;$G992&amp;IF($H992="","","/"&amp;$H992)))</f>
        <v/>
      </c>
      <c r="N992" s="36"/>
      <c r="O992" s="37"/>
      <c r="P992" s="39"/>
      <c r="Q992" s="41"/>
      <c r="R992" s="35" t="str">
        <f aca="true">IF(OR($B992="",$Q992=""),"",DATEDIF($Q992,TODAY(),"Y"))</f>
        <v/>
      </c>
      <c r="S992" s="40" t="str">
        <f aca="false">IF($R992="","",INDEX(usia_label,MATCH($R992,usia_min,1)))</f>
        <v/>
      </c>
      <c r="T992" s="36"/>
      <c r="U992" s="41"/>
      <c r="V992" s="36"/>
      <c r="W992" s="36"/>
      <c r="X992" s="40" t="str">
        <f aca="false">IF($M992="","",$M992&amp;"#"&amp;COUNTIF($M$4:$M992,$M992))</f>
        <v/>
      </c>
      <c r="Y992" s="40" t="str">
        <f aca="false">IF($B992="","",IF($C992="","NIK kosong",IF(LEN($C992)&lt;&gt;16,"NIK bukan 16 digit",IF(COUNTIF($C$4:$C$2003,$C992&amp;"*")&gt;1,"NIK ganda",IF(AND($D992&lt;&gt;"",LEN($D992)&lt;&gt;16),"No. KK bukan 16 digit",IF(AND($F992="",$I992=""),"Alamat kosong",IF($N992="","Jabatan kosong",IF($O992="","No. HP kosong",IF(AND($R992&lt;&gt;"",$R992&lt;17),"Usia di bawah 17","")))))))))</f>
        <v/>
      </c>
      <c r="Z992" s="40" t="str">
        <f aca="false">IF($B992="","",IF(AND(OR(CARI!$C$5="",ISNUMBER(SEARCH(CARI!$C$5,$B992&amp;" "&amp;$C992&amp;" "&amp;$D992&amp;" "&amp;$O992&amp;" "&amp;$I992&amp;" "&amp;$F992&amp;" "&amp;$J992&amp;" "&amp;$K992&amp;" "&amp;$L992&amp;" "&amp;$V992))),OR(CARI!$C$6="",$F992=CARI!$C$6),OR(CARI!$C$7="",$G992=CARI!$C$7),OR(CARI!$C$8="",$T992=CARI!$C$8)),MAX($Z$3:Z991)+1,""))</f>
        <v/>
      </c>
      <c r="AA992" s="40" t="str">
        <f aca="false">IF($Y992="","",MAX($AA$3:AA991)+1)</f>
        <v/>
      </c>
      <c r="AB992" s="40" t="str">
        <f aca="false">IF($F992="","",$F992&amp;"#"&amp;COUNTIF($F$4:$F992,$F992))</f>
        <v/>
      </c>
      <c r="AC992" s="40" t="str">
        <f aca="false">IF($B992="","",IF(AND(OR(CETAK!$J$10="",$F992=CETAK!$J$10),OR(CETAK!$J$11="",$G992=CETAK!$J$11),OR(CETAK!$J$12="",$P992=CETAK!$J$12),OR(CETAK!$J$13="",$N992=CETAK!$J$13),OR(CETAK!$J$14="",$T992=CETAK!$J$14)),MAX($AC$3:AC991)+1,""))</f>
        <v/>
      </c>
      <c r="AD992" s="40" t="str">
        <f aca="false">IF($B992="","",IF(AND(OR(ABSENSI!$H$10="",$F992=ABSENSI!$H$10),OR(ABSENSI!$H$11="",$G992=ABSENSI!$H$11),OR(ABSENSI!$H$12="",$P992=ABSENSI!$H$12)),MAX($AD$3:AD991)+1,""))</f>
        <v/>
      </c>
      <c r="AE992" s="40" t="str">
        <f aca="false">IF($B992="","",IF(AND(OR(KARTU!$K$6="",$F992=KARTU!$K$6),OR(KARTU!$K$7="",$G992=KARTU!$K$7),OR(KARTU!$K$8="",$P992=KARTU!$K$8)),MAX($AE$3:AE991)+1,""))</f>
        <v/>
      </c>
    </row>
    <row r="993" customFormat="false" ht="15" hidden="false" customHeight="false" outlineLevel="0" collapsed="false">
      <c r="A993" s="35" t="str">
        <f aca="false">IF($B993="","",COUNTA($B$4:$B993))</f>
        <v/>
      </c>
      <c r="B993" s="36"/>
      <c r="C993" s="37"/>
      <c r="D993" s="37"/>
      <c r="E993" s="38"/>
      <c r="F993" s="36"/>
      <c r="G993" s="39"/>
      <c r="H993" s="39"/>
      <c r="I993" s="36"/>
      <c r="J993" s="36"/>
      <c r="K993" s="36"/>
      <c r="L993" s="36"/>
      <c r="M993" s="40" t="str">
        <f aca="false">IF($F993="","",$F993&amp;IF($G993="",""," - RT "&amp;$G993&amp;IF($H993="","","/"&amp;$H993)))</f>
        <v/>
      </c>
      <c r="N993" s="36"/>
      <c r="O993" s="37"/>
      <c r="P993" s="39"/>
      <c r="Q993" s="41"/>
      <c r="R993" s="35" t="str">
        <f aca="true">IF(OR($B993="",$Q993=""),"",DATEDIF($Q993,TODAY(),"Y"))</f>
        <v/>
      </c>
      <c r="S993" s="40" t="str">
        <f aca="false">IF($R993="","",INDEX(usia_label,MATCH($R993,usia_min,1)))</f>
        <v/>
      </c>
      <c r="T993" s="36"/>
      <c r="U993" s="41"/>
      <c r="V993" s="36"/>
      <c r="W993" s="36"/>
      <c r="X993" s="40" t="str">
        <f aca="false">IF($M993="","",$M993&amp;"#"&amp;COUNTIF($M$4:$M993,$M993))</f>
        <v/>
      </c>
      <c r="Y993" s="40" t="str">
        <f aca="false">IF($B993="","",IF($C993="","NIK kosong",IF(LEN($C993)&lt;&gt;16,"NIK bukan 16 digit",IF(COUNTIF($C$4:$C$2003,$C993&amp;"*")&gt;1,"NIK ganda",IF(AND($D993&lt;&gt;"",LEN($D993)&lt;&gt;16),"No. KK bukan 16 digit",IF(AND($F993="",$I993=""),"Alamat kosong",IF($N993="","Jabatan kosong",IF($O993="","No. HP kosong",IF(AND($R993&lt;&gt;"",$R993&lt;17),"Usia di bawah 17","")))))))))</f>
        <v/>
      </c>
      <c r="Z993" s="40" t="str">
        <f aca="false">IF($B993="","",IF(AND(OR(CARI!$C$5="",ISNUMBER(SEARCH(CARI!$C$5,$B993&amp;" "&amp;$C993&amp;" "&amp;$D993&amp;" "&amp;$O993&amp;" "&amp;$I993&amp;" "&amp;$F993&amp;" "&amp;$J993&amp;" "&amp;$K993&amp;" "&amp;$L993&amp;" "&amp;$V993))),OR(CARI!$C$6="",$F993=CARI!$C$6),OR(CARI!$C$7="",$G993=CARI!$C$7),OR(CARI!$C$8="",$T993=CARI!$C$8)),MAX($Z$3:Z992)+1,""))</f>
        <v/>
      </c>
      <c r="AA993" s="40" t="str">
        <f aca="false">IF($Y993="","",MAX($AA$3:AA992)+1)</f>
        <v/>
      </c>
      <c r="AB993" s="40" t="str">
        <f aca="false">IF($F993="","",$F993&amp;"#"&amp;COUNTIF($F$4:$F993,$F993))</f>
        <v/>
      </c>
      <c r="AC993" s="40" t="str">
        <f aca="false">IF($B993="","",IF(AND(OR(CETAK!$J$10="",$F993=CETAK!$J$10),OR(CETAK!$J$11="",$G993=CETAK!$J$11),OR(CETAK!$J$12="",$P993=CETAK!$J$12),OR(CETAK!$J$13="",$N993=CETAK!$J$13),OR(CETAK!$J$14="",$T993=CETAK!$J$14)),MAX($AC$3:AC992)+1,""))</f>
        <v/>
      </c>
      <c r="AD993" s="40" t="str">
        <f aca="false">IF($B993="","",IF(AND(OR(ABSENSI!$H$10="",$F993=ABSENSI!$H$10),OR(ABSENSI!$H$11="",$G993=ABSENSI!$H$11),OR(ABSENSI!$H$12="",$P993=ABSENSI!$H$12)),MAX($AD$3:AD992)+1,""))</f>
        <v/>
      </c>
      <c r="AE993" s="40" t="str">
        <f aca="false">IF($B993="","",IF(AND(OR(KARTU!$K$6="",$F993=KARTU!$K$6),OR(KARTU!$K$7="",$G993=KARTU!$K$7),OR(KARTU!$K$8="",$P993=KARTU!$K$8)),MAX($AE$3:AE992)+1,""))</f>
        <v/>
      </c>
    </row>
    <row r="994" customFormat="false" ht="15" hidden="false" customHeight="false" outlineLevel="0" collapsed="false">
      <c r="A994" s="35" t="str">
        <f aca="false">IF($B994="","",COUNTA($B$4:$B994))</f>
        <v/>
      </c>
      <c r="B994" s="36"/>
      <c r="C994" s="37"/>
      <c r="D994" s="37"/>
      <c r="E994" s="38"/>
      <c r="F994" s="36"/>
      <c r="G994" s="39"/>
      <c r="H994" s="39"/>
      <c r="I994" s="36"/>
      <c r="J994" s="36"/>
      <c r="K994" s="36"/>
      <c r="L994" s="36"/>
      <c r="M994" s="40" t="str">
        <f aca="false">IF($F994="","",$F994&amp;IF($G994="",""," - RT "&amp;$G994&amp;IF($H994="","","/"&amp;$H994)))</f>
        <v/>
      </c>
      <c r="N994" s="36"/>
      <c r="O994" s="37"/>
      <c r="P994" s="39"/>
      <c r="Q994" s="41"/>
      <c r="R994" s="35" t="str">
        <f aca="true">IF(OR($B994="",$Q994=""),"",DATEDIF($Q994,TODAY(),"Y"))</f>
        <v/>
      </c>
      <c r="S994" s="40" t="str">
        <f aca="false">IF($R994="","",INDEX(usia_label,MATCH($R994,usia_min,1)))</f>
        <v/>
      </c>
      <c r="T994" s="36"/>
      <c r="U994" s="41"/>
      <c r="V994" s="36"/>
      <c r="W994" s="36"/>
      <c r="X994" s="40" t="str">
        <f aca="false">IF($M994="","",$M994&amp;"#"&amp;COUNTIF($M$4:$M994,$M994))</f>
        <v/>
      </c>
      <c r="Y994" s="40" t="str">
        <f aca="false">IF($B994="","",IF($C994="","NIK kosong",IF(LEN($C994)&lt;&gt;16,"NIK bukan 16 digit",IF(COUNTIF($C$4:$C$2003,$C994&amp;"*")&gt;1,"NIK ganda",IF(AND($D994&lt;&gt;"",LEN($D994)&lt;&gt;16),"No. KK bukan 16 digit",IF(AND($F994="",$I994=""),"Alamat kosong",IF($N994="","Jabatan kosong",IF($O994="","No. HP kosong",IF(AND($R994&lt;&gt;"",$R994&lt;17),"Usia di bawah 17","")))))))))</f>
        <v/>
      </c>
      <c r="Z994" s="40" t="str">
        <f aca="false">IF($B994="","",IF(AND(OR(CARI!$C$5="",ISNUMBER(SEARCH(CARI!$C$5,$B994&amp;" "&amp;$C994&amp;" "&amp;$D994&amp;" "&amp;$O994&amp;" "&amp;$I994&amp;" "&amp;$F994&amp;" "&amp;$J994&amp;" "&amp;$K994&amp;" "&amp;$L994&amp;" "&amp;$V994))),OR(CARI!$C$6="",$F994=CARI!$C$6),OR(CARI!$C$7="",$G994=CARI!$C$7),OR(CARI!$C$8="",$T994=CARI!$C$8)),MAX($Z$3:Z993)+1,""))</f>
        <v/>
      </c>
      <c r="AA994" s="40" t="str">
        <f aca="false">IF($Y994="","",MAX($AA$3:AA993)+1)</f>
        <v/>
      </c>
      <c r="AB994" s="40" t="str">
        <f aca="false">IF($F994="","",$F994&amp;"#"&amp;COUNTIF($F$4:$F994,$F994))</f>
        <v/>
      </c>
      <c r="AC994" s="40" t="str">
        <f aca="false">IF($B994="","",IF(AND(OR(CETAK!$J$10="",$F994=CETAK!$J$10),OR(CETAK!$J$11="",$G994=CETAK!$J$11),OR(CETAK!$J$12="",$P994=CETAK!$J$12),OR(CETAK!$J$13="",$N994=CETAK!$J$13),OR(CETAK!$J$14="",$T994=CETAK!$J$14)),MAX($AC$3:AC993)+1,""))</f>
        <v/>
      </c>
      <c r="AD994" s="40" t="str">
        <f aca="false">IF($B994="","",IF(AND(OR(ABSENSI!$H$10="",$F994=ABSENSI!$H$10),OR(ABSENSI!$H$11="",$G994=ABSENSI!$H$11),OR(ABSENSI!$H$12="",$P994=ABSENSI!$H$12)),MAX($AD$3:AD993)+1,""))</f>
        <v/>
      </c>
      <c r="AE994" s="40" t="str">
        <f aca="false">IF($B994="","",IF(AND(OR(KARTU!$K$6="",$F994=KARTU!$K$6),OR(KARTU!$K$7="",$G994=KARTU!$K$7),OR(KARTU!$K$8="",$P994=KARTU!$K$8)),MAX($AE$3:AE993)+1,""))</f>
        <v/>
      </c>
    </row>
    <row r="995" customFormat="false" ht="15" hidden="false" customHeight="false" outlineLevel="0" collapsed="false">
      <c r="A995" s="35" t="str">
        <f aca="false">IF($B995="","",COUNTA($B$4:$B995))</f>
        <v/>
      </c>
      <c r="B995" s="36"/>
      <c r="C995" s="37"/>
      <c r="D995" s="37"/>
      <c r="E995" s="38"/>
      <c r="F995" s="36"/>
      <c r="G995" s="39"/>
      <c r="H995" s="39"/>
      <c r="I995" s="36"/>
      <c r="J995" s="36"/>
      <c r="K995" s="36"/>
      <c r="L995" s="36"/>
      <c r="M995" s="40" t="str">
        <f aca="false">IF($F995="","",$F995&amp;IF($G995="",""," - RT "&amp;$G995&amp;IF($H995="","","/"&amp;$H995)))</f>
        <v/>
      </c>
      <c r="N995" s="36"/>
      <c r="O995" s="37"/>
      <c r="P995" s="39"/>
      <c r="Q995" s="41"/>
      <c r="R995" s="35" t="str">
        <f aca="true">IF(OR($B995="",$Q995=""),"",DATEDIF($Q995,TODAY(),"Y"))</f>
        <v/>
      </c>
      <c r="S995" s="40" t="str">
        <f aca="false">IF($R995="","",INDEX(usia_label,MATCH($R995,usia_min,1)))</f>
        <v/>
      </c>
      <c r="T995" s="36"/>
      <c r="U995" s="41"/>
      <c r="V995" s="36"/>
      <c r="W995" s="36"/>
      <c r="X995" s="40" t="str">
        <f aca="false">IF($M995="","",$M995&amp;"#"&amp;COUNTIF($M$4:$M995,$M995))</f>
        <v/>
      </c>
      <c r="Y995" s="40" t="str">
        <f aca="false">IF($B995="","",IF($C995="","NIK kosong",IF(LEN($C995)&lt;&gt;16,"NIK bukan 16 digit",IF(COUNTIF($C$4:$C$2003,$C995&amp;"*")&gt;1,"NIK ganda",IF(AND($D995&lt;&gt;"",LEN($D995)&lt;&gt;16),"No. KK bukan 16 digit",IF(AND($F995="",$I995=""),"Alamat kosong",IF($N995="","Jabatan kosong",IF($O995="","No. HP kosong",IF(AND($R995&lt;&gt;"",$R995&lt;17),"Usia di bawah 17","")))))))))</f>
        <v/>
      </c>
      <c r="Z995" s="40" t="str">
        <f aca="false">IF($B995="","",IF(AND(OR(CARI!$C$5="",ISNUMBER(SEARCH(CARI!$C$5,$B995&amp;" "&amp;$C995&amp;" "&amp;$D995&amp;" "&amp;$O995&amp;" "&amp;$I995&amp;" "&amp;$F995&amp;" "&amp;$J995&amp;" "&amp;$K995&amp;" "&amp;$L995&amp;" "&amp;$V995))),OR(CARI!$C$6="",$F995=CARI!$C$6),OR(CARI!$C$7="",$G995=CARI!$C$7),OR(CARI!$C$8="",$T995=CARI!$C$8)),MAX($Z$3:Z994)+1,""))</f>
        <v/>
      </c>
      <c r="AA995" s="40" t="str">
        <f aca="false">IF($Y995="","",MAX($AA$3:AA994)+1)</f>
        <v/>
      </c>
      <c r="AB995" s="40" t="str">
        <f aca="false">IF($F995="","",$F995&amp;"#"&amp;COUNTIF($F$4:$F995,$F995))</f>
        <v/>
      </c>
      <c r="AC995" s="40" t="str">
        <f aca="false">IF($B995="","",IF(AND(OR(CETAK!$J$10="",$F995=CETAK!$J$10),OR(CETAK!$J$11="",$G995=CETAK!$J$11),OR(CETAK!$J$12="",$P995=CETAK!$J$12),OR(CETAK!$J$13="",$N995=CETAK!$J$13),OR(CETAK!$J$14="",$T995=CETAK!$J$14)),MAX($AC$3:AC994)+1,""))</f>
        <v/>
      </c>
      <c r="AD995" s="40" t="str">
        <f aca="false">IF($B995="","",IF(AND(OR(ABSENSI!$H$10="",$F995=ABSENSI!$H$10),OR(ABSENSI!$H$11="",$G995=ABSENSI!$H$11),OR(ABSENSI!$H$12="",$P995=ABSENSI!$H$12)),MAX($AD$3:AD994)+1,""))</f>
        <v/>
      </c>
      <c r="AE995" s="40" t="str">
        <f aca="false">IF($B995="","",IF(AND(OR(KARTU!$K$6="",$F995=KARTU!$K$6),OR(KARTU!$K$7="",$G995=KARTU!$K$7),OR(KARTU!$K$8="",$P995=KARTU!$K$8)),MAX($AE$3:AE994)+1,""))</f>
        <v/>
      </c>
    </row>
    <row r="996" customFormat="false" ht="15" hidden="false" customHeight="false" outlineLevel="0" collapsed="false">
      <c r="A996" s="35" t="str">
        <f aca="false">IF($B996="","",COUNTA($B$4:$B996))</f>
        <v/>
      </c>
      <c r="B996" s="36"/>
      <c r="C996" s="37"/>
      <c r="D996" s="37"/>
      <c r="E996" s="38"/>
      <c r="F996" s="36"/>
      <c r="G996" s="39"/>
      <c r="H996" s="39"/>
      <c r="I996" s="36"/>
      <c r="J996" s="36"/>
      <c r="K996" s="36"/>
      <c r="L996" s="36"/>
      <c r="M996" s="40" t="str">
        <f aca="false">IF($F996="","",$F996&amp;IF($G996="",""," - RT "&amp;$G996&amp;IF($H996="","","/"&amp;$H996)))</f>
        <v/>
      </c>
      <c r="N996" s="36"/>
      <c r="O996" s="37"/>
      <c r="P996" s="39"/>
      <c r="Q996" s="41"/>
      <c r="R996" s="35" t="str">
        <f aca="true">IF(OR($B996="",$Q996=""),"",DATEDIF($Q996,TODAY(),"Y"))</f>
        <v/>
      </c>
      <c r="S996" s="40" t="str">
        <f aca="false">IF($R996="","",INDEX(usia_label,MATCH($R996,usia_min,1)))</f>
        <v/>
      </c>
      <c r="T996" s="36"/>
      <c r="U996" s="41"/>
      <c r="V996" s="36"/>
      <c r="W996" s="36"/>
      <c r="X996" s="40" t="str">
        <f aca="false">IF($M996="","",$M996&amp;"#"&amp;COUNTIF($M$4:$M996,$M996))</f>
        <v/>
      </c>
      <c r="Y996" s="40" t="str">
        <f aca="false">IF($B996="","",IF($C996="","NIK kosong",IF(LEN($C996)&lt;&gt;16,"NIK bukan 16 digit",IF(COUNTIF($C$4:$C$2003,$C996&amp;"*")&gt;1,"NIK ganda",IF(AND($D996&lt;&gt;"",LEN($D996)&lt;&gt;16),"No. KK bukan 16 digit",IF(AND($F996="",$I996=""),"Alamat kosong",IF($N996="","Jabatan kosong",IF($O996="","No. HP kosong",IF(AND($R996&lt;&gt;"",$R996&lt;17),"Usia di bawah 17","")))))))))</f>
        <v/>
      </c>
      <c r="Z996" s="40" t="str">
        <f aca="false">IF($B996="","",IF(AND(OR(CARI!$C$5="",ISNUMBER(SEARCH(CARI!$C$5,$B996&amp;" "&amp;$C996&amp;" "&amp;$D996&amp;" "&amp;$O996&amp;" "&amp;$I996&amp;" "&amp;$F996&amp;" "&amp;$J996&amp;" "&amp;$K996&amp;" "&amp;$L996&amp;" "&amp;$V996))),OR(CARI!$C$6="",$F996=CARI!$C$6),OR(CARI!$C$7="",$G996=CARI!$C$7),OR(CARI!$C$8="",$T996=CARI!$C$8)),MAX($Z$3:Z995)+1,""))</f>
        <v/>
      </c>
      <c r="AA996" s="40" t="str">
        <f aca="false">IF($Y996="","",MAX($AA$3:AA995)+1)</f>
        <v/>
      </c>
      <c r="AB996" s="40" t="str">
        <f aca="false">IF($F996="","",$F996&amp;"#"&amp;COUNTIF($F$4:$F996,$F996))</f>
        <v/>
      </c>
      <c r="AC996" s="40" t="str">
        <f aca="false">IF($B996="","",IF(AND(OR(CETAK!$J$10="",$F996=CETAK!$J$10),OR(CETAK!$J$11="",$G996=CETAK!$J$11),OR(CETAK!$J$12="",$P996=CETAK!$J$12),OR(CETAK!$J$13="",$N996=CETAK!$J$13),OR(CETAK!$J$14="",$T996=CETAK!$J$14)),MAX($AC$3:AC995)+1,""))</f>
        <v/>
      </c>
      <c r="AD996" s="40" t="str">
        <f aca="false">IF($B996="","",IF(AND(OR(ABSENSI!$H$10="",$F996=ABSENSI!$H$10),OR(ABSENSI!$H$11="",$G996=ABSENSI!$H$11),OR(ABSENSI!$H$12="",$P996=ABSENSI!$H$12)),MAX($AD$3:AD995)+1,""))</f>
        <v/>
      </c>
      <c r="AE996" s="40" t="str">
        <f aca="false">IF($B996="","",IF(AND(OR(KARTU!$K$6="",$F996=KARTU!$K$6),OR(KARTU!$K$7="",$G996=KARTU!$K$7),OR(KARTU!$K$8="",$P996=KARTU!$K$8)),MAX($AE$3:AE995)+1,""))</f>
        <v/>
      </c>
    </row>
    <row r="997" customFormat="false" ht="15" hidden="false" customHeight="false" outlineLevel="0" collapsed="false">
      <c r="A997" s="35" t="str">
        <f aca="false">IF($B997="","",COUNTA($B$4:$B997))</f>
        <v/>
      </c>
      <c r="B997" s="36"/>
      <c r="C997" s="37"/>
      <c r="D997" s="37"/>
      <c r="E997" s="38"/>
      <c r="F997" s="36"/>
      <c r="G997" s="39"/>
      <c r="H997" s="39"/>
      <c r="I997" s="36"/>
      <c r="J997" s="36"/>
      <c r="K997" s="36"/>
      <c r="L997" s="36"/>
      <c r="M997" s="40" t="str">
        <f aca="false">IF($F997="","",$F997&amp;IF($G997="",""," - RT "&amp;$G997&amp;IF($H997="","","/"&amp;$H997)))</f>
        <v/>
      </c>
      <c r="N997" s="36"/>
      <c r="O997" s="37"/>
      <c r="P997" s="39"/>
      <c r="Q997" s="41"/>
      <c r="R997" s="35" t="str">
        <f aca="true">IF(OR($B997="",$Q997=""),"",DATEDIF($Q997,TODAY(),"Y"))</f>
        <v/>
      </c>
      <c r="S997" s="40" t="str">
        <f aca="false">IF($R997="","",INDEX(usia_label,MATCH($R997,usia_min,1)))</f>
        <v/>
      </c>
      <c r="T997" s="36"/>
      <c r="U997" s="41"/>
      <c r="V997" s="36"/>
      <c r="W997" s="36"/>
      <c r="X997" s="40" t="str">
        <f aca="false">IF($M997="","",$M997&amp;"#"&amp;COUNTIF($M$4:$M997,$M997))</f>
        <v/>
      </c>
      <c r="Y997" s="40" t="str">
        <f aca="false">IF($B997="","",IF($C997="","NIK kosong",IF(LEN($C997)&lt;&gt;16,"NIK bukan 16 digit",IF(COUNTIF($C$4:$C$2003,$C997&amp;"*")&gt;1,"NIK ganda",IF(AND($D997&lt;&gt;"",LEN($D997)&lt;&gt;16),"No. KK bukan 16 digit",IF(AND($F997="",$I997=""),"Alamat kosong",IF($N997="","Jabatan kosong",IF($O997="","No. HP kosong",IF(AND($R997&lt;&gt;"",$R997&lt;17),"Usia di bawah 17","")))))))))</f>
        <v/>
      </c>
      <c r="Z997" s="40" t="str">
        <f aca="false">IF($B997="","",IF(AND(OR(CARI!$C$5="",ISNUMBER(SEARCH(CARI!$C$5,$B997&amp;" "&amp;$C997&amp;" "&amp;$D997&amp;" "&amp;$O997&amp;" "&amp;$I997&amp;" "&amp;$F997&amp;" "&amp;$J997&amp;" "&amp;$K997&amp;" "&amp;$L997&amp;" "&amp;$V997))),OR(CARI!$C$6="",$F997=CARI!$C$6),OR(CARI!$C$7="",$G997=CARI!$C$7),OR(CARI!$C$8="",$T997=CARI!$C$8)),MAX($Z$3:Z996)+1,""))</f>
        <v/>
      </c>
      <c r="AA997" s="40" t="str">
        <f aca="false">IF($Y997="","",MAX($AA$3:AA996)+1)</f>
        <v/>
      </c>
      <c r="AB997" s="40" t="str">
        <f aca="false">IF($F997="","",$F997&amp;"#"&amp;COUNTIF($F$4:$F997,$F997))</f>
        <v/>
      </c>
      <c r="AC997" s="40" t="str">
        <f aca="false">IF($B997="","",IF(AND(OR(CETAK!$J$10="",$F997=CETAK!$J$10),OR(CETAK!$J$11="",$G997=CETAK!$J$11),OR(CETAK!$J$12="",$P997=CETAK!$J$12),OR(CETAK!$J$13="",$N997=CETAK!$J$13),OR(CETAK!$J$14="",$T997=CETAK!$J$14)),MAX($AC$3:AC996)+1,""))</f>
        <v/>
      </c>
      <c r="AD997" s="40" t="str">
        <f aca="false">IF($B997="","",IF(AND(OR(ABSENSI!$H$10="",$F997=ABSENSI!$H$10),OR(ABSENSI!$H$11="",$G997=ABSENSI!$H$11),OR(ABSENSI!$H$12="",$P997=ABSENSI!$H$12)),MAX($AD$3:AD996)+1,""))</f>
        <v/>
      </c>
      <c r="AE997" s="40" t="str">
        <f aca="false">IF($B997="","",IF(AND(OR(KARTU!$K$6="",$F997=KARTU!$K$6),OR(KARTU!$K$7="",$G997=KARTU!$K$7),OR(KARTU!$K$8="",$P997=KARTU!$K$8)),MAX($AE$3:AE996)+1,""))</f>
        <v/>
      </c>
    </row>
    <row r="998" customFormat="false" ht="15" hidden="false" customHeight="false" outlineLevel="0" collapsed="false">
      <c r="A998" s="35" t="str">
        <f aca="false">IF($B998="","",COUNTA($B$4:$B998))</f>
        <v/>
      </c>
      <c r="B998" s="36"/>
      <c r="C998" s="37"/>
      <c r="D998" s="37"/>
      <c r="E998" s="38"/>
      <c r="F998" s="36"/>
      <c r="G998" s="39"/>
      <c r="H998" s="39"/>
      <c r="I998" s="36"/>
      <c r="J998" s="36"/>
      <c r="K998" s="36"/>
      <c r="L998" s="36"/>
      <c r="M998" s="40" t="str">
        <f aca="false">IF($F998="","",$F998&amp;IF($G998="",""," - RT "&amp;$G998&amp;IF($H998="","","/"&amp;$H998)))</f>
        <v/>
      </c>
      <c r="N998" s="36"/>
      <c r="O998" s="37"/>
      <c r="P998" s="39"/>
      <c r="Q998" s="41"/>
      <c r="R998" s="35" t="str">
        <f aca="true">IF(OR($B998="",$Q998=""),"",DATEDIF($Q998,TODAY(),"Y"))</f>
        <v/>
      </c>
      <c r="S998" s="40" t="str">
        <f aca="false">IF($R998="","",INDEX(usia_label,MATCH($R998,usia_min,1)))</f>
        <v/>
      </c>
      <c r="T998" s="36"/>
      <c r="U998" s="41"/>
      <c r="V998" s="36"/>
      <c r="W998" s="36"/>
      <c r="X998" s="40" t="str">
        <f aca="false">IF($M998="","",$M998&amp;"#"&amp;COUNTIF($M$4:$M998,$M998))</f>
        <v/>
      </c>
      <c r="Y998" s="40" t="str">
        <f aca="false">IF($B998="","",IF($C998="","NIK kosong",IF(LEN($C998)&lt;&gt;16,"NIK bukan 16 digit",IF(COUNTIF($C$4:$C$2003,$C998&amp;"*")&gt;1,"NIK ganda",IF(AND($D998&lt;&gt;"",LEN($D998)&lt;&gt;16),"No. KK bukan 16 digit",IF(AND($F998="",$I998=""),"Alamat kosong",IF($N998="","Jabatan kosong",IF($O998="","No. HP kosong",IF(AND($R998&lt;&gt;"",$R998&lt;17),"Usia di bawah 17","")))))))))</f>
        <v/>
      </c>
      <c r="Z998" s="40" t="str">
        <f aca="false">IF($B998="","",IF(AND(OR(CARI!$C$5="",ISNUMBER(SEARCH(CARI!$C$5,$B998&amp;" "&amp;$C998&amp;" "&amp;$D998&amp;" "&amp;$O998&amp;" "&amp;$I998&amp;" "&amp;$F998&amp;" "&amp;$J998&amp;" "&amp;$K998&amp;" "&amp;$L998&amp;" "&amp;$V998))),OR(CARI!$C$6="",$F998=CARI!$C$6),OR(CARI!$C$7="",$G998=CARI!$C$7),OR(CARI!$C$8="",$T998=CARI!$C$8)),MAX($Z$3:Z997)+1,""))</f>
        <v/>
      </c>
      <c r="AA998" s="40" t="str">
        <f aca="false">IF($Y998="","",MAX($AA$3:AA997)+1)</f>
        <v/>
      </c>
      <c r="AB998" s="40" t="str">
        <f aca="false">IF($F998="","",$F998&amp;"#"&amp;COUNTIF($F$4:$F998,$F998))</f>
        <v/>
      </c>
      <c r="AC998" s="40" t="str">
        <f aca="false">IF($B998="","",IF(AND(OR(CETAK!$J$10="",$F998=CETAK!$J$10),OR(CETAK!$J$11="",$G998=CETAK!$J$11),OR(CETAK!$J$12="",$P998=CETAK!$J$12),OR(CETAK!$J$13="",$N998=CETAK!$J$13),OR(CETAK!$J$14="",$T998=CETAK!$J$14)),MAX($AC$3:AC997)+1,""))</f>
        <v/>
      </c>
      <c r="AD998" s="40" t="str">
        <f aca="false">IF($B998="","",IF(AND(OR(ABSENSI!$H$10="",$F998=ABSENSI!$H$10),OR(ABSENSI!$H$11="",$G998=ABSENSI!$H$11),OR(ABSENSI!$H$12="",$P998=ABSENSI!$H$12)),MAX($AD$3:AD997)+1,""))</f>
        <v/>
      </c>
      <c r="AE998" s="40" t="str">
        <f aca="false">IF($B998="","",IF(AND(OR(KARTU!$K$6="",$F998=KARTU!$K$6),OR(KARTU!$K$7="",$G998=KARTU!$K$7),OR(KARTU!$K$8="",$P998=KARTU!$K$8)),MAX($AE$3:AE997)+1,""))</f>
        <v/>
      </c>
    </row>
    <row r="999" customFormat="false" ht="15" hidden="false" customHeight="false" outlineLevel="0" collapsed="false">
      <c r="A999" s="35" t="str">
        <f aca="false">IF($B999="","",COUNTA($B$4:$B999))</f>
        <v/>
      </c>
      <c r="B999" s="36"/>
      <c r="C999" s="37"/>
      <c r="D999" s="37"/>
      <c r="E999" s="38"/>
      <c r="F999" s="36"/>
      <c r="G999" s="39"/>
      <c r="H999" s="39"/>
      <c r="I999" s="36"/>
      <c r="J999" s="36"/>
      <c r="K999" s="36"/>
      <c r="L999" s="36"/>
      <c r="M999" s="40" t="str">
        <f aca="false">IF($F999="","",$F999&amp;IF($G999="",""," - RT "&amp;$G999&amp;IF($H999="","","/"&amp;$H999)))</f>
        <v/>
      </c>
      <c r="N999" s="36"/>
      <c r="O999" s="37"/>
      <c r="P999" s="39"/>
      <c r="Q999" s="41"/>
      <c r="R999" s="35" t="str">
        <f aca="true">IF(OR($B999="",$Q999=""),"",DATEDIF($Q999,TODAY(),"Y"))</f>
        <v/>
      </c>
      <c r="S999" s="40" t="str">
        <f aca="false">IF($R999="","",INDEX(usia_label,MATCH($R999,usia_min,1)))</f>
        <v/>
      </c>
      <c r="T999" s="36"/>
      <c r="U999" s="41"/>
      <c r="V999" s="36"/>
      <c r="W999" s="36"/>
      <c r="X999" s="40" t="str">
        <f aca="false">IF($M999="","",$M999&amp;"#"&amp;COUNTIF($M$4:$M999,$M999))</f>
        <v/>
      </c>
      <c r="Y999" s="40" t="str">
        <f aca="false">IF($B999="","",IF($C999="","NIK kosong",IF(LEN($C999)&lt;&gt;16,"NIK bukan 16 digit",IF(COUNTIF($C$4:$C$2003,$C999&amp;"*")&gt;1,"NIK ganda",IF(AND($D999&lt;&gt;"",LEN($D999)&lt;&gt;16),"No. KK bukan 16 digit",IF(AND($F999="",$I999=""),"Alamat kosong",IF($N999="","Jabatan kosong",IF($O999="","No. HP kosong",IF(AND($R999&lt;&gt;"",$R999&lt;17),"Usia di bawah 17","")))))))))</f>
        <v/>
      </c>
      <c r="Z999" s="40" t="str">
        <f aca="false">IF($B999="","",IF(AND(OR(CARI!$C$5="",ISNUMBER(SEARCH(CARI!$C$5,$B999&amp;" "&amp;$C999&amp;" "&amp;$D999&amp;" "&amp;$O999&amp;" "&amp;$I999&amp;" "&amp;$F999&amp;" "&amp;$J999&amp;" "&amp;$K999&amp;" "&amp;$L999&amp;" "&amp;$V999))),OR(CARI!$C$6="",$F999=CARI!$C$6),OR(CARI!$C$7="",$G999=CARI!$C$7),OR(CARI!$C$8="",$T999=CARI!$C$8)),MAX($Z$3:Z998)+1,""))</f>
        <v/>
      </c>
      <c r="AA999" s="40" t="str">
        <f aca="false">IF($Y999="","",MAX($AA$3:AA998)+1)</f>
        <v/>
      </c>
      <c r="AB999" s="40" t="str">
        <f aca="false">IF($F999="","",$F999&amp;"#"&amp;COUNTIF($F$4:$F999,$F999))</f>
        <v/>
      </c>
      <c r="AC999" s="40" t="str">
        <f aca="false">IF($B999="","",IF(AND(OR(CETAK!$J$10="",$F999=CETAK!$J$10),OR(CETAK!$J$11="",$G999=CETAK!$J$11),OR(CETAK!$J$12="",$P999=CETAK!$J$12),OR(CETAK!$J$13="",$N999=CETAK!$J$13),OR(CETAK!$J$14="",$T999=CETAK!$J$14)),MAX($AC$3:AC998)+1,""))</f>
        <v/>
      </c>
      <c r="AD999" s="40" t="str">
        <f aca="false">IF($B999="","",IF(AND(OR(ABSENSI!$H$10="",$F999=ABSENSI!$H$10),OR(ABSENSI!$H$11="",$G999=ABSENSI!$H$11),OR(ABSENSI!$H$12="",$P999=ABSENSI!$H$12)),MAX($AD$3:AD998)+1,""))</f>
        <v/>
      </c>
      <c r="AE999" s="40" t="str">
        <f aca="false">IF($B999="","",IF(AND(OR(KARTU!$K$6="",$F999=KARTU!$K$6),OR(KARTU!$K$7="",$G999=KARTU!$K$7),OR(KARTU!$K$8="",$P999=KARTU!$K$8)),MAX($AE$3:AE998)+1,""))</f>
        <v/>
      </c>
    </row>
    <row r="1000" customFormat="false" ht="15" hidden="false" customHeight="false" outlineLevel="0" collapsed="false">
      <c r="A1000" s="35" t="str">
        <f aca="false">IF($B1000="","",COUNTA($B$4:$B1000))</f>
        <v/>
      </c>
      <c r="B1000" s="36"/>
      <c r="C1000" s="37"/>
      <c r="D1000" s="37"/>
      <c r="E1000" s="38"/>
      <c r="F1000" s="36"/>
      <c r="G1000" s="39"/>
      <c r="H1000" s="39"/>
      <c r="I1000" s="36"/>
      <c r="J1000" s="36"/>
      <c r="K1000" s="36"/>
      <c r="L1000" s="36"/>
      <c r="M1000" s="40" t="str">
        <f aca="false">IF($F1000="","",$F1000&amp;IF($G1000="",""," - RT "&amp;$G1000&amp;IF($H1000="","","/"&amp;$H1000)))</f>
        <v/>
      </c>
      <c r="N1000" s="36"/>
      <c r="O1000" s="37"/>
      <c r="P1000" s="39"/>
      <c r="Q1000" s="41"/>
      <c r="R1000" s="35" t="str">
        <f aca="true">IF(OR($B1000="",$Q1000=""),"",DATEDIF($Q1000,TODAY(),"Y"))</f>
        <v/>
      </c>
      <c r="S1000" s="40" t="str">
        <f aca="false">IF($R1000="","",INDEX(usia_label,MATCH($R1000,usia_min,1)))</f>
        <v/>
      </c>
      <c r="T1000" s="36"/>
      <c r="U1000" s="41"/>
      <c r="V1000" s="36"/>
      <c r="W1000" s="36"/>
      <c r="X1000" s="40" t="str">
        <f aca="false">IF($M1000="","",$M1000&amp;"#"&amp;COUNTIF($M$4:$M1000,$M1000))</f>
        <v/>
      </c>
      <c r="Y1000" s="40" t="str">
        <f aca="false">IF($B1000="","",IF($C1000="","NIK kosong",IF(LEN($C1000)&lt;&gt;16,"NIK bukan 16 digit",IF(COUNTIF($C$4:$C$2003,$C1000&amp;"*")&gt;1,"NIK ganda",IF(AND($D1000&lt;&gt;"",LEN($D1000)&lt;&gt;16),"No. KK bukan 16 digit",IF(AND($F1000="",$I1000=""),"Alamat kosong",IF($N1000="","Jabatan kosong",IF($O1000="","No. HP kosong",IF(AND($R1000&lt;&gt;"",$R1000&lt;17),"Usia di bawah 17","")))))))))</f>
        <v/>
      </c>
      <c r="Z1000" s="40" t="str">
        <f aca="false">IF($B1000="","",IF(AND(OR(CARI!$C$5="",ISNUMBER(SEARCH(CARI!$C$5,$B1000&amp;" "&amp;$C1000&amp;" "&amp;$D1000&amp;" "&amp;$O1000&amp;" "&amp;$I1000&amp;" "&amp;$F1000&amp;" "&amp;$J1000&amp;" "&amp;$K1000&amp;" "&amp;$L1000&amp;" "&amp;$V1000))),OR(CARI!$C$6="",$F1000=CARI!$C$6),OR(CARI!$C$7="",$G1000=CARI!$C$7),OR(CARI!$C$8="",$T1000=CARI!$C$8)),MAX($Z$3:Z999)+1,""))</f>
        <v/>
      </c>
      <c r="AA1000" s="40" t="str">
        <f aca="false">IF($Y1000="","",MAX($AA$3:AA999)+1)</f>
        <v/>
      </c>
      <c r="AB1000" s="40" t="str">
        <f aca="false">IF($F1000="","",$F1000&amp;"#"&amp;COUNTIF($F$4:$F1000,$F1000))</f>
        <v/>
      </c>
      <c r="AC1000" s="40" t="str">
        <f aca="false">IF($B1000="","",IF(AND(OR(CETAK!$J$10="",$F1000=CETAK!$J$10),OR(CETAK!$J$11="",$G1000=CETAK!$J$11),OR(CETAK!$J$12="",$P1000=CETAK!$J$12),OR(CETAK!$J$13="",$N1000=CETAK!$J$13),OR(CETAK!$J$14="",$T1000=CETAK!$J$14)),MAX($AC$3:AC999)+1,""))</f>
        <v/>
      </c>
      <c r="AD1000" s="40" t="str">
        <f aca="false">IF($B1000="","",IF(AND(OR(ABSENSI!$H$10="",$F1000=ABSENSI!$H$10),OR(ABSENSI!$H$11="",$G1000=ABSENSI!$H$11),OR(ABSENSI!$H$12="",$P1000=ABSENSI!$H$12)),MAX($AD$3:AD999)+1,""))</f>
        <v/>
      </c>
      <c r="AE1000" s="40" t="str">
        <f aca="false">IF($B1000="","",IF(AND(OR(KARTU!$K$6="",$F1000=KARTU!$K$6),OR(KARTU!$K$7="",$G1000=KARTU!$K$7),OR(KARTU!$K$8="",$P1000=KARTU!$K$8)),MAX($AE$3:AE999)+1,""))</f>
        <v/>
      </c>
    </row>
    <row r="1001" customFormat="false" ht="15" hidden="false" customHeight="false" outlineLevel="0" collapsed="false">
      <c r="A1001" s="35" t="str">
        <f aca="false">IF($B1001="","",COUNTA($B$4:$B1001))</f>
        <v/>
      </c>
      <c r="B1001" s="36"/>
      <c r="C1001" s="37"/>
      <c r="D1001" s="37"/>
      <c r="E1001" s="38"/>
      <c r="F1001" s="36"/>
      <c r="G1001" s="39"/>
      <c r="H1001" s="39"/>
      <c r="I1001" s="36"/>
      <c r="J1001" s="36"/>
      <c r="K1001" s="36"/>
      <c r="L1001" s="36"/>
      <c r="M1001" s="40" t="str">
        <f aca="false">IF($F1001="","",$F1001&amp;IF($G1001="",""," - RT "&amp;$G1001&amp;IF($H1001="","","/"&amp;$H1001)))</f>
        <v/>
      </c>
      <c r="N1001" s="36"/>
      <c r="O1001" s="37"/>
      <c r="P1001" s="39"/>
      <c r="Q1001" s="41"/>
      <c r="R1001" s="35" t="str">
        <f aca="true">IF(OR($B1001="",$Q1001=""),"",DATEDIF($Q1001,TODAY(),"Y"))</f>
        <v/>
      </c>
      <c r="S1001" s="40" t="str">
        <f aca="false">IF($R1001="","",INDEX(usia_label,MATCH($R1001,usia_min,1)))</f>
        <v/>
      </c>
      <c r="T1001" s="36"/>
      <c r="U1001" s="41"/>
      <c r="V1001" s="36"/>
      <c r="W1001" s="36"/>
      <c r="X1001" s="40" t="str">
        <f aca="false">IF($M1001="","",$M1001&amp;"#"&amp;COUNTIF($M$4:$M1001,$M1001))</f>
        <v/>
      </c>
      <c r="Y1001" s="40" t="str">
        <f aca="false">IF($B1001="","",IF($C1001="","NIK kosong",IF(LEN($C1001)&lt;&gt;16,"NIK bukan 16 digit",IF(COUNTIF($C$4:$C$2003,$C1001&amp;"*")&gt;1,"NIK ganda",IF(AND($D1001&lt;&gt;"",LEN($D1001)&lt;&gt;16),"No. KK bukan 16 digit",IF(AND($F1001="",$I1001=""),"Alamat kosong",IF($N1001="","Jabatan kosong",IF($O1001="","No. HP kosong",IF(AND($R1001&lt;&gt;"",$R1001&lt;17),"Usia di bawah 17","")))))))))</f>
        <v/>
      </c>
      <c r="Z1001" s="40" t="str">
        <f aca="false">IF($B1001="","",IF(AND(OR(CARI!$C$5="",ISNUMBER(SEARCH(CARI!$C$5,$B1001&amp;" "&amp;$C1001&amp;" "&amp;$D1001&amp;" "&amp;$O1001&amp;" "&amp;$I1001&amp;" "&amp;$F1001&amp;" "&amp;$J1001&amp;" "&amp;$K1001&amp;" "&amp;$L1001&amp;" "&amp;$V1001))),OR(CARI!$C$6="",$F1001=CARI!$C$6),OR(CARI!$C$7="",$G1001=CARI!$C$7),OR(CARI!$C$8="",$T1001=CARI!$C$8)),MAX($Z$3:Z1000)+1,""))</f>
        <v/>
      </c>
      <c r="AA1001" s="40" t="str">
        <f aca="false">IF($Y1001="","",MAX($AA$3:AA1000)+1)</f>
        <v/>
      </c>
      <c r="AB1001" s="40" t="str">
        <f aca="false">IF($F1001="","",$F1001&amp;"#"&amp;COUNTIF($F$4:$F1001,$F1001))</f>
        <v/>
      </c>
      <c r="AC1001" s="40" t="str">
        <f aca="false">IF($B1001="","",IF(AND(OR(CETAK!$J$10="",$F1001=CETAK!$J$10),OR(CETAK!$J$11="",$G1001=CETAK!$J$11),OR(CETAK!$J$12="",$P1001=CETAK!$J$12),OR(CETAK!$J$13="",$N1001=CETAK!$J$13),OR(CETAK!$J$14="",$T1001=CETAK!$J$14)),MAX($AC$3:AC1000)+1,""))</f>
        <v/>
      </c>
      <c r="AD1001" s="40" t="str">
        <f aca="false">IF($B1001="","",IF(AND(OR(ABSENSI!$H$10="",$F1001=ABSENSI!$H$10),OR(ABSENSI!$H$11="",$G1001=ABSENSI!$H$11),OR(ABSENSI!$H$12="",$P1001=ABSENSI!$H$12)),MAX($AD$3:AD1000)+1,""))</f>
        <v/>
      </c>
      <c r="AE1001" s="40" t="str">
        <f aca="false">IF($B1001="","",IF(AND(OR(KARTU!$K$6="",$F1001=KARTU!$K$6),OR(KARTU!$K$7="",$G1001=KARTU!$K$7),OR(KARTU!$K$8="",$P1001=KARTU!$K$8)),MAX($AE$3:AE1000)+1,""))</f>
        <v/>
      </c>
    </row>
    <row r="1002" customFormat="false" ht="15" hidden="false" customHeight="false" outlineLevel="0" collapsed="false">
      <c r="A1002" s="35" t="str">
        <f aca="false">IF($B1002="","",COUNTA($B$4:$B1002))</f>
        <v/>
      </c>
      <c r="B1002" s="36"/>
      <c r="C1002" s="37"/>
      <c r="D1002" s="37"/>
      <c r="E1002" s="38"/>
      <c r="F1002" s="36"/>
      <c r="G1002" s="39"/>
      <c r="H1002" s="39"/>
      <c r="I1002" s="36"/>
      <c r="J1002" s="36"/>
      <c r="K1002" s="36"/>
      <c r="L1002" s="36"/>
      <c r="M1002" s="40" t="str">
        <f aca="false">IF($F1002="","",$F1002&amp;IF($G1002="",""," - RT "&amp;$G1002&amp;IF($H1002="","","/"&amp;$H1002)))</f>
        <v/>
      </c>
      <c r="N1002" s="36"/>
      <c r="O1002" s="37"/>
      <c r="P1002" s="39"/>
      <c r="Q1002" s="41"/>
      <c r="R1002" s="35" t="str">
        <f aca="true">IF(OR($B1002="",$Q1002=""),"",DATEDIF($Q1002,TODAY(),"Y"))</f>
        <v/>
      </c>
      <c r="S1002" s="40" t="str">
        <f aca="false">IF($R1002="","",INDEX(usia_label,MATCH($R1002,usia_min,1)))</f>
        <v/>
      </c>
      <c r="T1002" s="36"/>
      <c r="U1002" s="41"/>
      <c r="V1002" s="36"/>
      <c r="W1002" s="36"/>
      <c r="X1002" s="40" t="str">
        <f aca="false">IF($M1002="","",$M1002&amp;"#"&amp;COUNTIF($M$4:$M1002,$M1002))</f>
        <v/>
      </c>
      <c r="Y1002" s="40" t="str">
        <f aca="false">IF($B1002="","",IF($C1002="","NIK kosong",IF(LEN($C1002)&lt;&gt;16,"NIK bukan 16 digit",IF(COUNTIF($C$4:$C$2003,$C1002&amp;"*")&gt;1,"NIK ganda",IF(AND($D1002&lt;&gt;"",LEN($D1002)&lt;&gt;16),"No. KK bukan 16 digit",IF(AND($F1002="",$I1002=""),"Alamat kosong",IF($N1002="","Jabatan kosong",IF($O1002="","No. HP kosong",IF(AND($R1002&lt;&gt;"",$R1002&lt;17),"Usia di bawah 17","")))))))))</f>
        <v/>
      </c>
      <c r="Z1002" s="40" t="str">
        <f aca="false">IF($B1002="","",IF(AND(OR(CARI!$C$5="",ISNUMBER(SEARCH(CARI!$C$5,$B1002&amp;" "&amp;$C1002&amp;" "&amp;$D1002&amp;" "&amp;$O1002&amp;" "&amp;$I1002&amp;" "&amp;$F1002&amp;" "&amp;$J1002&amp;" "&amp;$K1002&amp;" "&amp;$L1002&amp;" "&amp;$V1002))),OR(CARI!$C$6="",$F1002=CARI!$C$6),OR(CARI!$C$7="",$G1002=CARI!$C$7),OR(CARI!$C$8="",$T1002=CARI!$C$8)),MAX($Z$3:Z1001)+1,""))</f>
        <v/>
      </c>
      <c r="AA1002" s="40" t="str">
        <f aca="false">IF($Y1002="","",MAX($AA$3:AA1001)+1)</f>
        <v/>
      </c>
      <c r="AB1002" s="40" t="str">
        <f aca="false">IF($F1002="","",$F1002&amp;"#"&amp;COUNTIF($F$4:$F1002,$F1002))</f>
        <v/>
      </c>
      <c r="AC1002" s="40" t="str">
        <f aca="false">IF($B1002="","",IF(AND(OR(CETAK!$J$10="",$F1002=CETAK!$J$10),OR(CETAK!$J$11="",$G1002=CETAK!$J$11),OR(CETAK!$J$12="",$P1002=CETAK!$J$12),OR(CETAK!$J$13="",$N1002=CETAK!$J$13),OR(CETAK!$J$14="",$T1002=CETAK!$J$14)),MAX($AC$3:AC1001)+1,""))</f>
        <v/>
      </c>
      <c r="AD1002" s="40" t="str">
        <f aca="false">IF($B1002="","",IF(AND(OR(ABSENSI!$H$10="",$F1002=ABSENSI!$H$10),OR(ABSENSI!$H$11="",$G1002=ABSENSI!$H$11),OR(ABSENSI!$H$12="",$P1002=ABSENSI!$H$12)),MAX($AD$3:AD1001)+1,""))</f>
        <v/>
      </c>
      <c r="AE1002" s="40" t="str">
        <f aca="false">IF($B1002="","",IF(AND(OR(KARTU!$K$6="",$F1002=KARTU!$K$6),OR(KARTU!$K$7="",$G1002=KARTU!$K$7),OR(KARTU!$K$8="",$P1002=KARTU!$K$8)),MAX($AE$3:AE1001)+1,""))</f>
        <v/>
      </c>
    </row>
    <row r="1003" customFormat="false" ht="15" hidden="false" customHeight="false" outlineLevel="0" collapsed="false">
      <c r="A1003" s="35" t="str">
        <f aca="false">IF($B1003="","",COUNTA($B$4:$B1003))</f>
        <v/>
      </c>
      <c r="B1003" s="36"/>
      <c r="C1003" s="37"/>
      <c r="D1003" s="37"/>
      <c r="E1003" s="38"/>
      <c r="F1003" s="36"/>
      <c r="G1003" s="39"/>
      <c r="H1003" s="39"/>
      <c r="I1003" s="36"/>
      <c r="J1003" s="36"/>
      <c r="K1003" s="36"/>
      <c r="L1003" s="36"/>
      <c r="M1003" s="40" t="str">
        <f aca="false">IF($F1003="","",$F1003&amp;IF($G1003="",""," - RT "&amp;$G1003&amp;IF($H1003="","","/"&amp;$H1003)))</f>
        <v/>
      </c>
      <c r="N1003" s="36"/>
      <c r="O1003" s="37"/>
      <c r="P1003" s="39"/>
      <c r="Q1003" s="41"/>
      <c r="R1003" s="35" t="str">
        <f aca="true">IF(OR($B1003="",$Q1003=""),"",DATEDIF($Q1003,TODAY(),"Y"))</f>
        <v/>
      </c>
      <c r="S1003" s="40" t="str">
        <f aca="false">IF($R1003="","",INDEX(usia_label,MATCH($R1003,usia_min,1)))</f>
        <v/>
      </c>
      <c r="T1003" s="36"/>
      <c r="U1003" s="41"/>
      <c r="V1003" s="36"/>
      <c r="W1003" s="36"/>
      <c r="X1003" s="40" t="str">
        <f aca="false">IF($M1003="","",$M1003&amp;"#"&amp;COUNTIF($M$4:$M1003,$M1003))</f>
        <v/>
      </c>
      <c r="Y1003" s="40" t="str">
        <f aca="false">IF($B1003="","",IF($C1003="","NIK kosong",IF(LEN($C1003)&lt;&gt;16,"NIK bukan 16 digit",IF(COUNTIF($C$4:$C$2003,$C1003&amp;"*")&gt;1,"NIK ganda",IF(AND($D1003&lt;&gt;"",LEN($D1003)&lt;&gt;16),"No. KK bukan 16 digit",IF(AND($F1003="",$I1003=""),"Alamat kosong",IF($N1003="","Jabatan kosong",IF($O1003="","No. HP kosong",IF(AND($R1003&lt;&gt;"",$R1003&lt;17),"Usia di bawah 17","")))))))))</f>
        <v/>
      </c>
      <c r="Z1003" s="40" t="str">
        <f aca="false">IF($B1003="","",IF(AND(OR(CARI!$C$5="",ISNUMBER(SEARCH(CARI!$C$5,$B1003&amp;" "&amp;$C1003&amp;" "&amp;$D1003&amp;" "&amp;$O1003&amp;" "&amp;$I1003&amp;" "&amp;$F1003&amp;" "&amp;$J1003&amp;" "&amp;$K1003&amp;" "&amp;$L1003&amp;" "&amp;$V1003))),OR(CARI!$C$6="",$F1003=CARI!$C$6),OR(CARI!$C$7="",$G1003=CARI!$C$7),OR(CARI!$C$8="",$T1003=CARI!$C$8)),MAX($Z$3:Z1002)+1,""))</f>
        <v/>
      </c>
      <c r="AA1003" s="40" t="str">
        <f aca="false">IF($Y1003="","",MAX($AA$3:AA1002)+1)</f>
        <v/>
      </c>
      <c r="AB1003" s="40" t="str">
        <f aca="false">IF($F1003="","",$F1003&amp;"#"&amp;COUNTIF($F$4:$F1003,$F1003))</f>
        <v/>
      </c>
      <c r="AC1003" s="40" t="str">
        <f aca="false">IF($B1003="","",IF(AND(OR(CETAK!$J$10="",$F1003=CETAK!$J$10),OR(CETAK!$J$11="",$G1003=CETAK!$J$11),OR(CETAK!$J$12="",$P1003=CETAK!$J$12),OR(CETAK!$J$13="",$N1003=CETAK!$J$13),OR(CETAK!$J$14="",$T1003=CETAK!$J$14)),MAX($AC$3:AC1002)+1,""))</f>
        <v/>
      </c>
      <c r="AD1003" s="40" t="str">
        <f aca="false">IF($B1003="","",IF(AND(OR(ABSENSI!$H$10="",$F1003=ABSENSI!$H$10),OR(ABSENSI!$H$11="",$G1003=ABSENSI!$H$11),OR(ABSENSI!$H$12="",$P1003=ABSENSI!$H$12)),MAX($AD$3:AD1002)+1,""))</f>
        <v/>
      </c>
      <c r="AE1003" s="40" t="str">
        <f aca="false">IF($B1003="","",IF(AND(OR(KARTU!$K$6="",$F1003=KARTU!$K$6),OR(KARTU!$K$7="",$G1003=KARTU!$K$7),OR(KARTU!$K$8="",$P1003=KARTU!$K$8)),MAX($AE$3:AE1002)+1,""))</f>
        <v/>
      </c>
    </row>
    <row r="1004" customFormat="false" ht="15" hidden="false" customHeight="false" outlineLevel="0" collapsed="false">
      <c r="A1004" s="35" t="str">
        <f aca="false">IF($B1004="","",COUNTA($B$4:$B1004))</f>
        <v/>
      </c>
      <c r="B1004" s="36"/>
      <c r="C1004" s="37"/>
      <c r="D1004" s="37"/>
      <c r="E1004" s="38"/>
      <c r="F1004" s="36"/>
      <c r="G1004" s="39"/>
      <c r="H1004" s="39"/>
      <c r="I1004" s="36"/>
      <c r="J1004" s="36"/>
      <c r="K1004" s="36"/>
      <c r="L1004" s="36"/>
      <c r="M1004" s="40" t="str">
        <f aca="false">IF($F1004="","",$F1004&amp;IF($G1004="",""," - RT "&amp;$G1004&amp;IF($H1004="","","/"&amp;$H1004)))</f>
        <v/>
      </c>
      <c r="N1004" s="36"/>
      <c r="O1004" s="37"/>
      <c r="P1004" s="39"/>
      <c r="Q1004" s="41"/>
      <c r="R1004" s="35" t="str">
        <f aca="true">IF(OR($B1004="",$Q1004=""),"",DATEDIF($Q1004,TODAY(),"Y"))</f>
        <v/>
      </c>
      <c r="S1004" s="40" t="str">
        <f aca="false">IF($R1004="","",INDEX(usia_label,MATCH($R1004,usia_min,1)))</f>
        <v/>
      </c>
      <c r="T1004" s="36"/>
      <c r="U1004" s="41"/>
      <c r="V1004" s="36"/>
      <c r="W1004" s="36"/>
      <c r="X1004" s="40" t="str">
        <f aca="false">IF($M1004="","",$M1004&amp;"#"&amp;COUNTIF($M$4:$M1004,$M1004))</f>
        <v/>
      </c>
      <c r="Y1004" s="40" t="str">
        <f aca="false">IF($B1004="","",IF($C1004="","NIK kosong",IF(LEN($C1004)&lt;&gt;16,"NIK bukan 16 digit",IF(COUNTIF($C$4:$C$2003,$C1004&amp;"*")&gt;1,"NIK ganda",IF(AND($D1004&lt;&gt;"",LEN($D1004)&lt;&gt;16),"No. KK bukan 16 digit",IF(AND($F1004="",$I1004=""),"Alamat kosong",IF($N1004="","Jabatan kosong",IF($O1004="","No. HP kosong",IF(AND($R1004&lt;&gt;"",$R1004&lt;17),"Usia di bawah 17","")))))))))</f>
        <v/>
      </c>
      <c r="Z1004" s="40" t="str">
        <f aca="false">IF($B1004="","",IF(AND(OR(CARI!$C$5="",ISNUMBER(SEARCH(CARI!$C$5,$B1004&amp;" "&amp;$C1004&amp;" "&amp;$D1004&amp;" "&amp;$O1004&amp;" "&amp;$I1004&amp;" "&amp;$F1004&amp;" "&amp;$J1004&amp;" "&amp;$K1004&amp;" "&amp;$L1004&amp;" "&amp;$V1004))),OR(CARI!$C$6="",$F1004=CARI!$C$6),OR(CARI!$C$7="",$G1004=CARI!$C$7),OR(CARI!$C$8="",$T1004=CARI!$C$8)),MAX($Z$3:Z1003)+1,""))</f>
        <v/>
      </c>
      <c r="AA1004" s="40" t="str">
        <f aca="false">IF($Y1004="","",MAX($AA$3:AA1003)+1)</f>
        <v/>
      </c>
      <c r="AB1004" s="40" t="str">
        <f aca="false">IF($F1004="","",$F1004&amp;"#"&amp;COUNTIF($F$4:$F1004,$F1004))</f>
        <v/>
      </c>
      <c r="AC1004" s="40" t="str">
        <f aca="false">IF($B1004="","",IF(AND(OR(CETAK!$J$10="",$F1004=CETAK!$J$10),OR(CETAK!$J$11="",$G1004=CETAK!$J$11),OR(CETAK!$J$12="",$P1004=CETAK!$J$12),OR(CETAK!$J$13="",$N1004=CETAK!$J$13),OR(CETAK!$J$14="",$T1004=CETAK!$J$14)),MAX($AC$3:AC1003)+1,""))</f>
        <v/>
      </c>
      <c r="AD1004" s="40" t="str">
        <f aca="false">IF($B1004="","",IF(AND(OR(ABSENSI!$H$10="",$F1004=ABSENSI!$H$10),OR(ABSENSI!$H$11="",$G1004=ABSENSI!$H$11),OR(ABSENSI!$H$12="",$P1004=ABSENSI!$H$12)),MAX($AD$3:AD1003)+1,""))</f>
        <v/>
      </c>
      <c r="AE1004" s="40" t="str">
        <f aca="false">IF($B1004="","",IF(AND(OR(KARTU!$K$6="",$F1004=KARTU!$K$6),OR(KARTU!$K$7="",$G1004=KARTU!$K$7),OR(KARTU!$K$8="",$P1004=KARTU!$K$8)),MAX($AE$3:AE1003)+1,""))</f>
        <v/>
      </c>
    </row>
    <row r="1005" customFormat="false" ht="15" hidden="false" customHeight="false" outlineLevel="0" collapsed="false">
      <c r="A1005" s="35" t="str">
        <f aca="false">IF($B1005="","",COUNTA($B$4:$B1005))</f>
        <v/>
      </c>
      <c r="B1005" s="36"/>
      <c r="C1005" s="37"/>
      <c r="D1005" s="37"/>
      <c r="E1005" s="38"/>
      <c r="F1005" s="36"/>
      <c r="G1005" s="39"/>
      <c r="H1005" s="39"/>
      <c r="I1005" s="36"/>
      <c r="J1005" s="36"/>
      <c r="K1005" s="36"/>
      <c r="L1005" s="36"/>
      <c r="M1005" s="40" t="str">
        <f aca="false">IF($F1005="","",$F1005&amp;IF($G1005="",""," - RT "&amp;$G1005&amp;IF($H1005="","","/"&amp;$H1005)))</f>
        <v/>
      </c>
      <c r="N1005" s="36"/>
      <c r="O1005" s="37"/>
      <c r="P1005" s="39"/>
      <c r="Q1005" s="41"/>
      <c r="R1005" s="35" t="str">
        <f aca="true">IF(OR($B1005="",$Q1005=""),"",DATEDIF($Q1005,TODAY(),"Y"))</f>
        <v/>
      </c>
      <c r="S1005" s="40" t="str">
        <f aca="false">IF($R1005="","",INDEX(usia_label,MATCH($R1005,usia_min,1)))</f>
        <v/>
      </c>
      <c r="T1005" s="36"/>
      <c r="U1005" s="41"/>
      <c r="V1005" s="36"/>
      <c r="W1005" s="36"/>
      <c r="X1005" s="40" t="str">
        <f aca="false">IF($M1005="","",$M1005&amp;"#"&amp;COUNTIF($M$4:$M1005,$M1005))</f>
        <v/>
      </c>
      <c r="Y1005" s="40" t="str">
        <f aca="false">IF($B1005="","",IF($C1005="","NIK kosong",IF(LEN($C1005)&lt;&gt;16,"NIK bukan 16 digit",IF(COUNTIF($C$4:$C$2003,$C1005&amp;"*")&gt;1,"NIK ganda",IF(AND($D1005&lt;&gt;"",LEN($D1005)&lt;&gt;16),"No. KK bukan 16 digit",IF(AND($F1005="",$I1005=""),"Alamat kosong",IF($N1005="","Jabatan kosong",IF($O1005="","No. HP kosong",IF(AND($R1005&lt;&gt;"",$R1005&lt;17),"Usia di bawah 17","")))))))))</f>
        <v/>
      </c>
      <c r="Z1005" s="40" t="str">
        <f aca="false">IF($B1005="","",IF(AND(OR(CARI!$C$5="",ISNUMBER(SEARCH(CARI!$C$5,$B1005&amp;" "&amp;$C1005&amp;" "&amp;$D1005&amp;" "&amp;$O1005&amp;" "&amp;$I1005&amp;" "&amp;$F1005&amp;" "&amp;$J1005&amp;" "&amp;$K1005&amp;" "&amp;$L1005&amp;" "&amp;$V1005))),OR(CARI!$C$6="",$F1005=CARI!$C$6),OR(CARI!$C$7="",$G1005=CARI!$C$7),OR(CARI!$C$8="",$T1005=CARI!$C$8)),MAX($Z$3:Z1004)+1,""))</f>
        <v/>
      </c>
      <c r="AA1005" s="40" t="str">
        <f aca="false">IF($Y1005="","",MAX($AA$3:AA1004)+1)</f>
        <v/>
      </c>
      <c r="AB1005" s="40" t="str">
        <f aca="false">IF($F1005="","",$F1005&amp;"#"&amp;COUNTIF($F$4:$F1005,$F1005))</f>
        <v/>
      </c>
      <c r="AC1005" s="40" t="str">
        <f aca="false">IF($B1005="","",IF(AND(OR(CETAK!$J$10="",$F1005=CETAK!$J$10),OR(CETAK!$J$11="",$G1005=CETAK!$J$11),OR(CETAK!$J$12="",$P1005=CETAK!$J$12),OR(CETAK!$J$13="",$N1005=CETAK!$J$13),OR(CETAK!$J$14="",$T1005=CETAK!$J$14)),MAX($AC$3:AC1004)+1,""))</f>
        <v/>
      </c>
      <c r="AD1005" s="40" t="str">
        <f aca="false">IF($B1005="","",IF(AND(OR(ABSENSI!$H$10="",$F1005=ABSENSI!$H$10),OR(ABSENSI!$H$11="",$G1005=ABSENSI!$H$11),OR(ABSENSI!$H$12="",$P1005=ABSENSI!$H$12)),MAX($AD$3:AD1004)+1,""))</f>
        <v/>
      </c>
      <c r="AE1005" s="40" t="str">
        <f aca="false">IF($B1005="","",IF(AND(OR(KARTU!$K$6="",$F1005=KARTU!$K$6),OR(KARTU!$K$7="",$G1005=KARTU!$K$7),OR(KARTU!$K$8="",$P1005=KARTU!$K$8)),MAX($AE$3:AE1004)+1,""))</f>
        <v/>
      </c>
    </row>
    <row r="1006" customFormat="false" ht="15" hidden="false" customHeight="false" outlineLevel="0" collapsed="false">
      <c r="A1006" s="35" t="str">
        <f aca="false">IF($B1006="","",COUNTA($B$4:$B1006))</f>
        <v/>
      </c>
      <c r="B1006" s="36"/>
      <c r="C1006" s="37"/>
      <c r="D1006" s="37"/>
      <c r="E1006" s="38"/>
      <c r="F1006" s="36"/>
      <c r="G1006" s="39"/>
      <c r="H1006" s="39"/>
      <c r="I1006" s="36"/>
      <c r="J1006" s="36"/>
      <c r="K1006" s="36"/>
      <c r="L1006" s="36"/>
      <c r="M1006" s="40" t="str">
        <f aca="false">IF($F1006="","",$F1006&amp;IF($G1006="",""," - RT "&amp;$G1006&amp;IF($H1006="","","/"&amp;$H1006)))</f>
        <v/>
      </c>
      <c r="N1006" s="36"/>
      <c r="O1006" s="37"/>
      <c r="P1006" s="39"/>
      <c r="Q1006" s="41"/>
      <c r="R1006" s="35" t="str">
        <f aca="true">IF(OR($B1006="",$Q1006=""),"",DATEDIF($Q1006,TODAY(),"Y"))</f>
        <v/>
      </c>
      <c r="S1006" s="40" t="str">
        <f aca="false">IF($R1006="","",INDEX(usia_label,MATCH($R1006,usia_min,1)))</f>
        <v/>
      </c>
      <c r="T1006" s="36"/>
      <c r="U1006" s="41"/>
      <c r="V1006" s="36"/>
      <c r="W1006" s="36"/>
      <c r="X1006" s="40" t="str">
        <f aca="false">IF($M1006="","",$M1006&amp;"#"&amp;COUNTIF($M$4:$M1006,$M1006))</f>
        <v/>
      </c>
      <c r="Y1006" s="40" t="str">
        <f aca="false">IF($B1006="","",IF($C1006="","NIK kosong",IF(LEN($C1006)&lt;&gt;16,"NIK bukan 16 digit",IF(COUNTIF($C$4:$C$2003,$C1006&amp;"*")&gt;1,"NIK ganda",IF(AND($D1006&lt;&gt;"",LEN($D1006)&lt;&gt;16),"No. KK bukan 16 digit",IF(AND($F1006="",$I1006=""),"Alamat kosong",IF($N1006="","Jabatan kosong",IF($O1006="","No. HP kosong",IF(AND($R1006&lt;&gt;"",$R1006&lt;17),"Usia di bawah 17","")))))))))</f>
        <v/>
      </c>
      <c r="Z1006" s="40" t="str">
        <f aca="false">IF($B1006="","",IF(AND(OR(CARI!$C$5="",ISNUMBER(SEARCH(CARI!$C$5,$B1006&amp;" "&amp;$C1006&amp;" "&amp;$D1006&amp;" "&amp;$O1006&amp;" "&amp;$I1006&amp;" "&amp;$F1006&amp;" "&amp;$J1006&amp;" "&amp;$K1006&amp;" "&amp;$L1006&amp;" "&amp;$V1006))),OR(CARI!$C$6="",$F1006=CARI!$C$6),OR(CARI!$C$7="",$G1006=CARI!$C$7),OR(CARI!$C$8="",$T1006=CARI!$C$8)),MAX($Z$3:Z1005)+1,""))</f>
        <v/>
      </c>
      <c r="AA1006" s="40" t="str">
        <f aca="false">IF($Y1006="","",MAX($AA$3:AA1005)+1)</f>
        <v/>
      </c>
      <c r="AB1006" s="40" t="str">
        <f aca="false">IF($F1006="","",$F1006&amp;"#"&amp;COUNTIF($F$4:$F1006,$F1006))</f>
        <v/>
      </c>
      <c r="AC1006" s="40" t="str">
        <f aca="false">IF($B1006="","",IF(AND(OR(CETAK!$J$10="",$F1006=CETAK!$J$10),OR(CETAK!$J$11="",$G1006=CETAK!$J$11),OR(CETAK!$J$12="",$P1006=CETAK!$J$12),OR(CETAK!$J$13="",$N1006=CETAK!$J$13),OR(CETAK!$J$14="",$T1006=CETAK!$J$14)),MAX($AC$3:AC1005)+1,""))</f>
        <v/>
      </c>
      <c r="AD1006" s="40" t="str">
        <f aca="false">IF($B1006="","",IF(AND(OR(ABSENSI!$H$10="",$F1006=ABSENSI!$H$10),OR(ABSENSI!$H$11="",$G1006=ABSENSI!$H$11),OR(ABSENSI!$H$12="",$P1006=ABSENSI!$H$12)),MAX($AD$3:AD1005)+1,""))</f>
        <v/>
      </c>
      <c r="AE1006" s="40" t="str">
        <f aca="false">IF($B1006="","",IF(AND(OR(KARTU!$K$6="",$F1006=KARTU!$K$6),OR(KARTU!$K$7="",$G1006=KARTU!$K$7),OR(KARTU!$K$8="",$P1006=KARTU!$K$8)),MAX($AE$3:AE1005)+1,""))</f>
        <v/>
      </c>
    </row>
    <row r="1007" customFormat="false" ht="15" hidden="false" customHeight="false" outlineLevel="0" collapsed="false">
      <c r="A1007" s="35" t="str">
        <f aca="false">IF($B1007="","",COUNTA($B$4:$B1007))</f>
        <v/>
      </c>
      <c r="B1007" s="36"/>
      <c r="C1007" s="37"/>
      <c r="D1007" s="37"/>
      <c r="E1007" s="38"/>
      <c r="F1007" s="36"/>
      <c r="G1007" s="39"/>
      <c r="H1007" s="39"/>
      <c r="I1007" s="36"/>
      <c r="J1007" s="36"/>
      <c r="K1007" s="36"/>
      <c r="L1007" s="36"/>
      <c r="M1007" s="40" t="str">
        <f aca="false">IF($F1007="","",$F1007&amp;IF($G1007="",""," - RT "&amp;$G1007&amp;IF($H1007="","","/"&amp;$H1007)))</f>
        <v/>
      </c>
      <c r="N1007" s="36"/>
      <c r="O1007" s="37"/>
      <c r="P1007" s="39"/>
      <c r="Q1007" s="41"/>
      <c r="R1007" s="35" t="str">
        <f aca="true">IF(OR($B1007="",$Q1007=""),"",DATEDIF($Q1007,TODAY(),"Y"))</f>
        <v/>
      </c>
      <c r="S1007" s="40" t="str">
        <f aca="false">IF($R1007="","",INDEX(usia_label,MATCH($R1007,usia_min,1)))</f>
        <v/>
      </c>
      <c r="T1007" s="36"/>
      <c r="U1007" s="41"/>
      <c r="V1007" s="36"/>
      <c r="W1007" s="36"/>
      <c r="X1007" s="40" t="str">
        <f aca="false">IF($M1007="","",$M1007&amp;"#"&amp;COUNTIF($M$4:$M1007,$M1007))</f>
        <v/>
      </c>
      <c r="Y1007" s="40" t="str">
        <f aca="false">IF($B1007="","",IF($C1007="","NIK kosong",IF(LEN($C1007)&lt;&gt;16,"NIK bukan 16 digit",IF(COUNTIF($C$4:$C$2003,$C1007&amp;"*")&gt;1,"NIK ganda",IF(AND($D1007&lt;&gt;"",LEN($D1007)&lt;&gt;16),"No. KK bukan 16 digit",IF(AND($F1007="",$I1007=""),"Alamat kosong",IF($N1007="","Jabatan kosong",IF($O1007="","No. HP kosong",IF(AND($R1007&lt;&gt;"",$R1007&lt;17),"Usia di bawah 17","")))))))))</f>
        <v/>
      </c>
      <c r="Z1007" s="40" t="str">
        <f aca="false">IF($B1007="","",IF(AND(OR(CARI!$C$5="",ISNUMBER(SEARCH(CARI!$C$5,$B1007&amp;" "&amp;$C1007&amp;" "&amp;$D1007&amp;" "&amp;$O1007&amp;" "&amp;$I1007&amp;" "&amp;$F1007&amp;" "&amp;$J1007&amp;" "&amp;$K1007&amp;" "&amp;$L1007&amp;" "&amp;$V1007))),OR(CARI!$C$6="",$F1007=CARI!$C$6),OR(CARI!$C$7="",$G1007=CARI!$C$7),OR(CARI!$C$8="",$T1007=CARI!$C$8)),MAX($Z$3:Z1006)+1,""))</f>
        <v/>
      </c>
      <c r="AA1007" s="40" t="str">
        <f aca="false">IF($Y1007="","",MAX($AA$3:AA1006)+1)</f>
        <v/>
      </c>
      <c r="AB1007" s="40" t="str">
        <f aca="false">IF($F1007="","",$F1007&amp;"#"&amp;COUNTIF($F$4:$F1007,$F1007))</f>
        <v/>
      </c>
      <c r="AC1007" s="40" t="str">
        <f aca="false">IF($B1007="","",IF(AND(OR(CETAK!$J$10="",$F1007=CETAK!$J$10),OR(CETAK!$J$11="",$G1007=CETAK!$J$11),OR(CETAK!$J$12="",$P1007=CETAK!$J$12),OR(CETAK!$J$13="",$N1007=CETAK!$J$13),OR(CETAK!$J$14="",$T1007=CETAK!$J$14)),MAX($AC$3:AC1006)+1,""))</f>
        <v/>
      </c>
      <c r="AD1007" s="40" t="str">
        <f aca="false">IF($B1007="","",IF(AND(OR(ABSENSI!$H$10="",$F1007=ABSENSI!$H$10),OR(ABSENSI!$H$11="",$G1007=ABSENSI!$H$11),OR(ABSENSI!$H$12="",$P1007=ABSENSI!$H$12)),MAX($AD$3:AD1006)+1,""))</f>
        <v/>
      </c>
      <c r="AE1007" s="40" t="str">
        <f aca="false">IF($B1007="","",IF(AND(OR(KARTU!$K$6="",$F1007=KARTU!$K$6),OR(KARTU!$K$7="",$G1007=KARTU!$K$7),OR(KARTU!$K$8="",$P1007=KARTU!$K$8)),MAX($AE$3:AE1006)+1,""))</f>
        <v/>
      </c>
    </row>
    <row r="1008" customFormat="false" ht="15" hidden="false" customHeight="false" outlineLevel="0" collapsed="false">
      <c r="A1008" s="35" t="str">
        <f aca="false">IF($B1008="","",COUNTA($B$4:$B1008))</f>
        <v/>
      </c>
      <c r="B1008" s="36"/>
      <c r="C1008" s="37"/>
      <c r="D1008" s="37"/>
      <c r="E1008" s="38"/>
      <c r="F1008" s="36"/>
      <c r="G1008" s="39"/>
      <c r="H1008" s="39"/>
      <c r="I1008" s="36"/>
      <c r="J1008" s="36"/>
      <c r="K1008" s="36"/>
      <c r="L1008" s="36"/>
      <c r="M1008" s="40" t="str">
        <f aca="false">IF($F1008="","",$F1008&amp;IF($G1008="",""," - RT "&amp;$G1008&amp;IF($H1008="","","/"&amp;$H1008)))</f>
        <v/>
      </c>
      <c r="N1008" s="36"/>
      <c r="O1008" s="37"/>
      <c r="P1008" s="39"/>
      <c r="Q1008" s="41"/>
      <c r="R1008" s="35" t="str">
        <f aca="true">IF(OR($B1008="",$Q1008=""),"",DATEDIF($Q1008,TODAY(),"Y"))</f>
        <v/>
      </c>
      <c r="S1008" s="40" t="str">
        <f aca="false">IF($R1008="","",INDEX(usia_label,MATCH($R1008,usia_min,1)))</f>
        <v/>
      </c>
      <c r="T1008" s="36"/>
      <c r="U1008" s="41"/>
      <c r="V1008" s="36"/>
      <c r="W1008" s="36"/>
      <c r="X1008" s="40" t="str">
        <f aca="false">IF($M1008="","",$M1008&amp;"#"&amp;COUNTIF($M$4:$M1008,$M1008))</f>
        <v/>
      </c>
      <c r="Y1008" s="40" t="str">
        <f aca="false">IF($B1008="","",IF($C1008="","NIK kosong",IF(LEN($C1008)&lt;&gt;16,"NIK bukan 16 digit",IF(COUNTIF($C$4:$C$2003,$C1008&amp;"*")&gt;1,"NIK ganda",IF(AND($D1008&lt;&gt;"",LEN($D1008)&lt;&gt;16),"No. KK bukan 16 digit",IF(AND($F1008="",$I1008=""),"Alamat kosong",IF($N1008="","Jabatan kosong",IF($O1008="","No. HP kosong",IF(AND($R1008&lt;&gt;"",$R1008&lt;17),"Usia di bawah 17","")))))))))</f>
        <v/>
      </c>
      <c r="Z1008" s="40" t="str">
        <f aca="false">IF($B1008="","",IF(AND(OR(CARI!$C$5="",ISNUMBER(SEARCH(CARI!$C$5,$B1008&amp;" "&amp;$C1008&amp;" "&amp;$D1008&amp;" "&amp;$O1008&amp;" "&amp;$I1008&amp;" "&amp;$F1008&amp;" "&amp;$J1008&amp;" "&amp;$K1008&amp;" "&amp;$L1008&amp;" "&amp;$V1008))),OR(CARI!$C$6="",$F1008=CARI!$C$6),OR(CARI!$C$7="",$G1008=CARI!$C$7),OR(CARI!$C$8="",$T1008=CARI!$C$8)),MAX($Z$3:Z1007)+1,""))</f>
        <v/>
      </c>
      <c r="AA1008" s="40" t="str">
        <f aca="false">IF($Y1008="","",MAX($AA$3:AA1007)+1)</f>
        <v/>
      </c>
      <c r="AB1008" s="40" t="str">
        <f aca="false">IF($F1008="","",$F1008&amp;"#"&amp;COUNTIF($F$4:$F1008,$F1008))</f>
        <v/>
      </c>
      <c r="AC1008" s="40" t="str">
        <f aca="false">IF($B1008="","",IF(AND(OR(CETAK!$J$10="",$F1008=CETAK!$J$10),OR(CETAK!$J$11="",$G1008=CETAK!$J$11),OR(CETAK!$J$12="",$P1008=CETAK!$J$12),OR(CETAK!$J$13="",$N1008=CETAK!$J$13),OR(CETAK!$J$14="",$T1008=CETAK!$J$14)),MAX($AC$3:AC1007)+1,""))</f>
        <v/>
      </c>
      <c r="AD1008" s="40" t="str">
        <f aca="false">IF($B1008="","",IF(AND(OR(ABSENSI!$H$10="",$F1008=ABSENSI!$H$10),OR(ABSENSI!$H$11="",$G1008=ABSENSI!$H$11),OR(ABSENSI!$H$12="",$P1008=ABSENSI!$H$12)),MAX($AD$3:AD1007)+1,""))</f>
        <v/>
      </c>
      <c r="AE1008" s="40" t="str">
        <f aca="false">IF($B1008="","",IF(AND(OR(KARTU!$K$6="",$F1008=KARTU!$K$6),OR(KARTU!$K$7="",$G1008=KARTU!$K$7),OR(KARTU!$K$8="",$P1008=KARTU!$K$8)),MAX($AE$3:AE1007)+1,""))</f>
        <v/>
      </c>
    </row>
    <row r="1009" customFormat="false" ht="15" hidden="false" customHeight="false" outlineLevel="0" collapsed="false">
      <c r="A1009" s="35" t="str">
        <f aca="false">IF($B1009="","",COUNTA($B$4:$B1009))</f>
        <v/>
      </c>
      <c r="B1009" s="36"/>
      <c r="C1009" s="37"/>
      <c r="D1009" s="37"/>
      <c r="E1009" s="38"/>
      <c r="F1009" s="36"/>
      <c r="G1009" s="39"/>
      <c r="H1009" s="39"/>
      <c r="I1009" s="36"/>
      <c r="J1009" s="36"/>
      <c r="K1009" s="36"/>
      <c r="L1009" s="36"/>
      <c r="M1009" s="40" t="str">
        <f aca="false">IF($F1009="","",$F1009&amp;IF($G1009="",""," - RT "&amp;$G1009&amp;IF($H1009="","","/"&amp;$H1009)))</f>
        <v/>
      </c>
      <c r="N1009" s="36"/>
      <c r="O1009" s="37"/>
      <c r="P1009" s="39"/>
      <c r="Q1009" s="41"/>
      <c r="R1009" s="35" t="str">
        <f aca="true">IF(OR($B1009="",$Q1009=""),"",DATEDIF($Q1009,TODAY(),"Y"))</f>
        <v/>
      </c>
      <c r="S1009" s="40" t="str">
        <f aca="false">IF($R1009="","",INDEX(usia_label,MATCH($R1009,usia_min,1)))</f>
        <v/>
      </c>
      <c r="T1009" s="36"/>
      <c r="U1009" s="41"/>
      <c r="V1009" s="36"/>
      <c r="W1009" s="36"/>
      <c r="X1009" s="40" t="str">
        <f aca="false">IF($M1009="","",$M1009&amp;"#"&amp;COUNTIF($M$4:$M1009,$M1009))</f>
        <v/>
      </c>
      <c r="Y1009" s="40" t="str">
        <f aca="false">IF($B1009="","",IF($C1009="","NIK kosong",IF(LEN($C1009)&lt;&gt;16,"NIK bukan 16 digit",IF(COUNTIF($C$4:$C$2003,$C1009&amp;"*")&gt;1,"NIK ganda",IF(AND($D1009&lt;&gt;"",LEN($D1009)&lt;&gt;16),"No. KK bukan 16 digit",IF(AND($F1009="",$I1009=""),"Alamat kosong",IF($N1009="","Jabatan kosong",IF($O1009="","No. HP kosong",IF(AND($R1009&lt;&gt;"",$R1009&lt;17),"Usia di bawah 17","")))))))))</f>
        <v/>
      </c>
      <c r="Z1009" s="40" t="str">
        <f aca="false">IF($B1009="","",IF(AND(OR(CARI!$C$5="",ISNUMBER(SEARCH(CARI!$C$5,$B1009&amp;" "&amp;$C1009&amp;" "&amp;$D1009&amp;" "&amp;$O1009&amp;" "&amp;$I1009&amp;" "&amp;$F1009&amp;" "&amp;$J1009&amp;" "&amp;$K1009&amp;" "&amp;$L1009&amp;" "&amp;$V1009))),OR(CARI!$C$6="",$F1009=CARI!$C$6),OR(CARI!$C$7="",$G1009=CARI!$C$7),OR(CARI!$C$8="",$T1009=CARI!$C$8)),MAX($Z$3:Z1008)+1,""))</f>
        <v/>
      </c>
      <c r="AA1009" s="40" t="str">
        <f aca="false">IF($Y1009="","",MAX($AA$3:AA1008)+1)</f>
        <v/>
      </c>
      <c r="AB1009" s="40" t="str">
        <f aca="false">IF($F1009="","",$F1009&amp;"#"&amp;COUNTIF($F$4:$F1009,$F1009))</f>
        <v/>
      </c>
      <c r="AC1009" s="40" t="str">
        <f aca="false">IF($B1009="","",IF(AND(OR(CETAK!$J$10="",$F1009=CETAK!$J$10),OR(CETAK!$J$11="",$G1009=CETAK!$J$11),OR(CETAK!$J$12="",$P1009=CETAK!$J$12),OR(CETAK!$J$13="",$N1009=CETAK!$J$13),OR(CETAK!$J$14="",$T1009=CETAK!$J$14)),MAX($AC$3:AC1008)+1,""))</f>
        <v/>
      </c>
      <c r="AD1009" s="40" t="str">
        <f aca="false">IF($B1009="","",IF(AND(OR(ABSENSI!$H$10="",$F1009=ABSENSI!$H$10),OR(ABSENSI!$H$11="",$G1009=ABSENSI!$H$11),OR(ABSENSI!$H$12="",$P1009=ABSENSI!$H$12)),MAX($AD$3:AD1008)+1,""))</f>
        <v/>
      </c>
      <c r="AE1009" s="40" t="str">
        <f aca="false">IF($B1009="","",IF(AND(OR(KARTU!$K$6="",$F1009=KARTU!$K$6),OR(KARTU!$K$7="",$G1009=KARTU!$K$7),OR(KARTU!$K$8="",$P1009=KARTU!$K$8)),MAX($AE$3:AE1008)+1,""))</f>
        <v/>
      </c>
    </row>
    <row r="1010" customFormat="false" ht="15" hidden="false" customHeight="false" outlineLevel="0" collapsed="false">
      <c r="A1010" s="35" t="str">
        <f aca="false">IF($B1010="","",COUNTA($B$4:$B1010))</f>
        <v/>
      </c>
      <c r="B1010" s="36"/>
      <c r="C1010" s="37"/>
      <c r="D1010" s="37"/>
      <c r="E1010" s="38"/>
      <c r="F1010" s="36"/>
      <c r="G1010" s="39"/>
      <c r="H1010" s="39"/>
      <c r="I1010" s="36"/>
      <c r="J1010" s="36"/>
      <c r="K1010" s="36"/>
      <c r="L1010" s="36"/>
      <c r="M1010" s="40" t="str">
        <f aca="false">IF($F1010="","",$F1010&amp;IF($G1010="",""," - RT "&amp;$G1010&amp;IF($H1010="","","/"&amp;$H1010)))</f>
        <v/>
      </c>
      <c r="N1010" s="36"/>
      <c r="O1010" s="37"/>
      <c r="P1010" s="39"/>
      <c r="Q1010" s="41"/>
      <c r="R1010" s="35" t="str">
        <f aca="true">IF(OR($B1010="",$Q1010=""),"",DATEDIF($Q1010,TODAY(),"Y"))</f>
        <v/>
      </c>
      <c r="S1010" s="40" t="str">
        <f aca="false">IF($R1010="","",INDEX(usia_label,MATCH($R1010,usia_min,1)))</f>
        <v/>
      </c>
      <c r="T1010" s="36"/>
      <c r="U1010" s="41"/>
      <c r="V1010" s="36"/>
      <c r="W1010" s="36"/>
      <c r="X1010" s="40" t="str">
        <f aca="false">IF($M1010="","",$M1010&amp;"#"&amp;COUNTIF($M$4:$M1010,$M1010))</f>
        <v/>
      </c>
      <c r="Y1010" s="40" t="str">
        <f aca="false">IF($B1010="","",IF($C1010="","NIK kosong",IF(LEN($C1010)&lt;&gt;16,"NIK bukan 16 digit",IF(COUNTIF($C$4:$C$2003,$C1010&amp;"*")&gt;1,"NIK ganda",IF(AND($D1010&lt;&gt;"",LEN($D1010)&lt;&gt;16),"No. KK bukan 16 digit",IF(AND($F1010="",$I1010=""),"Alamat kosong",IF($N1010="","Jabatan kosong",IF($O1010="","No. HP kosong",IF(AND($R1010&lt;&gt;"",$R1010&lt;17),"Usia di bawah 17","")))))))))</f>
        <v/>
      </c>
      <c r="Z1010" s="40" t="str">
        <f aca="false">IF($B1010="","",IF(AND(OR(CARI!$C$5="",ISNUMBER(SEARCH(CARI!$C$5,$B1010&amp;" "&amp;$C1010&amp;" "&amp;$D1010&amp;" "&amp;$O1010&amp;" "&amp;$I1010&amp;" "&amp;$F1010&amp;" "&amp;$J1010&amp;" "&amp;$K1010&amp;" "&amp;$L1010&amp;" "&amp;$V1010))),OR(CARI!$C$6="",$F1010=CARI!$C$6),OR(CARI!$C$7="",$G1010=CARI!$C$7),OR(CARI!$C$8="",$T1010=CARI!$C$8)),MAX($Z$3:Z1009)+1,""))</f>
        <v/>
      </c>
      <c r="AA1010" s="40" t="str">
        <f aca="false">IF($Y1010="","",MAX($AA$3:AA1009)+1)</f>
        <v/>
      </c>
      <c r="AB1010" s="40" t="str">
        <f aca="false">IF($F1010="","",$F1010&amp;"#"&amp;COUNTIF($F$4:$F1010,$F1010))</f>
        <v/>
      </c>
      <c r="AC1010" s="40" t="str">
        <f aca="false">IF($B1010="","",IF(AND(OR(CETAK!$J$10="",$F1010=CETAK!$J$10),OR(CETAK!$J$11="",$G1010=CETAK!$J$11),OR(CETAK!$J$12="",$P1010=CETAK!$J$12),OR(CETAK!$J$13="",$N1010=CETAK!$J$13),OR(CETAK!$J$14="",$T1010=CETAK!$J$14)),MAX($AC$3:AC1009)+1,""))</f>
        <v/>
      </c>
      <c r="AD1010" s="40" t="str">
        <f aca="false">IF($B1010="","",IF(AND(OR(ABSENSI!$H$10="",$F1010=ABSENSI!$H$10),OR(ABSENSI!$H$11="",$G1010=ABSENSI!$H$11),OR(ABSENSI!$H$12="",$P1010=ABSENSI!$H$12)),MAX($AD$3:AD1009)+1,""))</f>
        <v/>
      </c>
      <c r="AE1010" s="40" t="str">
        <f aca="false">IF($B1010="","",IF(AND(OR(KARTU!$K$6="",$F1010=KARTU!$K$6),OR(KARTU!$K$7="",$G1010=KARTU!$K$7),OR(KARTU!$K$8="",$P1010=KARTU!$K$8)),MAX($AE$3:AE1009)+1,""))</f>
        <v/>
      </c>
    </row>
    <row r="1011" customFormat="false" ht="15" hidden="false" customHeight="false" outlineLevel="0" collapsed="false">
      <c r="A1011" s="35" t="str">
        <f aca="false">IF($B1011="","",COUNTA($B$4:$B1011))</f>
        <v/>
      </c>
      <c r="B1011" s="36"/>
      <c r="C1011" s="37"/>
      <c r="D1011" s="37"/>
      <c r="E1011" s="38"/>
      <c r="F1011" s="36"/>
      <c r="G1011" s="39"/>
      <c r="H1011" s="39"/>
      <c r="I1011" s="36"/>
      <c r="J1011" s="36"/>
      <c r="K1011" s="36"/>
      <c r="L1011" s="36"/>
      <c r="M1011" s="40" t="str">
        <f aca="false">IF($F1011="","",$F1011&amp;IF($G1011="",""," - RT "&amp;$G1011&amp;IF($H1011="","","/"&amp;$H1011)))</f>
        <v/>
      </c>
      <c r="N1011" s="36"/>
      <c r="O1011" s="37"/>
      <c r="P1011" s="39"/>
      <c r="Q1011" s="41"/>
      <c r="R1011" s="35" t="str">
        <f aca="true">IF(OR($B1011="",$Q1011=""),"",DATEDIF($Q1011,TODAY(),"Y"))</f>
        <v/>
      </c>
      <c r="S1011" s="40" t="str">
        <f aca="false">IF($R1011="","",INDEX(usia_label,MATCH($R1011,usia_min,1)))</f>
        <v/>
      </c>
      <c r="T1011" s="36"/>
      <c r="U1011" s="41"/>
      <c r="V1011" s="36"/>
      <c r="W1011" s="36"/>
      <c r="X1011" s="40" t="str">
        <f aca="false">IF($M1011="","",$M1011&amp;"#"&amp;COUNTIF($M$4:$M1011,$M1011))</f>
        <v/>
      </c>
      <c r="Y1011" s="40" t="str">
        <f aca="false">IF($B1011="","",IF($C1011="","NIK kosong",IF(LEN($C1011)&lt;&gt;16,"NIK bukan 16 digit",IF(COUNTIF($C$4:$C$2003,$C1011&amp;"*")&gt;1,"NIK ganda",IF(AND($D1011&lt;&gt;"",LEN($D1011)&lt;&gt;16),"No. KK bukan 16 digit",IF(AND($F1011="",$I1011=""),"Alamat kosong",IF($N1011="","Jabatan kosong",IF($O1011="","No. HP kosong",IF(AND($R1011&lt;&gt;"",$R1011&lt;17),"Usia di bawah 17","")))))))))</f>
        <v/>
      </c>
      <c r="Z1011" s="40" t="str">
        <f aca="false">IF($B1011="","",IF(AND(OR(CARI!$C$5="",ISNUMBER(SEARCH(CARI!$C$5,$B1011&amp;" "&amp;$C1011&amp;" "&amp;$D1011&amp;" "&amp;$O1011&amp;" "&amp;$I1011&amp;" "&amp;$F1011&amp;" "&amp;$J1011&amp;" "&amp;$K1011&amp;" "&amp;$L1011&amp;" "&amp;$V1011))),OR(CARI!$C$6="",$F1011=CARI!$C$6),OR(CARI!$C$7="",$G1011=CARI!$C$7),OR(CARI!$C$8="",$T1011=CARI!$C$8)),MAX($Z$3:Z1010)+1,""))</f>
        <v/>
      </c>
      <c r="AA1011" s="40" t="str">
        <f aca="false">IF($Y1011="","",MAX($AA$3:AA1010)+1)</f>
        <v/>
      </c>
      <c r="AB1011" s="40" t="str">
        <f aca="false">IF($F1011="","",$F1011&amp;"#"&amp;COUNTIF($F$4:$F1011,$F1011))</f>
        <v/>
      </c>
      <c r="AC1011" s="40" t="str">
        <f aca="false">IF($B1011="","",IF(AND(OR(CETAK!$J$10="",$F1011=CETAK!$J$10),OR(CETAK!$J$11="",$G1011=CETAK!$J$11),OR(CETAK!$J$12="",$P1011=CETAK!$J$12),OR(CETAK!$J$13="",$N1011=CETAK!$J$13),OR(CETAK!$J$14="",$T1011=CETAK!$J$14)),MAX($AC$3:AC1010)+1,""))</f>
        <v/>
      </c>
      <c r="AD1011" s="40" t="str">
        <f aca="false">IF($B1011="","",IF(AND(OR(ABSENSI!$H$10="",$F1011=ABSENSI!$H$10),OR(ABSENSI!$H$11="",$G1011=ABSENSI!$H$11),OR(ABSENSI!$H$12="",$P1011=ABSENSI!$H$12)),MAX($AD$3:AD1010)+1,""))</f>
        <v/>
      </c>
      <c r="AE1011" s="40" t="str">
        <f aca="false">IF($B1011="","",IF(AND(OR(KARTU!$K$6="",$F1011=KARTU!$K$6),OR(KARTU!$K$7="",$G1011=KARTU!$K$7),OR(KARTU!$K$8="",$P1011=KARTU!$K$8)),MAX($AE$3:AE1010)+1,""))</f>
        <v/>
      </c>
    </row>
    <row r="1012" customFormat="false" ht="15" hidden="false" customHeight="false" outlineLevel="0" collapsed="false">
      <c r="A1012" s="35" t="str">
        <f aca="false">IF($B1012="","",COUNTA($B$4:$B1012))</f>
        <v/>
      </c>
      <c r="B1012" s="36"/>
      <c r="C1012" s="37"/>
      <c r="D1012" s="37"/>
      <c r="E1012" s="38"/>
      <c r="F1012" s="36"/>
      <c r="G1012" s="39"/>
      <c r="H1012" s="39"/>
      <c r="I1012" s="36"/>
      <c r="J1012" s="36"/>
      <c r="K1012" s="36"/>
      <c r="L1012" s="36"/>
      <c r="M1012" s="40" t="str">
        <f aca="false">IF($F1012="","",$F1012&amp;IF($G1012="",""," - RT "&amp;$G1012&amp;IF($H1012="","","/"&amp;$H1012)))</f>
        <v/>
      </c>
      <c r="N1012" s="36"/>
      <c r="O1012" s="37"/>
      <c r="P1012" s="39"/>
      <c r="Q1012" s="41"/>
      <c r="R1012" s="35" t="str">
        <f aca="true">IF(OR($B1012="",$Q1012=""),"",DATEDIF($Q1012,TODAY(),"Y"))</f>
        <v/>
      </c>
      <c r="S1012" s="40" t="str">
        <f aca="false">IF($R1012="","",INDEX(usia_label,MATCH($R1012,usia_min,1)))</f>
        <v/>
      </c>
      <c r="T1012" s="36"/>
      <c r="U1012" s="41"/>
      <c r="V1012" s="36"/>
      <c r="W1012" s="36"/>
      <c r="X1012" s="40" t="str">
        <f aca="false">IF($M1012="","",$M1012&amp;"#"&amp;COUNTIF($M$4:$M1012,$M1012))</f>
        <v/>
      </c>
      <c r="Y1012" s="40" t="str">
        <f aca="false">IF($B1012="","",IF($C1012="","NIK kosong",IF(LEN($C1012)&lt;&gt;16,"NIK bukan 16 digit",IF(COUNTIF($C$4:$C$2003,$C1012&amp;"*")&gt;1,"NIK ganda",IF(AND($D1012&lt;&gt;"",LEN($D1012)&lt;&gt;16),"No. KK bukan 16 digit",IF(AND($F1012="",$I1012=""),"Alamat kosong",IF($N1012="","Jabatan kosong",IF($O1012="","No. HP kosong",IF(AND($R1012&lt;&gt;"",$R1012&lt;17),"Usia di bawah 17","")))))))))</f>
        <v/>
      </c>
      <c r="Z1012" s="40" t="str">
        <f aca="false">IF($B1012="","",IF(AND(OR(CARI!$C$5="",ISNUMBER(SEARCH(CARI!$C$5,$B1012&amp;" "&amp;$C1012&amp;" "&amp;$D1012&amp;" "&amp;$O1012&amp;" "&amp;$I1012&amp;" "&amp;$F1012&amp;" "&amp;$J1012&amp;" "&amp;$K1012&amp;" "&amp;$L1012&amp;" "&amp;$V1012))),OR(CARI!$C$6="",$F1012=CARI!$C$6),OR(CARI!$C$7="",$G1012=CARI!$C$7),OR(CARI!$C$8="",$T1012=CARI!$C$8)),MAX($Z$3:Z1011)+1,""))</f>
        <v/>
      </c>
      <c r="AA1012" s="40" t="str">
        <f aca="false">IF($Y1012="","",MAX($AA$3:AA1011)+1)</f>
        <v/>
      </c>
      <c r="AB1012" s="40" t="str">
        <f aca="false">IF($F1012="","",$F1012&amp;"#"&amp;COUNTIF($F$4:$F1012,$F1012))</f>
        <v/>
      </c>
      <c r="AC1012" s="40" t="str">
        <f aca="false">IF($B1012="","",IF(AND(OR(CETAK!$J$10="",$F1012=CETAK!$J$10),OR(CETAK!$J$11="",$G1012=CETAK!$J$11),OR(CETAK!$J$12="",$P1012=CETAK!$J$12),OR(CETAK!$J$13="",$N1012=CETAK!$J$13),OR(CETAK!$J$14="",$T1012=CETAK!$J$14)),MAX($AC$3:AC1011)+1,""))</f>
        <v/>
      </c>
      <c r="AD1012" s="40" t="str">
        <f aca="false">IF($B1012="","",IF(AND(OR(ABSENSI!$H$10="",$F1012=ABSENSI!$H$10),OR(ABSENSI!$H$11="",$G1012=ABSENSI!$H$11),OR(ABSENSI!$H$12="",$P1012=ABSENSI!$H$12)),MAX($AD$3:AD1011)+1,""))</f>
        <v/>
      </c>
      <c r="AE1012" s="40" t="str">
        <f aca="false">IF($B1012="","",IF(AND(OR(KARTU!$K$6="",$F1012=KARTU!$K$6),OR(KARTU!$K$7="",$G1012=KARTU!$K$7),OR(KARTU!$K$8="",$P1012=KARTU!$K$8)),MAX($AE$3:AE1011)+1,""))</f>
        <v/>
      </c>
    </row>
    <row r="1013" customFormat="false" ht="15" hidden="false" customHeight="false" outlineLevel="0" collapsed="false">
      <c r="A1013" s="35" t="str">
        <f aca="false">IF($B1013="","",COUNTA($B$4:$B1013))</f>
        <v/>
      </c>
      <c r="B1013" s="36"/>
      <c r="C1013" s="37"/>
      <c r="D1013" s="37"/>
      <c r="E1013" s="38"/>
      <c r="F1013" s="36"/>
      <c r="G1013" s="39"/>
      <c r="H1013" s="39"/>
      <c r="I1013" s="36"/>
      <c r="J1013" s="36"/>
      <c r="K1013" s="36"/>
      <c r="L1013" s="36"/>
      <c r="M1013" s="40" t="str">
        <f aca="false">IF($F1013="","",$F1013&amp;IF($G1013="",""," - RT "&amp;$G1013&amp;IF($H1013="","","/"&amp;$H1013)))</f>
        <v/>
      </c>
      <c r="N1013" s="36"/>
      <c r="O1013" s="37"/>
      <c r="P1013" s="39"/>
      <c r="Q1013" s="41"/>
      <c r="R1013" s="35" t="str">
        <f aca="true">IF(OR($B1013="",$Q1013=""),"",DATEDIF($Q1013,TODAY(),"Y"))</f>
        <v/>
      </c>
      <c r="S1013" s="40" t="str">
        <f aca="false">IF($R1013="","",INDEX(usia_label,MATCH($R1013,usia_min,1)))</f>
        <v/>
      </c>
      <c r="T1013" s="36"/>
      <c r="U1013" s="41"/>
      <c r="V1013" s="36"/>
      <c r="W1013" s="36"/>
      <c r="X1013" s="40" t="str">
        <f aca="false">IF($M1013="","",$M1013&amp;"#"&amp;COUNTIF($M$4:$M1013,$M1013))</f>
        <v/>
      </c>
      <c r="Y1013" s="40" t="str">
        <f aca="false">IF($B1013="","",IF($C1013="","NIK kosong",IF(LEN($C1013)&lt;&gt;16,"NIK bukan 16 digit",IF(COUNTIF($C$4:$C$2003,$C1013&amp;"*")&gt;1,"NIK ganda",IF(AND($D1013&lt;&gt;"",LEN($D1013)&lt;&gt;16),"No. KK bukan 16 digit",IF(AND($F1013="",$I1013=""),"Alamat kosong",IF($N1013="","Jabatan kosong",IF($O1013="","No. HP kosong",IF(AND($R1013&lt;&gt;"",$R1013&lt;17),"Usia di bawah 17","")))))))))</f>
        <v/>
      </c>
      <c r="Z1013" s="40" t="str">
        <f aca="false">IF($B1013="","",IF(AND(OR(CARI!$C$5="",ISNUMBER(SEARCH(CARI!$C$5,$B1013&amp;" "&amp;$C1013&amp;" "&amp;$D1013&amp;" "&amp;$O1013&amp;" "&amp;$I1013&amp;" "&amp;$F1013&amp;" "&amp;$J1013&amp;" "&amp;$K1013&amp;" "&amp;$L1013&amp;" "&amp;$V1013))),OR(CARI!$C$6="",$F1013=CARI!$C$6),OR(CARI!$C$7="",$G1013=CARI!$C$7),OR(CARI!$C$8="",$T1013=CARI!$C$8)),MAX($Z$3:Z1012)+1,""))</f>
        <v/>
      </c>
      <c r="AA1013" s="40" t="str">
        <f aca="false">IF($Y1013="","",MAX($AA$3:AA1012)+1)</f>
        <v/>
      </c>
      <c r="AB1013" s="40" t="str">
        <f aca="false">IF($F1013="","",$F1013&amp;"#"&amp;COUNTIF($F$4:$F1013,$F1013))</f>
        <v/>
      </c>
      <c r="AC1013" s="40" t="str">
        <f aca="false">IF($B1013="","",IF(AND(OR(CETAK!$J$10="",$F1013=CETAK!$J$10),OR(CETAK!$J$11="",$G1013=CETAK!$J$11),OR(CETAK!$J$12="",$P1013=CETAK!$J$12),OR(CETAK!$J$13="",$N1013=CETAK!$J$13),OR(CETAK!$J$14="",$T1013=CETAK!$J$14)),MAX($AC$3:AC1012)+1,""))</f>
        <v/>
      </c>
      <c r="AD1013" s="40" t="str">
        <f aca="false">IF($B1013="","",IF(AND(OR(ABSENSI!$H$10="",$F1013=ABSENSI!$H$10),OR(ABSENSI!$H$11="",$G1013=ABSENSI!$H$11),OR(ABSENSI!$H$12="",$P1013=ABSENSI!$H$12)),MAX($AD$3:AD1012)+1,""))</f>
        <v/>
      </c>
      <c r="AE1013" s="40" t="str">
        <f aca="false">IF($B1013="","",IF(AND(OR(KARTU!$K$6="",$F1013=KARTU!$K$6),OR(KARTU!$K$7="",$G1013=KARTU!$K$7),OR(KARTU!$K$8="",$P1013=KARTU!$K$8)),MAX($AE$3:AE1012)+1,""))</f>
        <v/>
      </c>
    </row>
    <row r="1014" customFormat="false" ht="15" hidden="false" customHeight="false" outlineLevel="0" collapsed="false">
      <c r="A1014" s="35" t="str">
        <f aca="false">IF($B1014="","",COUNTA($B$4:$B1014))</f>
        <v/>
      </c>
      <c r="B1014" s="36"/>
      <c r="C1014" s="37"/>
      <c r="D1014" s="37"/>
      <c r="E1014" s="38"/>
      <c r="F1014" s="36"/>
      <c r="G1014" s="39"/>
      <c r="H1014" s="39"/>
      <c r="I1014" s="36"/>
      <c r="J1014" s="36"/>
      <c r="K1014" s="36"/>
      <c r="L1014" s="36"/>
      <c r="M1014" s="40" t="str">
        <f aca="false">IF($F1014="","",$F1014&amp;IF($G1014="",""," - RT "&amp;$G1014&amp;IF($H1014="","","/"&amp;$H1014)))</f>
        <v/>
      </c>
      <c r="N1014" s="36"/>
      <c r="O1014" s="37"/>
      <c r="P1014" s="39"/>
      <c r="Q1014" s="41"/>
      <c r="R1014" s="35" t="str">
        <f aca="true">IF(OR($B1014="",$Q1014=""),"",DATEDIF($Q1014,TODAY(),"Y"))</f>
        <v/>
      </c>
      <c r="S1014" s="40" t="str">
        <f aca="false">IF($R1014="","",INDEX(usia_label,MATCH($R1014,usia_min,1)))</f>
        <v/>
      </c>
      <c r="T1014" s="36"/>
      <c r="U1014" s="41"/>
      <c r="V1014" s="36"/>
      <c r="W1014" s="36"/>
      <c r="X1014" s="40" t="str">
        <f aca="false">IF($M1014="","",$M1014&amp;"#"&amp;COUNTIF($M$4:$M1014,$M1014))</f>
        <v/>
      </c>
      <c r="Y1014" s="40" t="str">
        <f aca="false">IF($B1014="","",IF($C1014="","NIK kosong",IF(LEN($C1014)&lt;&gt;16,"NIK bukan 16 digit",IF(COUNTIF($C$4:$C$2003,$C1014&amp;"*")&gt;1,"NIK ganda",IF(AND($D1014&lt;&gt;"",LEN($D1014)&lt;&gt;16),"No. KK bukan 16 digit",IF(AND($F1014="",$I1014=""),"Alamat kosong",IF($N1014="","Jabatan kosong",IF($O1014="","No. HP kosong",IF(AND($R1014&lt;&gt;"",$R1014&lt;17),"Usia di bawah 17","")))))))))</f>
        <v/>
      </c>
      <c r="Z1014" s="40" t="str">
        <f aca="false">IF($B1014="","",IF(AND(OR(CARI!$C$5="",ISNUMBER(SEARCH(CARI!$C$5,$B1014&amp;" "&amp;$C1014&amp;" "&amp;$D1014&amp;" "&amp;$O1014&amp;" "&amp;$I1014&amp;" "&amp;$F1014&amp;" "&amp;$J1014&amp;" "&amp;$K1014&amp;" "&amp;$L1014&amp;" "&amp;$V1014))),OR(CARI!$C$6="",$F1014=CARI!$C$6),OR(CARI!$C$7="",$G1014=CARI!$C$7),OR(CARI!$C$8="",$T1014=CARI!$C$8)),MAX($Z$3:Z1013)+1,""))</f>
        <v/>
      </c>
      <c r="AA1014" s="40" t="str">
        <f aca="false">IF($Y1014="","",MAX($AA$3:AA1013)+1)</f>
        <v/>
      </c>
      <c r="AB1014" s="40" t="str">
        <f aca="false">IF($F1014="","",$F1014&amp;"#"&amp;COUNTIF($F$4:$F1014,$F1014))</f>
        <v/>
      </c>
      <c r="AC1014" s="40" t="str">
        <f aca="false">IF($B1014="","",IF(AND(OR(CETAK!$J$10="",$F1014=CETAK!$J$10),OR(CETAK!$J$11="",$G1014=CETAK!$J$11),OR(CETAK!$J$12="",$P1014=CETAK!$J$12),OR(CETAK!$J$13="",$N1014=CETAK!$J$13),OR(CETAK!$J$14="",$T1014=CETAK!$J$14)),MAX($AC$3:AC1013)+1,""))</f>
        <v/>
      </c>
      <c r="AD1014" s="40" t="str">
        <f aca="false">IF($B1014="","",IF(AND(OR(ABSENSI!$H$10="",$F1014=ABSENSI!$H$10),OR(ABSENSI!$H$11="",$G1014=ABSENSI!$H$11),OR(ABSENSI!$H$12="",$P1014=ABSENSI!$H$12)),MAX($AD$3:AD1013)+1,""))</f>
        <v/>
      </c>
      <c r="AE1014" s="40" t="str">
        <f aca="false">IF($B1014="","",IF(AND(OR(KARTU!$K$6="",$F1014=KARTU!$K$6),OR(KARTU!$K$7="",$G1014=KARTU!$K$7),OR(KARTU!$K$8="",$P1014=KARTU!$K$8)),MAX($AE$3:AE1013)+1,""))</f>
        <v/>
      </c>
    </row>
    <row r="1015" customFormat="false" ht="15" hidden="false" customHeight="false" outlineLevel="0" collapsed="false">
      <c r="A1015" s="35" t="str">
        <f aca="false">IF($B1015="","",COUNTA($B$4:$B1015))</f>
        <v/>
      </c>
      <c r="B1015" s="36"/>
      <c r="C1015" s="37"/>
      <c r="D1015" s="37"/>
      <c r="E1015" s="38"/>
      <c r="F1015" s="36"/>
      <c r="G1015" s="39"/>
      <c r="H1015" s="39"/>
      <c r="I1015" s="36"/>
      <c r="J1015" s="36"/>
      <c r="K1015" s="36"/>
      <c r="L1015" s="36"/>
      <c r="M1015" s="40" t="str">
        <f aca="false">IF($F1015="","",$F1015&amp;IF($G1015="",""," - RT "&amp;$G1015&amp;IF($H1015="","","/"&amp;$H1015)))</f>
        <v/>
      </c>
      <c r="N1015" s="36"/>
      <c r="O1015" s="37"/>
      <c r="P1015" s="39"/>
      <c r="Q1015" s="41"/>
      <c r="R1015" s="35" t="str">
        <f aca="true">IF(OR($B1015="",$Q1015=""),"",DATEDIF($Q1015,TODAY(),"Y"))</f>
        <v/>
      </c>
      <c r="S1015" s="40" t="str">
        <f aca="false">IF($R1015="","",INDEX(usia_label,MATCH($R1015,usia_min,1)))</f>
        <v/>
      </c>
      <c r="T1015" s="36"/>
      <c r="U1015" s="41"/>
      <c r="V1015" s="36"/>
      <c r="W1015" s="36"/>
      <c r="X1015" s="40" t="str">
        <f aca="false">IF($M1015="","",$M1015&amp;"#"&amp;COUNTIF($M$4:$M1015,$M1015))</f>
        <v/>
      </c>
      <c r="Y1015" s="40" t="str">
        <f aca="false">IF($B1015="","",IF($C1015="","NIK kosong",IF(LEN($C1015)&lt;&gt;16,"NIK bukan 16 digit",IF(COUNTIF($C$4:$C$2003,$C1015&amp;"*")&gt;1,"NIK ganda",IF(AND($D1015&lt;&gt;"",LEN($D1015)&lt;&gt;16),"No. KK bukan 16 digit",IF(AND($F1015="",$I1015=""),"Alamat kosong",IF($N1015="","Jabatan kosong",IF($O1015="","No. HP kosong",IF(AND($R1015&lt;&gt;"",$R1015&lt;17),"Usia di bawah 17","")))))))))</f>
        <v/>
      </c>
      <c r="Z1015" s="40" t="str">
        <f aca="false">IF($B1015="","",IF(AND(OR(CARI!$C$5="",ISNUMBER(SEARCH(CARI!$C$5,$B1015&amp;" "&amp;$C1015&amp;" "&amp;$D1015&amp;" "&amp;$O1015&amp;" "&amp;$I1015&amp;" "&amp;$F1015&amp;" "&amp;$J1015&amp;" "&amp;$K1015&amp;" "&amp;$L1015&amp;" "&amp;$V1015))),OR(CARI!$C$6="",$F1015=CARI!$C$6),OR(CARI!$C$7="",$G1015=CARI!$C$7),OR(CARI!$C$8="",$T1015=CARI!$C$8)),MAX($Z$3:Z1014)+1,""))</f>
        <v/>
      </c>
      <c r="AA1015" s="40" t="str">
        <f aca="false">IF($Y1015="","",MAX($AA$3:AA1014)+1)</f>
        <v/>
      </c>
      <c r="AB1015" s="40" t="str">
        <f aca="false">IF($F1015="","",$F1015&amp;"#"&amp;COUNTIF($F$4:$F1015,$F1015))</f>
        <v/>
      </c>
      <c r="AC1015" s="40" t="str">
        <f aca="false">IF($B1015="","",IF(AND(OR(CETAK!$J$10="",$F1015=CETAK!$J$10),OR(CETAK!$J$11="",$G1015=CETAK!$J$11),OR(CETAK!$J$12="",$P1015=CETAK!$J$12),OR(CETAK!$J$13="",$N1015=CETAK!$J$13),OR(CETAK!$J$14="",$T1015=CETAK!$J$14)),MAX($AC$3:AC1014)+1,""))</f>
        <v/>
      </c>
      <c r="AD1015" s="40" t="str">
        <f aca="false">IF($B1015="","",IF(AND(OR(ABSENSI!$H$10="",$F1015=ABSENSI!$H$10),OR(ABSENSI!$H$11="",$G1015=ABSENSI!$H$11),OR(ABSENSI!$H$12="",$P1015=ABSENSI!$H$12)),MAX($AD$3:AD1014)+1,""))</f>
        <v/>
      </c>
      <c r="AE1015" s="40" t="str">
        <f aca="false">IF($B1015="","",IF(AND(OR(KARTU!$K$6="",$F1015=KARTU!$K$6),OR(KARTU!$K$7="",$G1015=KARTU!$K$7),OR(KARTU!$K$8="",$P1015=KARTU!$K$8)),MAX($AE$3:AE1014)+1,""))</f>
        <v/>
      </c>
    </row>
    <row r="1016" customFormat="false" ht="15" hidden="false" customHeight="false" outlineLevel="0" collapsed="false">
      <c r="A1016" s="35" t="str">
        <f aca="false">IF($B1016="","",COUNTA($B$4:$B1016))</f>
        <v/>
      </c>
      <c r="B1016" s="36"/>
      <c r="C1016" s="37"/>
      <c r="D1016" s="37"/>
      <c r="E1016" s="38"/>
      <c r="F1016" s="36"/>
      <c r="G1016" s="39"/>
      <c r="H1016" s="39"/>
      <c r="I1016" s="36"/>
      <c r="J1016" s="36"/>
      <c r="K1016" s="36"/>
      <c r="L1016" s="36"/>
      <c r="M1016" s="40" t="str">
        <f aca="false">IF($F1016="","",$F1016&amp;IF($G1016="",""," - RT "&amp;$G1016&amp;IF($H1016="","","/"&amp;$H1016)))</f>
        <v/>
      </c>
      <c r="N1016" s="36"/>
      <c r="O1016" s="37"/>
      <c r="P1016" s="39"/>
      <c r="Q1016" s="41"/>
      <c r="R1016" s="35" t="str">
        <f aca="true">IF(OR($B1016="",$Q1016=""),"",DATEDIF($Q1016,TODAY(),"Y"))</f>
        <v/>
      </c>
      <c r="S1016" s="40" t="str">
        <f aca="false">IF($R1016="","",INDEX(usia_label,MATCH($R1016,usia_min,1)))</f>
        <v/>
      </c>
      <c r="T1016" s="36"/>
      <c r="U1016" s="41"/>
      <c r="V1016" s="36"/>
      <c r="W1016" s="36"/>
      <c r="X1016" s="40" t="str">
        <f aca="false">IF($M1016="","",$M1016&amp;"#"&amp;COUNTIF($M$4:$M1016,$M1016))</f>
        <v/>
      </c>
      <c r="Y1016" s="40" t="str">
        <f aca="false">IF($B1016="","",IF($C1016="","NIK kosong",IF(LEN($C1016)&lt;&gt;16,"NIK bukan 16 digit",IF(COUNTIF($C$4:$C$2003,$C1016&amp;"*")&gt;1,"NIK ganda",IF(AND($D1016&lt;&gt;"",LEN($D1016)&lt;&gt;16),"No. KK bukan 16 digit",IF(AND($F1016="",$I1016=""),"Alamat kosong",IF($N1016="","Jabatan kosong",IF($O1016="","No. HP kosong",IF(AND($R1016&lt;&gt;"",$R1016&lt;17),"Usia di bawah 17","")))))))))</f>
        <v/>
      </c>
      <c r="Z1016" s="40" t="str">
        <f aca="false">IF($B1016="","",IF(AND(OR(CARI!$C$5="",ISNUMBER(SEARCH(CARI!$C$5,$B1016&amp;" "&amp;$C1016&amp;" "&amp;$D1016&amp;" "&amp;$O1016&amp;" "&amp;$I1016&amp;" "&amp;$F1016&amp;" "&amp;$J1016&amp;" "&amp;$K1016&amp;" "&amp;$L1016&amp;" "&amp;$V1016))),OR(CARI!$C$6="",$F1016=CARI!$C$6),OR(CARI!$C$7="",$G1016=CARI!$C$7),OR(CARI!$C$8="",$T1016=CARI!$C$8)),MAX($Z$3:Z1015)+1,""))</f>
        <v/>
      </c>
      <c r="AA1016" s="40" t="str">
        <f aca="false">IF($Y1016="","",MAX($AA$3:AA1015)+1)</f>
        <v/>
      </c>
      <c r="AB1016" s="40" t="str">
        <f aca="false">IF($F1016="","",$F1016&amp;"#"&amp;COUNTIF($F$4:$F1016,$F1016))</f>
        <v/>
      </c>
      <c r="AC1016" s="40" t="str">
        <f aca="false">IF($B1016="","",IF(AND(OR(CETAK!$J$10="",$F1016=CETAK!$J$10),OR(CETAK!$J$11="",$G1016=CETAK!$J$11),OR(CETAK!$J$12="",$P1016=CETAK!$J$12),OR(CETAK!$J$13="",$N1016=CETAK!$J$13),OR(CETAK!$J$14="",$T1016=CETAK!$J$14)),MAX($AC$3:AC1015)+1,""))</f>
        <v/>
      </c>
      <c r="AD1016" s="40" t="str">
        <f aca="false">IF($B1016="","",IF(AND(OR(ABSENSI!$H$10="",$F1016=ABSENSI!$H$10),OR(ABSENSI!$H$11="",$G1016=ABSENSI!$H$11),OR(ABSENSI!$H$12="",$P1016=ABSENSI!$H$12)),MAX($AD$3:AD1015)+1,""))</f>
        <v/>
      </c>
      <c r="AE1016" s="40" t="str">
        <f aca="false">IF($B1016="","",IF(AND(OR(KARTU!$K$6="",$F1016=KARTU!$K$6),OR(KARTU!$K$7="",$G1016=KARTU!$K$7),OR(KARTU!$K$8="",$P1016=KARTU!$K$8)),MAX($AE$3:AE1015)+1,""))</f>
        <v/>
      </c>
    </row>
    <row r="1017" customFormat="false" ht="15" hidden="false" customHeight="false" outlineLevel="0" collapsed="false">
      <c r="A1017" s="35" t="str">
        <f aca="false">IF($B1017="","",COUNTA($B$4:$B1017))</f>
        <v/>
      </c>
      <c r="B1017" s="36"/>
      <c r="C1017" s="37"/>
      <c r="D1017" s="37"/>
      <c r="E1017" s="38"/>
      <c r="F1017" s="36"/>
      <c r="G1017" s="39"/>
      <c r="H1017" s="39"/>
      <c r="I1017" s="36"/>
      <c r="J1017" s="36"/>
      <c r="K1017" s="36"/>
      <c r="L1017" s="36"/>
      <c r="M1017" s="40" t="str">
        <f aca="false">IF($F1017="","",$F1017&amp;IF($G1017="",""," - RT "&amp;$G1017&amp;IF($H1017="","","/"&amp;$H1017)))</f>
        <v/>
      </c>
      <c r="N1017" s="36"/>
      <c r="O1017" s="37"/>
      <c r="P1017" s="39"/>
      <c r="Q1017" s="41"/>
      <c r="R1017" s="35" t="str">
        <f aca="true">IF(OR($B1017="",$Q1017=""),"",DATEDIF($Q1017,TODAY(),"Y"))</f>
        <v/>
      </c>
      <c r="S1017" s="40" t="str">
        <f aca="false">IF($R1017="","",INDEX(usia_label,MATCH($R1017,usia_min,1)))</f>
        <v/>
      </c>
      <c r="T1017" s="36"/>
      <c r="U1017" s="41"/>
      <c r="V1017" s="36"/>
      <c r="W1017" s="36"/>
      <c r="X1017" s="40" t="str">
        <f aca="false">IF($M1017="","",$M1017&amp;"#"&amp;COUNTIF($M$4:$M1017,$M1017))</f>
        <v/>
      </c>
      <c r="Y1017" s="40" t="str">
        <f aca="false">IF($B1017="","",IF($C1017="","NIK kosong",IF(LEN($C1017)&lt;&gt;16,"NIK bukan 16 digit",IF(COUNTIF($C$4:$C$2003,$C1017&amp;"*")&gt;1,"NIK ganda",IF(AND($D1017&lt;&gt;"",LEN($D1017)&lt;&gt;16),"No. KK bukan 16 digit",IF(AND($F1017="",$I1017=""),"Alamat kosong",IF($N1017="","Jabatan kosong",IF($O1017="","No. HP kosong",IF(AND($R1017&lt;&gt;"",$R1017&lt;17),"Usia di bawah 17","")))))))))</f>
        <v/>
      </c>
      <c r="Z1017" s="40" t="str">
        <f aca="false">IF($B1017="","",IF(AND(OR(CARI!$C$5="",ISNUMBER(SEARCH(CARI!$C$5,$B1017&amp;" "&amp;$C1017&amp;" "&amp;$D1017&amp;" "&amp;$O1017&amp;" "&amp;$I1017&amp;" "&amp;$F1017&amp;" "&amp;$J1017&amp;" "&amp;$K1017&amp;" "&amp;$L1017&amp;" "&amp;$V1017))),OR(CARI!$C$6="",$F1017=CARI!$C$6),OR(CARI!$C$7="",$G1017=CARI!$C$7),OR(CARI!$C$8="",$T1017=CARI!$C$8)),MAX($Z$3:Z1016)+1,""))</f>
        <v/>
      </c>
      <c r="AA1017" s="40" t="str">
        <f aca="false">IF($Y1017="","",MAX($AA$3:AA1016)+1)</f>
        <v/>
      </c>
      <c r="AB1017" s="40" t="str">
        <f aca="false">IF($F1017="","",$F1017&amp;"#"&amp;COUNTIF($F$4:$F1017,$F1017))</f>
        <v/>
      </c>
      <c r="AC1017" s="40" t="str">
        <f aca="false">IF($B1017="","",IF(AND(OR(CETAK!$J$10="",$F1017=CETAK!$J$10),OR(CETAK!$J$11="",$G1017=CETAK!$J$11),OR(CETAK!$J$12="",$P1017=CETAK!$J$12),OR(CETAK!$J$13="",$N1017=CETAK!$J$13),OR(CETAK!$J$14="",$T1017=CETAK!$J$14)),MAX($AC$3:AC1016)+1,""))</f>
        <v/>
      </c>
      <c r="AD1017" s="40" t="str">
        <f aca="false">IF($B1017="","",IF(AND(OR(ABSENSI!$H$10="",$F1017=ABSENSI!$H$10),OR(ABSENSI!$H$11="",$G1017=ABSENSI!$H$11),OR(ABSENSI!$H$12="",$P1017=ABSENSI!$H$12)),MAX($AD$3:AD1016)+1,""))</f>
        <v/>
      </c>
      <c r="AE1017" s="40" t="str">
        <f aca="false">IF($B1017="","",IF(AND(OR(KARTU!$K$6="",$F1017=KARTU!$K$6),OR(KARTU!$K$7="",$G1017=KARTU!$K$7),OR(KARTU!$K$8="",$P1017=KARTU!$K$8)),MAX($AE$3:AE1016)+1,""))</f>
        <v/>
      </c>
    </row>
    <row r="1018" customFormat="false" ht="15" hidden="false" customHeight="false" outlineLevel="0" collapsed="false">
      <c r="A1018" s="35" t="str">
        <f aca="false">IF($B1018="","",COUNTA($B$4:$B1018))</f>
        <v/>
      </c>
      <c r="B1018" s="36"/>
      <c r="C1018" s="37"/>
      <c r="D1018" s="37"/>
      <c r="E1018" s="38"/>
      <c r="F1018" s="36"/>
      <c r="G1018" s="39"/>
      <c r="H1018" s="39"/>
      <c r="I1018" s="36"/>
      <c r="J1018" s="36"/>
      <c r="K1018" s="36"/>
      <c r="L1018" s="36"/>
      <c r="M1018" s="40" t="str">
        <f aca="false">IF($F1018="","",$F1018&amp;IF($G1018="",""," - RT "&amp;$G1018&amp;IF($H1018="","","/"&amp;$H1018)))</f>
        <v/>
      </c>
      <c r="N1018" s="36"/>
      <c r="O1018" s="37"/>
      <c r="P1018" s="39"/>
      <c r="Q1018" s="41"/>
      <c r="R1018" s="35" t="str">
        <f aca="true">IF(OR($B1018="",$Q1018=""),"",DATEDIF($Q1018,TODAY(),"Y"))</f>
        <v/>
      </c>
      <c r="S1018" s="40" t="str">
        <f aca="false">IF($R1018="","",INDEX(usia_label,MATCH($R1018,usia_min,1)))</f>
        <v/>
      </c>
      <c r="T1018" s="36"/>
      <c r="U1018" s="41"/>
      <c r="V1018" s="36"/>
      <c r="W1018" s="36"/>
      <c r="X1018" s="40" t="str">
        <f aca="false">IF($M1018="","",$M1018&amp;"#"&amp;COUNTIF($M$4:$M1018,$M1018))</f>
        <v/>
      </c>
      <c r="Y1018" s="40" t="str">
        <f aca="false">IF($B1018="","",IF($C1018="","NIK kosong",IF(LEN($C1018)&lt;&gt;16,"NIK bukan 16 digit",IF(COUNTIF($C$4:$C$2003,$C1018&amp;"*")&gt;1,"NIK ganda",IF(AND($D1018&lt;&gt;"",LEN($D1018)&lt;&gt;16),"No. KK bukan 16 digit",IF(AND($F1018="",$I1018=""),"Alamat kosong",IF($N1018="","Jabatan kosong",IF($O1018="","No. HP kosong",IF(AND($R1018&lt;&gt;"",$R1018&lt;17),"Usia di bawah 17","")))))))))</f>
        <v/>
      </c>
      <c r="Z1018" s="40" t="str">
        <f aca="false">IF($B1018="","",IF(AND(OR(CARI!$C$5="",ISNUMBER(SEARCH(CARI!$C$5,$B1018&amp;" "&amp;$C1018&amp;" "&amp;$D1018&amp;" "&amp;$O1018&amp;" "&amp;$I1018&amp;" "&amp;$F1018&amp;" "&amp;$J1018&amp;" "&amp;$K1018&amp;" "&amp;$L1018&amp;" "&amp;$V1018))),OR(CARI!$C$6="",$F1018=CARI!$C$6),OR(CARI!$C$7="",$G1018=CARI!$C$7),OR(CARI!$C$8="",$T1018=CARI!$C$8)),MAX($Z$3:Z1017)+1,""))</f>
        <v/>
      </c>
      <c r="AA1018" s="40" t="str">
        <f aca="false">IF($Y1018="","",MAX($AA$3:AA1017)+1)</f>
        <v/>
      </c>
      <c r="AB1018" s="40" t="str">
        <f aca="false">IF($F1018="","",$F1018&amp;"#"&amp;COUNTIF($F$4:$F1018,$F1018))</f>
        <v/>
      </c>
      <c r="AC1018" s="40" t="str">
        <f aca="false">IF($B1018="","",IF(AND(OR(CETAK!$J$10="",$F1018=CETAK!$J$10),OR(CETAK!$J$11="",$G1018=CETAK!$J$11),OR(CETAK!$J$12="",$P1018=CETAK!$J$12),OR(CETAK!$J$13="",$N1018=CETAK!$J$13),OR(CETAK!$J$14="",$T1018=CETAK!$J$14)),MAX($AC$3:AC1017)+1,""))</f>
        <v/>
      </c>
      <c r="AD1018" s="40" t="str">
        <f aca="false">IF($B1018="","",IF(AND(OR(ABSENSI!$H$10="",$F1018=ABSENSI!$H$10),OR(ABSENSI!$H$11="",$G1018=ABSENSI!$H$11),OR(ABSENSI!$H$12="",$P1018=ABSENSI!$H$12)),MAX($AD$3:AD1017)+1,""))</f>
        <v/>
      </c>
      <c r="AE1018" s="40" t="str">
        <f aca="false">IF($B1018="","",IF(AND(OR(KARTU!$K$6="",$F1018=KARTU!$K$6),OR(KARTU!$K$7="",$G1018=KARTU!$K$7),OR(KARTU!$K$8="",$P1018=KARTU!$K$8)),MAX($AE$3:AE1017)+1,""))</f>
        <v/>
      </c>
    </row>
    <row r="1019" customFormat="false" ht="15" hidden="false" customHeight="false" outlineLevel="0" collapsed="false">
      <c r="A1019" s="35" t="str">
        <f aca="false">IF($B1019="","",COUNTA($B$4:$B1019))</f>
        <v/>
      </c>
      <c r="B1019" s="36"/>
      <c r="C1019" s="37"/>
      <c r="D1019" s="37"/>
      <c r="E1019" s="38"/>
      <c r="F1019" s="36"/>
      <c r="G1019" s="39"/>
      <c r="H1019" s="39"/>
      <c r="I1019" s="36"/>
      <c r="J1019" s="36"/>
      <c r="K1019" s="36"/>
      <c r="L1019" s="36"/>
      <c r="M1019" s="40" t="str">
        <f aca="false">IF($F1019="","",$F1019&amp;IF($G1019="",""," - RT "&amp;$G1019&amp;IF($H1019="","","/"&amp;$H1019)))</f>
        <v/>
      </c>
      <c r="N1019" s="36"/>
      <c r="O1019" s="37"/>
      <c r="P1019" s="39"/>
      <c r="Q1019" s="41"/>
      <c r="R1019" s="35" t="str">
        <f aca="true">IF(OR($B1019="",$Q1019=""),"",DATEDIF($Q1019,TODAY(),"Y"))</f>
        <v/>
      </c>
      <c r="S1019" s="40" t="str">
        <f aca="false">IF($R1019="","",INDEX(usia_label,MATCH($R1019,usia_min,1)))</f>
        <v/>
      </c>
      <c r="T1019" s="36"/>
      <c r="U1019" s="41"/>
      <c r="V1019" s="36"/>
      <c r="W1019" s="36"/>
      <c r="X1019" s="40" t="str">
        <f aca="false">IF($M1019="","",$M1019&amp;"#"&amp;COUNTIF($M$4:$M1019,$M1019))</f>
        <v/>
      </c>
      <c r="Y1019" s="40" t="str">
        <f aca="false">IF($B1019="","",IF($C1019="","NIK kosong",IF(LEN($C1019)&lt;&gt;16,"NIK bukan 16 digit",IF(COUNTIF($C$4:$C$2003,$C1019&amp;"*")&gt;1,"NIK ganda",IF(AND($D1019&lt;&gt;"",LEN($D1019)&lt;&gt;16),"No. KK bukan 16 digit",IF(AND($F1019="",$I1019=""),"Alamat kosong",IF($N1019="","Jabatan kosong",IF($O1019="","No. HP kosong",IF(AND($R1019&lt;&gt;"",$R1019&lt;17),"Usia di bawah 17","")))))))))</f>
        <v/>
      </c>
      <c r="Z1019" s="40" t="str">
        <f aca="false">IF($B1019="","",IF(AND(OR(CARI!$C$5="",ISNUMBER(SEARCH(CARI!$C$5,$B1019&amp;" "&amp;$C1019&amp;" "&amp;$D1019&amp;" "&amp;$O1019&amp;" "&amp;$I1019&amp;" "&amp;$F1019&amp;" "&amp;$J1019&amp;" "&amp;$K1019&amp;" "&amp;$L1019&amp;" "&amp;$V1019))),OR(CARI!$C$6="",$F1019=CARI!$C$6),OR(CARI!$C$7="",$G1019=CARI!$C$7),OR(CARI!$C$8="",$T1019=CARI!$C$8)),MAX($Z$3:Z1018)+1,""))</f>
        <v/>
      </c>
      <c r="AA1019" s="40" t="str">
        <f aca="false">IF($Y1019="","",MAX($AA$3:AA1018)+1)</f>
        <v/>
      </c>
      <c r="AB1019" s="40" t="str">
        <f aca="false">IF($F1019="","",$F1019&amp;"#"&amp;COUNTIF($F$4:$F1019,$F1019))</f>
        <v/>
      </c>
      <c r="AC1019" s="40" t="str">
        <f aca="false">IF($B1019="","",IF(AND(OR(CETAK!$J$10="",$F1019=CETAK!$J$10),OR(CETAK!$J$11="",$G1019=CETAK!$J$11),OR(CETAK!$J$12="",$P1019=CETAK!$J$12),OR(CETAK!$J$13="",$N1019=CETAK!$J$13),OR(CETAK!$J$14="",$T1019=CETAK!$J$14)),MAX($AC$3:AC1018)+1,""))</f>
        <v/>
      </c>
      <c r="AD1019" s="40" t="str">
        <f aca="false">IF($B1019="","",IF(AND(OR(ABSENSI!$H$10="",$F1019=ABSENSI!$H$10),OR(ABSENSI!$H$11="",$G1019=ABSENSI!$H$11),OR(ABSENSI!$H$12="",$P1019=ABSENSI!$H$12)),MAX($AD$3:AD1018)+1,""))</f>
        <v/>
      </c>
      <c r="AE1019" s="40" t="str">
        <f aca="false">IF($B1019="","",IF(AND(OR(KARTU!$K$6="",$F1019=KARTU!$K$6),OR(KARTU!$K$7="",$G1019=KARTU!$K$7),OR(KARTU!$K$8="",$P1019=KARTU!$K$8)),MAX($AE$3:AE1018)+1,""))</f>
        <v/>
      </c>
    </row>
    <row r="1020" customFormat="false" ht="15" hidden="false" customHeight="false" outlineLevel="0" collapsed="false">
      <c r="A1020" s="35" t="str">
        <f aca="false">IF($B1020="","",COUNTA($B$4:$B1020))</f>
        <v/>
      </c>
      <c r="B1020" s="36"/>
      <c r="C1020" s="37"/>
      <c r="D1020" s="37"/>
      <c r="E1020" s="38"/>
      <c r="F1020" s="36"/>
      <c r="G1020" s="39"/>
      <c r="H1020" s="39"/>
      <c r="I1020" s="36"/>
      <c r="J1020" s="36"/>
      <c r="K1020" s="36"/>
      <c r="L1020" s="36"/>
      <c r="M1020" s="40" t="str">
        <f aca="false">IF($F1020="","",$F1020&amp;IF($G1020="",""," - RT "&amp;$G1020&amp;IF($H1020="","","/"&amp;$H1020)))</f>
        <v/>
      </c>
      <c r="N1020" s="36"/>
      <c r="O1020" s="37"/>
      <c r="P1020" s="39"/>
      <c r="Q1020" s="41"/>
      <c r="R1020" s="35" t="str">
        <f aca="true">IF(OR($B1020="",$Q1020=""),"",DATEDIF($Q1020,TODAY(),"Y"))</f>
        <v/>
      </c>
      <c r="S1020" s="40" t="str">
        <f aca="false">IF($R1020="","",INDEX(usia_label,MATCH($R1020,usia_min,1)))</f>
        <v/>
      </c>
      <c r="T1020" s="36"/>
      <c r="U1020" s="41"/>
      <c r="V1020" s="36"/>
      <c r="W1020" s="36"/>
      <c r="X1020" s="40" t="str">
        <f aca="false">IF($M1020="","",$M1020&amp;"#"&amp;COUNTIF($M$4:$M1020,$M1020))</f>
        <v/>
      </c>
      <c r="Y1020" s="40" t="str">
        <f aca="false">IF($B1020="","",IF($C1020="","NIK kosong",IF(LEN($C1020)&lt;&gt;16,"NIK bukan 16 digit",IF(COUNTIF($C$4:$C$2003,$C1020&amp;"*")&gt;1,"NIK ganda",IF(AND($D1020&lt;&gt;"",LEN($D1020)&lt;&gt;16),"No. KK bukan 16 digit",IF(AND($F1020="",$I1020=""),"Alamat kosong",IF($N1020="","Jabatan kosong",IF($O1020="","No. HP kosong",IF(AND($R1020&lt;&gt;"",$R1020&lt;17),"Usia di bawah 17","")))))))))</f>
        <v/>
      </c>
      <c r="Z1020" s="40" t="str">
        <f aca="false">IF($B1020="","",IF(AND(OR(CARI!$C$5="",ISNUMBER(SEARCH(CARI!$C$5,$B1020&amp;" "&amp;$C1020&amp;" "&amp;$D1020&amp;" "&amp;$O1020&amp;" "&amp;$I1020&amp;" "&amp;$F1020&amp;" "&amp;$J1020&amp;" "&amp;$K1020&amp;" "&amp;$L1020&amp;" "&amp;$V1020))),OR(CARI!$C$6="",$F1020=CARI!$C$6),OR(CARI!$C$7="",$G1020=CARI!$C$7),OR(CARI!$C$8="",$T1020=CARI!$C$8)),MAX($Z$3:Z1019)+1,""))</f>
        <v/>
      </c>
      <c r="AA1020" s="40" t="str">
        <f aca="false">IF($Y1020="","",MAX($AA$3:AA1019)+1)</f>
        <v/>
      </c>
      <c r="AB1020" s="40" t="str">
        <f aca="false">IF($F1020="","",$F1020&amp;"#"&amp;COUNTIF($F$4:$F1020,$F1020))</f>
        <v/>
      </c>
      <c r="AC1020" s="40" t="str">
        <f aca="false">IF($B1020="","",IF(AND(OR(CETAK!$J$10="",$F1020=CETAK!$J$10),OR(CETAK!$J$11="",$G1020=CETAK!$J$11),OR(CETAK!$J$12="",$P1020=CETAK!$J$12),OR(CETAK!$J$13="",$N1020=CETAK!$J$13),OR(CETAK!$J$14="",$T1020=CETAK!$J$14)),MAX($AC$3:AC1019)+1,""))</f>
        <v/>
      </c>
      <c r="AD1020" s="40" t="str">
        <f aca="false">IF($B1020="","",IF(AND(OR(ABSENSI!$H$10="",$F1020=ABSENSI!$H$10),OR(ABSENSI!$H$11="",$G1020=ABSENSI!$H$11),OR(ABSENSI!$H$12="",$P1020=ABSENSI!$H$12)),MAX($AD$3:AD1019)+1,""))</f>
        <v/>
      </c>
      <c r="AE1020" s="40" t="str">
        <f aca="false">IF($B1020="","",IF(AND(OR(KARTU!$K$6="",$F1020=KARTU!$K$6),OR(KARTU!$K$7="",$G1020=KARTU!$K$7),OR(KARTU!$K$8="",$P1020=KARTU!$K$8)),MAX($AE$3:AE1019)+1,""))</f>
        <v/>
      </c>
    </row>
    <row r="1021" customFormat="false" ht="15" hidden="false" customHeight="false" outlineLevel="0" collapsed="false">
      <c r="A1021" s="35" t="str">
        <f aca="false">IF($B1021="","",COUNTA($B$4:$B1021))</f>
        <v/>
      </c>
      <c r="B1021" s="36"/>
      <c r="C1021" s="37"/>
      <c r="D1021" s="37"/>
      <c r="E1021" s="38"/>
      <c r="F1021" s="36"/>
      <c r="G1021" s="39"/>
      <c r="H1021" s="39"/>
      <c r="I1021" s="36"/>
      <c r="J1021" s="36"/>
      <c r="K1021" s="36"/>
      <c r="L1021" s="36"/>
      <c r="M1021" s="40" t="str">
        <f aca="false">IF($F1021="","",$F1021&amp;IF($G1021="",""," - RT "&amp;$G1021&amp;IF($H1021="","","/"&amp;$H1021)))</f>
        <v/>
      </c>
      <c r="N1021" s="36"/>
      <c r="O1021" s="37"/>
      <c r="P1021" s="39"/>
      <c r="Q1021" s="41"/>
      <c r="R1021" s="35" t="str">
        <f aca="true">IF(OR($B1021="",$Q1021=""),"",DATEDIF($Q1021,TODAY(),"Y"))</f>
        <v/>
      </c>
      <c r="S1021" s="40" t="str">
        <f aca="false">IF($R1021="","",INDEX(usia_label,MATCH($R1021,usia_min,1)))</f>
        <v/>
      </c>
      <c r="T1021" s="36"/>
      <c r="U1021" s="41"/>
      <c r="V1021" s="36"/>
      <c r="W1021" s="36"/>
      <c r="X1021" s="40" t="str">
        <f aca="false">IF($M1021="","",$M1021&amp;"#"&amp;COUNTIF($M$4:$M1021,$M1021))</f>
        <v/>
      </c>
      <c r="Y1021" s="40" t="str">
        <f aca="false">IF($B1021="","",IF($C1021="","NIK kosong",IF(LEN($C1021)&lt;&gt;16,"NIK bukan 16 digit",IF(COUNTIF($C$4:$C$2003,$C1021&amp;"*")&gt;1,"NIK ganda",IF(AND($D1021&lt;&gt;"",LEN($D1021)&lt;&gt;16),"No. KK bukan 16 digit",IF(AND($F1021="",$I1021=""),"Alamat kosong",IF($N1021="","Jabatan kosong",IF($O1021="","No. HP kosong",IF(AND($R1021&lt;&gt;"",$R1021&lt;17),"Usia di bawah 17","")))))))))</f>
        <v/>
      </c>
      <c r="Z1021" s="40" t="str">
        <f aca="false">IF($B1021="","",IF(AND(OR(CARI!$C$5="",ISNUMBER(SEARCH(CARI!$C$5,$B1021&amp;" "&amp;$C1021&amp;" "&amp;$D1021&amp;" "&amp;$O1021&amp;" "&amp;$I1021&amp;" "&amp;$F1021&amp;" "&amp;$J1021&amp;" "&amp;$K1021&amp;" "&amp;$L1021&amp;" "&amp;$V1021))),OR(CARI!$C$6="",$F1021=CARI!$C$6),OR(CARI!$C$7="",$G1021=CARI!$C$7),OR(CARI!$C$8="",$T1021=CARI!$C$8)),MAX($Z$3:Z1020)+1,""))</f>
        <v/>
      </c>
      <c r="AA1021" s="40" t="str">
        <f aca="false">IF($Y1021="","",MAX($AA$3:AA1020)+1)</f>
        <v/>
      </c>
      <c r="AB1021" s="40" t="str">
        <f aca="false">IF($F1021="","",$F1021&amp;"#"&amp;COUNTIF($F$4:$F1021,$F1021))</f>
        <v/>
      </c>
      <c r="AC1021" s="40" t="str">
        <f aca="false">IF($B1021="","",IF(AND(OR(CETAK!$J$10="",$F1021=CETAK!$J$10),OR(CETAK!$J$11="",$G1021=CETAK!$J$11),OR(CETAK!$J$12="",$P1021=CETAK!$J$12),OR(CETAK!$J$13="",$N1021=CETAK!$J$13),OR(CETAK!$J$14="",$T1021=CETAK!$J$14)),MAX($AC$3:AC1020)+1,""))</f>
        <v/>
      </c>
      <c r="AD1021" s="40" t="str">
        <f aca="false">IF($B1021="","",IF(AND(OR(ABSENSI!$H$10="",$F1021=ABSENSI!$H$10),OR(ABSENSI!$H$11="",$G1021=ABSENSI!$H$11),OR(ABSENSI!$H$12="",$P1021=ABSENSI!$H$12)),MAX($AD$3:AD1020)+1,""))</f>
        <v/>
      </c>
      <c r="AE1021" s="40" t="str">
        <f aca="false">IF($B1021="","",IF(AND(OR(KARTU!$K$6="",$F1021=KARTU!$K$6),OR(KARTU!$K$7="",$G1021=KARTU!$K$7),OR(KARTU!$K$8="",$P1021=KARTU!$K$8)),MAX($AE$3:AE1020)+1,""))</f>
        <v/>
      </c>
    </row>
    <row r="1022" customFormat="false" ht="15" hidden="false" customHeight="false" outlineLevel="0" collapsed="false">
      <c r="A1022" s="35" t="str">
        <f aca="false">IF($B1022="","",COUNTA($B$4:$B1022))</f>
        <v/>
      </c>
      <c r="B1022" s="36"/>
      <c r="C1022" s="37"/>
      <c r="D1022" s="37"/>
      <c r="E1022" s="38"/>
      <c r="F1022" s="36"/>
      <c r="G1022" s="39"/>
      <c r="H1022" s="39"/>
      <c r="I1022" s="36"/>
      <c r="J1022" s="36"/>
      <c r="K1022" s="36"/>
      <c r="L1022" s="36"/>
      <c r="M1022" s="40" t="str">
        <f aca="false">IF($F1022="","",$F1022&amp;IF($G1022="",""," - RT "&amp;$G1022&amp;IF($H1022="","","/"&amp;$H1022)))</f>
        <v/>
      </c>
      <c r="N1022" s="36"/>
      <c r="O1022" s="37"/>
      <c r="P1022" s="39"/>
      <c r="Q1022" s="41"/>
      <c r="R1022" s="35" t="str">
        <f aca="true">IF(OR($B1022="",$Q1022=""),"",DATEDIF($Q1022,TODAY(),"Y"))</f>
        <v/>
      </c>
      <c r="S1022" s="40" t="str">
        <f aca="false">IF($R1022="","",INDEX(usia_label,MATCH($R1022,usia_min,1)))</f>
        <v/>
      </c>
      <c r="T1022" s="36"/>
      <c r="U1022" s="41"/>
      <c r="V1022" s="36"/>
      <c r="W1022" s="36"/>
      <c r="X1022" s="40" t="str">
        <f aca="false">IF($M1022="","",$M1022&amp;"#"&amp;COUNTIF($M$4:$M1022,$M1022))</f>
        <v/>
      </c>
      <c r="Y1022" s="40" t="str">
        <f aca="false">IF($B1022="","",IF($C1022="","NIK kosong",IF(LEN($C1022)&lt;&gt;16,"NIK bukan 16 digit",IF(COUNTIF($C$4:$C$2003,$C1022&amp;"*")&gt;1,"NIK ganda",IF(AND($D1022&lt;&gt;"",LEN($D1022)&lt;&gt;16),"No. KK bukan 16 digit",IF(AND($F1022="",$I1022=""),"Alamat kosong",IF($N1022="","Jabatan kosong",IF($O1022="","No. HP kosong",IF(AND($R1022&lt;&gt;"",$R1022&lt;17),"Usia di bawah 17","")))))))))</f>
        <v/>
      </c>
      <c r="Z1022" s="40" t="str">
        <f aca="false">IF($B1022="","",IF(AND(OR(CARI!$C$5="",ISNUMBER(SEARCH(CARI!$C$5,$B1022&amp;" "&amp;$C1022&amp;" "&amp;$D1022&amp;" "&amp;$O1022&amp;" "&amp;$I1022&amp;" "&amp;$F1022&amp;" "&amp;$J1022&amp;" "&amp;$K1022&amp;" "&amp;$L1022&amp;" "&amp;$V1022))),OR(CARI!$C$6="",$F1022=CARI!$C$6),OR(CARI!$C$7="",$G1022=CARI!$C$7),OR(CARI!$C$8="",$T1022=CARI!$C$8)),MAX($Z$3:Z1021)+1,""))</f>
        <v/>
      </c>
      <c r="AA1022" s="40" t="str">
        <f aca="false">IF($Y1022="","",MAX($AA$3:AA1021)+1)</f>
        <v/>
      </c>
      <c r="AB1022" s="40" t="str">
        <f aca="false">IF($F1022="","",$F1022&amp;"#"&amp;COUNTIF($F$4:$F1022,$F1022))</f>
        <v/>
      </c>
      <c r="AC1022" s="40" t="str">
        <f aca="false">IF($B1022="","",IF(AND(OR(CETAK!$J$10="",$F1022=CETAK!$J$10),OR(CETAK!$J$11="",$G1022=CETAK!$J$11),OR(CETAK!$J$12="",$P1022=CETAK!$J$12),OR(CETAK!$J$13="",$N1022=CETAK!$J$13),OR(CETAK!$J$14="",$T1022=CETAK!$J$14)),MAX($AC$3:AC1021)+1,""))</f>
        <v/>
      </c>
      <c r="AD1022" s="40" t="str">
        <f aca="false">IF($B1022="","",IF(AND(OR(ABSENSI!$H$10="",$F1022=ABSENSI!$H$10),OR(ABSENSI!$H$11="",$G1022=ABSENSI!$H$11),OR(ABSENSI!$H$12="",$P1022=ABSENSI!$H$12)),MAX($AD$3:AD1021)+1,""))</f>
        <v/>
      </c>
      <c r="AE1022" s="40" t="str">
        <f aca="false">IF($B1022="","",IF(AND(OR(KARTU!$K$6="",$F1022=KARTU!$K$6),OR(KARTU!$K$7="",$G1022=KARTU!$K$7),OR(KARTU!$K$8="",$P1022=KARTU!$K$8)),MAX($AE$3:AE1021)+1,""))</f>
        <v/>
      </c>
    </row>
    <row r="1023" customFormat="false" ht="15" hidden="false" customHeight="false" outlineLevel="0" collapsed="false">
      <c r="A1023" s="35" t="str">
        <f aca="false">IF($B1023="","",COUNTA($B$4:$B1023))</f>
        <v/>
      </c>
      <c r="B1023" s="36"/>
      <c r="C1023" s="37"/>
      <c r="D1023" s="37"/>
      <c r="E1023" s="38"/>
      <c r="F1023" s="36"/>
      <c r="G1023" s="39"/>
      <c r="H1023" s="39"/>
      <c r="I1023" s="36"/>
      <c r="J1023" s="36"/>
      <c r="K1023" s="36"/>
      <c r="L1023" s="36"/>
      <c r="M1023" s="40" t="str">
        <f aca="false">IF($F1023="","",$F1023&amp;IF($G1023="",""," - RT "&amp;$G1023&amp;IF($H1023="","","/"&amp;$H1023)))</f>
        <v/>
      </c>
      <c r="N1023" s="36"/>
      <c r="O1023" s="37"/>
      <c r="P1023" s="39"/>
      <c r="Q1023" s="41"/>
      <c r="R1023" s="35" t="str">
        <f aca="true">IF(OR($B1023="",$Q1023=""),"",DATEDIF($Q1023,TODAY(),"Y"))</f>
        <v/>
      </c>
      <c r="S1023" s="40" t="str">
        <f aca="false">IF($R1023="","",INDEX(usia_label,MATCH($R1023,usia_min,1)))</f>
        <v/>
      </c>
      <c r="T1023" s="36"/>
      <c r="U1023" s="41"/>
      <c r="V1023" s="36"/>
      <c r="W1023" s="36"/>
      <c r="X1023" s="40" t="str">
        <f aca="false">IF($M1023="","",$M1023&amp;"#"&amp;COUNTIF($M$4:$M1023,$M1023))</f>
        <v/>
      </c>
      <c r="Y1023" s="40" t="str">
        <f aca="false">IF($B1023="","",IF($C1023="","NIK kosong",IF(LEN($C1023)&lt;&gt;16,"NIK bukan 16 digit",IF(COUNTIF($C$4:$C$2003,$C1023&amp;"*")&gt;1,"NIK ganda",IF(AND($D1023&lt;&gt;"",LEN($D1023)&lt;&gt;16),"No. KK bukan 16 digit",IF(AND($F1023="",$I1023=""),"Alamat kosong",IF($N1023="","Jabatan kosong",IF($O1023="","No. HP kosong",IF(AND($R1023&lt;&gt;"",$R1023&lt;17),"Usia di bawah 17","")))))))))</f>
        <v/>
      </c>
      <c r="Z1023" s="40" t="str">
        <f aca="false">IF($B1023="","",IF(AND(OR(CARI!$C$5="",ISNUMBER(SEARCH(CARI!$C$5,$B1023&amp;" "&amp;$C1023&amp;" "&amp;$D1023&amp;" "&amp;$O1023&amp;" "&amp;$I1023&amp;" "&amp;$F1023&amp;" "&amp;$J1023&amp;" "&amp;$K1023&amp;" "&amp;$L1023&amp;" "&amp;$V1023))),OR(CARI!$C$6="",$F1023=CARI!$C$6),OR(CARI!$C$7="",$G1023=CARI!$C$7),OR(CARI!$C$8="",$T1023=CARI!$C$8)),MAX($Z$3:Z1022)+1,""))</f>
        <v/>
      </c>
      <c r="AA1023" s="40" t="str">
        <f aca="false">IF($Y1023="","",MAX($AA$3:AA1022)+1)</f>
        <v/>
      </c>
      <c r="AB1023" s="40" t="str">
        <f aca="false">IF($F1023="","",$F1023&amp;"#"&amp;COUNTIF($F$4:$F1023,$F1023))</f>
        <v/>
      </c>
      <c r="AC1023" s="40" t="str">
        <f aca="false">IF($B1023="","",IF(AND(OR(CETAK!$J$10="",$F1023=CETAK!$J$10),OR(CETAK!$J$11="",$G1023=CETAK!$J$11),OR(CETAK!$J$12="",$P1023=CETAK!$J$12),OR(CETAK!$J$13="",$N1023=CETAK!$J$13),OR(CETAK!$J$14="",$T1023=CETAK!$J$14)),MAX($AC$3:AC1022)+1,""))</f>
        <v/>
      </c>
      <c r="AD1023" s="40" t="str">
        <f aca="false">IF($B1023="","",IF(AND(OR(ABSENSI!$H$10="",$F1023=ABSENSI!$H$10),OR(ABSENSI!$H$11="",$G1023=ABSENSI!$H$11),OR(ABSENSI!$H$12="",$P1023=ABSENSI!$H$12)),MAX($AD$3:AD1022)+1,""))</f>
        <v/>
      </c>
      <c r="AE1023" s="40" t="str">
        <f aca="false">IF($B1023="","",IF(AND(OR(KARTU!$K$6="",$F1023=KARTU!$K$6),OR(KARTU!$K$7="",$G1023=KARTU!$K$7),OR(KARTU!$K$8="",$P1023=KARTU!$K$8)),MAX($AE$3:AE1022)+1,""))</f>
        <v/>
      </c>
    </row>
    <row r="1024" customFormat="false" ht="15" hidden="false" customHeight="false" outlineLevel="0" collapsed="false">
      <c r="A1024" s="35" t="str">
        <f aca="false">IF($B1024="","",COUNTA($B$4:$B1024))</f>
        <v/>
      </c>
      <c r="B1024" s="36"/>
      <c r="C1024" s="37"/>
      <c r="D1024" s="37"/>
      <c r="E1024" s="38"/>
      <c r="F1024" s="36"/>
      <c r="G1024" s="39"/>
      <c r="H1024" s="39"/>
      <c r="I1024" s="36"/>
      <c r="J1024" s="36"/>
      <c r="K1024" s="36"/>
      <c r="L1024" s="36"/>
      <c r="M1024" s="40" t="str">
        <f aca="false">IF($F1024="","",$F1024&amp;IF($G1024="",""," - RT "&amp;$G1024&amp;IF($H1024="","","/"&amp;$H1024)))</f>
        <v/>
      </c>
      <c r="N1024" s="36"/>
      <c r="O1024" s="37"/>
      <c r="P1024" s="39"/>
      <c r="Q1024" s="41"/>
      <c r="R1024" s="35" t="str">
        <f aca="true">IF(OR($B1024="",$Q1024=""),"",DATEDIF($Q1024,TODAY(),"Y"))</f>
        <v/>
      </c>
      <c r="S1024" s="40" t="str">
        <f aca="false">IF($R1024="","",INDEX(usia_label,MATCH($R1024,usia_min,1)))</f>
        <v/>
      </c>
      <c r="T1024" s="36"/>
      <c r="U1024" s="41"/>
      <c r="V1024" s="36"/>
      <c r="W1024" s="36"/>
      <c r="X1024" s="40" t="str">
        <f aca="false">IF($M1024="","",$M1024&amp;"#"&amp;COUNTIF($M$4:$M1024,$M1024))</f>
        <v/>
      </c>
      <c r="Y1024" s="40" t="str">
        <f aca="false">IF($B1024="","",IF($C1024="","NIK kosong",IF(LEN($C1024)&lt;&gt;16,"NIK bukan 16 digit",IF(COUNTIF($C$4:$C$2003,$C1024&amp;"*")&gt;1,"NIK ganda",IF(AND($D1024&lt;&gt;"",LEN($D1024)&lt;&gt;16),"No. KK bukan 16 digit",IF(AND($F1024="",$I1024=""),"Alamat kosong",IF($N1024="","Jabatan kosong",IF($O1024="","No. HP kosong",IF(AND($R1024&lt;&gt;"",$R1024&lt;17),"Usia di bawah 17","")))))))))</f>
        <v/>
      </c>
      <c r="Z1024" s="40" t="str">
        <f aca="false">IF($B1024="","",IF(AND(OR(CARI!$C$5="",ISNUMBER(SEARCH(CARI!$C$5,$B1024&amp;" "&amp;$C1024&amp;" "&amp;$D1024&amp;" "&amp;$O1024&amp;" "&amp;$I1024&amp;" "&amp;$F1024&amp;" "&amp;$J1024&amp;" "&amp;$K1024&amp;" "&amp;$L1024&amp;" "&amp;$V1024))),OR(CARI!$C$6="",$F1024=CARI!$C$6),OR(CARI!$C$7="",$G1024=CARI!$C$7),OR(CARI!$C$8="",$T1024=CARI!$C$8)),MAX($Z$3:Z1023)+1,""))</f>
        <v/>
      </c>
      <c r="AA1024" s="40" t="str">
        <f aca="false">IF($Y1024="","",MAX($AA$3:AA1023)+1)</f>
        <v/>
      </c>
      <c r="AB1024" s="40" t="str">
        <f aca="false">IF($F1024="","",$F1024&amp;"#"&amp;COUNTIF($F$4:$F1024,$F1024))</f>
        <v/>
      </c>
      <c r="AC1024" s="40" t="str">
        <f aca="false">IF($B1024="","",IF(AND(OR(CETAK!$J$10="",$F1024=CETAK!$J$10),OR(CETAK!$J$11="",$G1024=CETAK!$J$11),OR(CETAK!$J$12="",$P1024=CETAK!$J$12),OR(CETAK!$J$13="",$N1024=CETAK!$J$13),OR(CETAK!$J$14="",$T1024=CETAK!$J$14)),MAX($AC$3:AC1023)+1,""))</f>
        <v/>
      </c>
      <c r="AD1024" s="40" t="str">
        <f aca="false">IF($B1024="","",IF(AND(OR(ABSENSI!$H$10="",$F1024=ABSENSI!$H$10),OR(ABSENSI!$H$11="",$G1024=ABSENSI!$H$11),OR(ABSENSI!$H$12="",$P1024=ABSENSI!$H$12)),MAX($AD$3:AD1023)+1,""))</f>
        <v/>
      </c>
      <c r="AE1024" s="40" t="str">
        <f aca="false">IF($B1024="","",IF(AND(OR(KARTU!$K$6="",$F1024=KARTU!$K$6),OR(KARTU!$K$7="",$G1024=KARTU!$K$7),OR(KARTU!$K$8="",$P1024=KARTU!$K$8)),MAX($AE$3:AE1023)+1,""))</f>
        <v/>
      </c>
    </row>
    <row r="1025" customFormat="false" ht="15" hidden="false" customHeight="false" outlineLevel="0" collapsed="false">
      <c r="A1025" s="35" t="str">
        <f aca="false">IF($B1025="","",COUNTA($B$4:$B1025))</f>
        <v/>
      </c>
      <c r="B1025" s="36"/>
      <c r="C1025" s="37"/>
      <c r="D1025" s="37"/>
      <c r="E1025" s="38"/>
      <c r="F1025" s="36"/>
      <c r="G1025" s="39"/>
      <c r="H1025" s="39"/>
      <c r="I1025" s="36"/>
      <c r="J1025" s="36"/>
      <c r="K1025" s="36"/>
      <c r="L1025" s="36"/>
      <c r="M1025" s="40" t="str">
        <f aca="false">IF($F1025="","",$F1025&amp;IF($G1025="",""," - RT "&amp;$G1025&amp;IF($H1025="","","/"&amp;$H1025)))</f>
        <v/>
      </c>
      <c r="N1025" s="36"/>
      <c r="O1025" s="37"/>
      <c r="P1025" s="39"/>
      <c r="Q1025" s="41"/>
      <c r="R1025" s="35" t="str">
        <f aca="true">IF(OR($B1025="",$Q1025=""),"",DATEDIF($Q1025,TODAY(),"Y"))</f>
        <v/>
      </c>
      <c r="S1025" s="40" t="str">
        <f aca="false">IF($R1025="","",INDEX(usia_label,MATCH($R1025,usia_min,1)))</f>
        <v/>
      </c>
      <c r="T1025" s="36"/>
      <c r="U1025" s="41"/>
      <c r="V1025" s="36"/>
      <c r="W1025" s="36"/>
      <c r="X1025" s="40" t="str">
        <f aca="false">IF($M1025="","",$M1025&amp;"#"&amp;COUNTIF($M$4:$M1025,$M1025))</f>
        <v/>
      </c>
      <c r="Y1025" s="40" t="str">
        <f aca="false">IF($B1025="","",IF($C1025="","NIK kosong",IF(LEN($C1025)&lt;&gt;16,"NIK bukan 16 digit",IF(COUNTIF($C$4:$C$2003,$C1025&amp;"*")&gt;1,"NIK ganda",IF(AND($D1025&lt;&gt;"",LEN($D1025)&lt;&gt;16),"No. KK bukan 16 digit",IF(AND($F1025="",$I1025=""),"Alamat kosong",IF($N1025="","Jabatan kosong",IF($O1025="","No. HP kosong",IF(AND($R1025&lt;&gt;"",$R1025&lt;17),"Usia di bawah 17","")))))))))</f>
        <v/>
      </c>
      <c r="Z1025" s="40" t="str">
        <f aca="false">IF($B1025="","",IF(AND(OR(CARI!$C$5="",ISNUMBER(SEARCH(CARI!$C$5,$B1025&amp;" "&amp;$C1025&amp;" "&amp;$D1025&amp;" "&amp;$O1025&amp;" "&amp;$I1025&amp;" "&amp;$F1025&amp;" "&amp;$J1025&amp;" "&amp;$K1025&amp;" "&amp;$L1025&amp;" "&amp;$V1025))),OR(CARI!$C$6="",$F1025=CARI!$C$6),OR(CARI!$C$7="",$G1025=CARI!$C$7),OR(CARI!$C$8="",$T1025=CARI!$C$8)),MAX($Z$3:Z1024)+1,""))</f>
        <v/>
      </c>
      <c r="AA1025" s="40" t="str">
        <f aca="false">IF($Y1025="","",MAX($AA$3:AA1024)+1)</f>
        <v/>
      </c>
      <c r="AB1025" s="40" t="str">
        <f aca="false">IF($F1025="","",$F1025&amp;"#"&amp;COUNTIF($F$4:$F1025,$F1025))</f>
        <v/>
      </c>
      <c r="AC1025" s="40" t="str">
        <f aca="false">IF($B1025="","",IF(AND(OR(CETAK!$J$10="",$F1025=CETAK!$J$10),OR(CETAK!$J$11="",$G1025=CETAK!$J$11),OR(CETAK!$J$12="",$P1025=CETAK!$J$12),OR(CETAK!$J$13="",$N1025=CETAK!$J$13),OR(CETAK!$J$14="",$T1025=CETAK!$J$14)),MAX($AC$3:AC1024)+1,""))</f>
        <v/>
      </c>
      <c r="AD1025" s="40" t="str">
        <f aca="false">IF($B1025="","",IF(AND(OR(ABSENSI!$H$10="",$F1025=ABSENSI!$H$10),OR(ABSENSI!$H$11="",$G1025=ABSENSI!$H$11),OR(ABSENSI!$H$12="",$P1025=ABSENSI!$H$12)),MAX($AD$3:AD1024)+1,""))</f>
        <v/>
      </c>
      <c r="AE1025" s="40" t="str">
        <f aca="false">IF($B1025="","",IF(AND(OR(KARTU!$K$6="",$F1025=KARTU!$K$6),OR(KARTU!$K$7="",$G1025=KARTU!$K$7),OR(KARTU!$K$8="",$P1025=KARTU!$K$8)),MAX($AE$3:AE1024)+1,""))</f>
        <v/>
      </c>
    </row>
    <row r="1026" customFormat="false" ht="15" hidden="false" customHeight="false" outlineLevel="0" collapsed="false">
      <c r="A1026" s="35" t="str">
        <f aca="false">IF($B1026="","",COUNTA($B$4:$B1026))</f>
        <v/>
      </c>
      <c r="B1026" s="36"/>
      <c r="C1026" s="37"/>
      <c r="D1026" s="37"/>
      <c r="E1026" s="38"/>
      <c r="F1026" s="36"/>
      <c r="G1026" s="39"/>
      <c r="H1026" s="39"/>
      <c r="I1026" s="36"/>
      <c r="J1026" s="36"/>
      <c r="K1026" s="36"/>
      <c r="L1026" s="36"/>
      <c r="M1026" s="40" t="str">
        <f aca="false">IF($F1026="","",$F1026&amp;IF($G1026="",""," - RT "&amp;$G1026&amp;IF($H1026="","","/"&amp;$H1026)))</f>
        <v/>
      </c>
      <c r="N1026" s="36"/>
      <c r="O1026" s="37"/>
      <c r="P1026" s="39"/>
      <c r="Q1026" s="41"/>
      <c r="R1026" s="35" t="str">
        <f aca="true">IF(OR($B1026="",$Q1026=""),"",DATEDIF($Q1026,TODAY(),"Y"))</f>
        <v/>
      </c>
      <c r="S1026" s="40" t="str">
        <f aca="false">IF($R1026="","",INDEX(usia_label,MATCH($R1026,usia_min,1)))</f>
        <v/>
      </c>
      <c r="T1026" s="36"/>
      <c r="U1026" s="41"/>
      <c r="V1026" s="36"/>
      <c r="W1026" s="36"/>
      <c r="X1026" s="40" t="str">
        <f aca="false">IF($M1026="","",$M1026&amp;"#"&amp;COUNTIF($M$4:$M1026,$M1026))</f>
        <v/>
      </c>
      <c r="Y1026" s="40" t="str">
        <f aca="false">IF($B1026="","",IF($C1026="","NIK kosong",IF(LEN($C1026)&lt;&gt;16,"NIK bukan 16 digit",IF(COUNTIF($C$4:$C$2003,$C1026&amp;"*")&gt;1,"NIK ganda",IF(AND($D1026&lt;&gt;"",LEN($D1026)&lt;&gt;16),"No. KK bukan 16 digit",IF(AND($F1026="",$I1026=""),"Alamat kosong",IF($N1026="","Jabatan kosong",IF($O1026="","No. HP kosong",IF(AND($R1026&lt;&gt;"",$R1026&lt;17),"Usia di bawah 17","")))))))))</f>
        <v/>
      </c>
      <c r="Z1026" s="40" t="str">
        <f aca="false">IF($B1026="","",IF(AND(OR(CARI!$C$5="",ISNUMBER(SEARCH(CARI!$C$5,$B1026&amp;" "&amp;$C1026&amp;" "&amp;$D1026&amp;" "&amp;$O1026&amp;" "&amp;$I1026&amp;" "&amp;$F1026&amp;" "&amp;$J1026&amp;" "&amp;$K1026&amp;" "&amp;$L1026&amp;" "&amp;$V1026))),OR(CARI!$C$6="",$F1026=CARI!$C$6),OR(CARI!$C$7="",$G1026=CARI!$C$7),OR(CARI!$C$8="",$T1026=CARI!$C$8)),MAX($Z$3:Z1025)+1,""))</f>
        <v/>
      </c>
      <c r="AA1026" s="40" t="str">
        <f aca="false">IF($Y1026="","",MAX($AA$3:AA1025)+1)</f>
        <v/>
      </c>
      <c r="AB1026" s="40" t="str">
        <f aca="false">IF($F1026="","",$F1026&amp;"#"&amp;COUNTIF($F$4:$F1026,$F1026))</f>
        <v/>
      </c>
      <c r="AC1026" s="40" t="str">
        <f aca="false">IF($B1026="","",IF(AND(OR(CETAK!$J$10="",$F1026=CETAK!$J$10),OR(CETAK!$J$11="",$G1026=CETAK!$J$11),OR(CETAK!$J$12="",$P1026=CETAK!$J$12),OR(CETAK!$J$13="",$N1026=CETAK!$J$13),OR(CETAK!$J$14="",$T1026=CETAK!$J$14)),MAX($AC$3:AC1025)+1,""))</f>
        <v/>
      </c>
      <c r="AD1026" s="40" t="str">
        <f aca="false">IF($B1026="","",IF(AND(OR(ABSENSI!$H$10="",$F1026=ABSENSI!$H$10),OR(ABSENSI!$H$11="",$G1026=ABSENSI!$H$11),OR(ABSENSI!$H$12="",$P1026=ABSENSI!$H$12)),MAX($AD$3:AD1025)+1,""))</f>
        <v/>
      </c>
      <c r="AE1026" s="40" t="str">
        <f aca="false">IF($B1026="","",IF(AND(OR(KARTU!$K$6="",$F1026=KARTU!$K$6),OR(KARTU!$K$7="",$G1026=KARTU!$K$7),OR(KARTU!$K$8="",$P1026=KARTU!$K$8)),MAX($AE$3:AE1025)+1,""))</f>
        <v/>
      </c>
    </row>
    <row r="1027" customFormat="false" ht="15" hidden="false" customHeight="false" outlineLevel="0" collapsed="false">
      <c r="A1027" s="35" t="str">
        <f aca="false">IF($B1027="","",COUNTA($B$4:$B1027))</f>
        <v/>
      </c>
      <c r="B1027" s="36"/>
      <c r="C1027" s="37"/>
      <c r="D1027" s="37"/>
      <c r="E1027" s="38"/>
      <c r="F1027" s="36"/>
      <c r="G1027" s="39"/>
      <c r="H1027" s="39"/>
      <c r="I1027" s="36"/>
      <c r="J1027" s="36"/>
      <c r="K1027" s="36"/>
      <c r="L1027" s="36"/>
      <c r="M1027" s="40" t="str">
        <f aca="false">IF($F1027="","",$F1027&amp;IF($G1027="",""," - RT "&amp;$G1027&amp;IF($H1027="","","/"&amp;$H1027)))</f>
        <v/>
      </c>
      <c r="N1027" s="36"/>
      <c r="O1027" s="37"/>
      <c r="P1027" s="39"/>
      <c r="Q1027" s="41"/>
      <c r="R1027" s="35" t="str">
        <f aca="true">IF(OR($B1027="",$Q1027=""),"",DATEDIF($Q1027,TODAY(),"Y"))</f>
        <v/>
      </c>
      <c r="S1027" s="40" t="str">
        <f aca="false">IF($R1027="","",INDEX(usia_label,MATCH($R1027,usia_min,1)))</f>
        <v/>
      </c>
      <c r="T1027" s="36"/>
      <c r="U1027" s="41"/>
      <c r="V1027" s="36"/>
      <c r="W1027" s="36"/>
      <c r="X1027" s="40" t="str">
        <f aca="false">IF($M1027="","",$M1027&amp;"#"&amp;COUNTIF($M$4:$M1027,$M1027))</f>
        <v/>
      </c>
      <c r="Y1027" s="40" t="str">
        <f aca="false">IF($B1027="","",IF($C1027="","NIK kosong",IF(LEN($C1027)&lt;&gt;16,"NIK bukan 16 digit",IF(COUNTIF($C$4:$C$2003,$C1027&amp;"*")&gt;1,"NIK ganda",IF(AND($D1027&lt;&gt;"",LEN($D1027)&lt;&gt;16),"No. KK bukan 16 digit",IF(AND($F1027="",$I1027=""),"Alamat kosong",IF($N1027="","Jabatan kosong",IF($O1027="","No. HP kosong",IF(AND($R1027&lt;&gt;"",$R1027&lt;17),"Usia di bawah 17","")))))))))</f>
        <v/>
      </c>
      <c r="Z1027" s="40" t="str">
        <f aca="false">IF($B1027="","",IF(AND(OR(CARI!$C$5="",ISNUMBER(SEARCH(CARI!$C$5,$B1027&amp;" "&amp;$C1027&amp;" "&amp;$D1027&amp;" "&amp;$O1027&amp;" "&amp;$I1027&amp;" "&amp;$F1027&amp;" "&amp;$J1027&amp;" "&amp;$K1027&amp;" "&amp;$L1027&amp;" "&amp;$V1027))),OR(CARI!$C$6="",$F1027=CARI!$C$6),OR(CARI!$C$7="",$G1027=CARI!$C$7),OR(CARI!$C$8="",$T1027=CARI!$C$8)),MAX($Z$3:Z1026)+1,""))</f>
        <v/>
      </c>
      <c r="AA1027" s="40" t="str">
        <f aca="false">IF($Y1027="","",MAX($AA$3:AA1026)+1)</f>
        <v/>
      </c>
      <c r="AB1027" s="40" t="str">
        <f aca="false">IF($F1027="","",$F1027&amp;"#"&amp;COUNTIF($F$4:$F1027,$F1027))</f>
        <v/>
      </c>
      <c r="AC1027" s="40" t="str">
        <f aca="false">IF($B1027="","",IF(AND(OR(CETAK!$J$10="",$F1027=CETAK!$J$10),OR(CETAK!$J$11="",$G1027=CETAK!$J$11),OR(CETAK!$J$12="",$P1027=CETAK!$J$12),OR(CETAK!$J$13="",$N1027=CETAK!$J$13),OR(CETAK!$J$14="",$T1027=CETAK!$J$14)),MAX($AC$3:AC1026)+1,""))</f>
        <v/>
      </c>
      <c r="AD1027" s="40" t="str">
        <f aca="false">IF($B1027="","",IF(AND(OR(ABSENSI!$H$10="",$F1027=ABSENSI!$H$10),OR(ABSENSI!$H$11="",$G1027=ABSENSI!$H$11),OR(ABSENSI!$H$12="",$P1027=ABSENSI!$H$12)),MAX($AD$3:AD1026)+1,""))</f>
        <v/>
      </c>
      <c r="AE1027" s="40" t="str">
        <f aca="false">IF($B1027="","",IF(AND(OR(KARTU!$K$6="",$F1027=KARTU!$K$6),OR(KARTU!$K$7="",$G1027=KARTU!$K$7),OR(KARTU!$K$8="",$P1027=KARTU!$K$8)),MAX($AE$3:AE1026)+1,""))</f>
        <v/>
      </c>
    </row>
    <row r="1028" customFormat="false" ht="15" hidden="false" customHeight="false" outlineLevel="0" collapsed="false">
      <c r="A1028" s="35" t="str">
        <f aca="false">IF($B1028="","",COUNTA($B$4:$B1028))</f>
        <v/>
      </c>
      <c r="B1028" s="36"/>
      <c r="C1028" s="37"/>
      <c r="D1028" s="37"/>
      <c r="E1028" s="38"/>
      <c r="F1028" s="36"/>
      <c r="G1028" s="39"/>
      <c r="H1028" s="39"/>
      <c r="I1028" s="36"/>
      <c r="J1028" s="36"/>
      <c r="K1028" s="36"/>
      <c r="L1028" s="36"/>
      <c r="M1028" s="40" t="str">
        <f aca="false">IF($F1028="","",$F1028&amp;IF($G1028="",""," - RT "&amp;$G1028&amp;IF($H1028="","","/"&amp;$H1028)))</f>
        <v/>
      </c>
      <c r="N1028" s="36"/>
      <c r="O1028" s="37"/>
      <c r="P1028" s="39"/>
      <c r="Q1028" s="41"/>
      <c r="R1028" s="35" t="str">
        <f aca="true">IF(OR($B1028="",$Q1028=""),"",DATEDIF($Q1028,TODAY(),"Y"))</f>
        <v/>
      </c>
      <c r="S1028" s="40" t="str">
        <f aca="false">IF($R1028="","",INDEX(usia_label,MATCH($R1028,usia_min,1)))</f>
        <v/>
      </c>
      <c r="T1028" s="36"/>
      <c r="U1028" s="41"/>
      <c r="V1028" s="36"/>
      <c r="W1028" s="36"/>
      <c r="X1028" s="40" t="str">
        <f aca="false">IF($M1028="","",$M1028&amp;"#"&amp;COUNTIF($M$4:$M1028,$M1028))</f>
        <v/>
      </c>
      <c r="Y1028" s="40" t="str">
        <f aca="false">IF($B1028="","",IF($C1028="","NIK kosong",IF(LEN($C1028)&lt;&gt;16,"NIK bukan 16 digit",IF(COUNTIF($C$4:$C$2003,$C1028&amp;"*")&gt;1,"NIK ganda",IF(AND($D1028&lt;&gt;"",LEN($D1028)&lt;&gt;16),"No. KK bukan 16 digit",IF(AND($F1028="",$I1028=""),"Alamat kosong",IF($N1028="","Jabatan kosong",IF($O1028="","No. HP kosong",IF(AND($R1028&lt;&gt;"",$R1028&lt;17),"Usia di bawah 17","")))))))))</f>
        <v/>
      </c>
      <c r="Z1028" s="40" t="str">
        <f aca="false">IF($B1028="","",IF(AND(OR(CARI!$C$5="",ISNUMBER(SEARCH(CARI!$C$5,$B1028&amp;" "&amp;$C1028&amp;" "&amp;$D1028&amp;" "&amp;$O1028&amp;" "&amp;$I1028&amp;" "&amp;$F1028&amp;" "&amp;$J1028&amp;" "&amp;$K1028&amp;" "&amp;$L1028&amp;" "&amp;$V1028))),OR(CARI!$C$6="",$F1028=CARI!$C$6),OR(CARI!$C$7="",$G1028=CARI!$C$7),OR(CARI!$C$8="",$T1028=CARI!$C$8)),MAX($Z$3:Z1027)+1,""))</f>
        <v/>
      </c>
      <c r="AA1028" s="40" t="str">
        <f aca="false">IF($Y1028="","",MAX($AA$3:AA1027)+1)</f>
        <v/>
      </c>
      <c r="AB1028" s="40" t="str">
        <f aca="false">IF($F1028="","",$F1028&amp;"#"&amp;COUNTIF($F$4:$F1028,$F1028))</f>
        <v/>
      </c>
      <c r="AC1028" s="40" t="str">
        <f aca="false">IF($B1028="","",IF(AND(OR(CETAK!$J$10="",$F1028=CETAK!$J$10),OR(CETAK!$J$11="",$G1028=CETAK!$J$11),OR(CETAK!$J$12="",$P1028=CETAK!$J$12),OR(CETAK!$J$13="",$N1028=CETAK!$J$13),OR(CETAK!$J$14="",$T1028=CETAK!$J$14)),MAX($AC$3:AC1027)+1,""))</f>
        <v/>
      </c>
      <c r="AD1028" s="40" t="str">
        <f aca="false">IF($B1028="","",IF(AND(OR(ABSENSI!$H$10="",$F1028=ABSENSI!$H$10),OR(ABSENSI!$H$11="",$G1028=ABSENSI!$H$11),OR(ABSENSI!$H$12="",$P1028=ABSENSI!$H$12)),MAX($AD$3:AD1027)+1,""))</f>
        <v/>
      </c>
      <c r="AE1028" s="40" t="str">
        <f aca="false">IF($B1028="","",IF(AND(OR(KARTU!$K$6="",$F1028=KARTU!$K$6),OR(KARTU!$K$7="",$G1028=KARTU!$K$7),OR(KARTU!$K$8="",$P1028=KARTU!$K$8)),MAX($AE$3:AE1027)+1,""))</f>
        <v/>
      </c>
    </row>
    <row r="1029" customFormat="false" ht="15" hidden="false" customHeight="false" outlineLevel="0" collapsed="false">
      <c r="A1029" s="35" t="str">
        <f aca="false">IF($B1029="","",COUNTA($B$4:$B1029))</f>
        <v/>
      </c>
      <c r="B1029" s="36"/>
      <c r="C1029" s="37"/>
      <c r="D1029" s="37"/>
      <c r="E1029" s="38"/>
      <c r="F1029" s="36"/>
      <c r="G1029" s="39"/>
      <c r="H1029" s="39"/>
      <c r="I1029" s="36"/>
      <c r="J1029" s="36"/>
      <c r="K1029" s="36"/>
      <c r="L1029" s="36"/>
      <c r="M1029" s="40" t="str">
        <f aca="false">IF($F1029="","",$F1029&amp;IF($G1029="",""," - RT "&amp;$G1029&amp;IF($H1029="","","/"&amp;$H1029)))</f>
        <v/>
      </c>
      <c r="N1029" s="36"/>
      <c r="O1029" s="37"/>
      <c r="P1029" s="39"/>
      <c r="Q1029" s="41"/>
      <c r="R1029" s="35" t="str">
        <f aca="true">IF(OR($B1029="",$Q1029=""),"",DATEDIF($Q1029,TODAY(),"Y"))</f>
        <v/>
      </c>
      <c r="S1029" s="40" t="str">
        <f aca="false">IF($R1029="","",INDEX(usia_label,MATCH($R1029,usia_min,1)))</f>
        <v/>
      </c>
      <c r="T1029" s="36"/>
      <c r="U1029" s="41"/>
      <c r="V1029" s="36"/>
      <c r="W1029" s="36"/>
      <c r="X1029" s="40" t="str">
        <f aca="false">IF($M1029="","",$M1029&amp;"#"&amp;COUNTIF($M$4:$M1029,$M1029))</f>
        <v/>
      </c>
      <c r="Y1029" s="40" t="str">
        <f aca="false">IF($B1029="","",IF($C1029="","NIK kosong",IF(LEN($C1029)&lt;&gt;16,"NIK bukan 16 digit",IF(COUNTIF($C$4:$C$2003,$C1029&amp;"*")&gt;1,"NIK ganda",IF(AND($D1029&lt;&gt;"",LEN($D1029)&lt;&gt;16),"No. KK bukan 16 digit",IF(AND($F1029="",$I1029=""),"Alamat kosong",IF($N1029="","Jabatan kosong",IF($O1029="","No. HP kosong",IF(AND($R1029&lt;&gt;"",$R1029&lt;17),"Usia di bawah 17","")))))))))</f>
        <v/>
      </c>
      <c r="Z1029" s="40" t="str">
        <f aca="false">IF($B1029="","",IF(AND(OR(CARI!$C$5="",ISNUMBER(SEARCH(CARI!$C$5,$B1029&amp;" "&amp;$C1029&amp;" "&amp;$D1029&amp;" "&amp;$O1029&amp;" "&amp;$I1029&amp;" "&amp;$F1029&amp;" "&amp;$J1029&amp;" "&amp;$K1029&amp;" "&amp;$L1029&amp;" "&amp;$V1029))),OR(CARI!$C$6="",$F1029=CARI!$C$6),OR(CARI!$C$7="",$G1029=CARI!$C$7),OR(CARI!$C$8="",$T1029=CARI!$C$8)),MAX($Z$3:Z1028)+1,""))</f>
        <v/>
      </c>
      <c r="AA1029" s="40" t="str">
        <f aca="false">IF($Y1029="","",MAX($AA$3:AA1028)+1)</f>
        <v/>
      </c>
      <c r="AB1029" s="40" t="str">
        <f aca="false">IF($F1029="","",$F1029&amp;"#"&amp;COUNTIF($F$4:$F1029,$F1029))</f>
        <v/>
      </c>
      <c r="AC1029" s="40" t="str">
        <f aca="false">IF($B1029="","",IF(AND(OR(CETAK!$J$10="",$F1029=CETAK!$J$10),OR(CETAK!$J$11="",$G1029=CETAK!$J$11),OR(CETAK!$J$12="",$P1029=CETAK!$J$12),OR(CETAK!$J$13="",$N1029=CETAK!$J$13),OR(CETAK!$J$14="",$T1029=CETAK!$J$14)),MAX($AC$3:AC1028)+1,""))</f>
        <v/>
      </c>
      <c r="AD1029" s="40" t="str">
        <f aca="false">IF($B1029="","",IF(AND(OR(ABSENSI!$H$10="",$F1029=ABSENSI!$H$10),OR(ABSENSI!$H$11="",$G1029=ABSENSI!$H$11),OR(ABSENSI!$H$12="",$P1029=ABSENSI!$H$12)),MAX($AD$3:AD1028)+1,""))</f>
        <v/>
      </c>
      <c r="AE1029" s="40" t="str">
        <f aca="false">IF($B1029="","",IF(AND(OR(KARTU!$K$6="",$F1029=KARTU!$K$6),OR(KARTU!$K$7="",$G1029=KARTU!$K$7),OR(KARTU!$K$8="",$P1029=KARTU!$K$8)),MAX($AE$3:AE1028)+1,""))</f>
        <v/>
      </c>
    </row>
    <row r="1030" customFormat="false" ht="15" hidden="false" customHeight="false" outlineLevel="0" collapsed="false">
      <c r="A1030" s="35" t="str">
        <f aca="false">IF($B1030="","",COUNTA($B$4:$B1030))</f>
        <v/>
      </c>
      <c r="B1030" s="36"/>
      <c r="C1030" s="37"/>
      <c r="D1030" s="37"/>
      <c r="E1030" s="38"/>
      <c r="F1030" s="36"/>
      <c r="G1030" s="39"/>
      <c r="H1030" s="39"/>
      <c r="I1030" s="36"/>
      <c r="J1030" s="36"/>
      <c r="K1030" s="36"/>
      <c r="L1030" s="36"/>
      <c r="M1030" s="40" t="str">
        <f aca="false">IF($F1030="","",$F1030&amp;IF($G1030="",""," - RT "&amp;$G1030&amp;IF($H1030="","","/"&amp;$H1030)))</f>
        <v/>
      </c>
      <c r="N1030" s="36"/>
      <c r="O1030" s="37"/>
      <c r="P1030" s="39"/>
      <c r="Q1030" s="41"/>
      <c r="R1030" s="35" t="str">
        <f aca="true">IF(OR($B1030="",$Q1030=""),"",DATEDIF($Q1030,TODAY(),"Y"))</f>
        <v/>
      </c>
      <c r="S1030" s="40" t="str">
        <f aca="false">IF($R1030="","",INDEX(usia_label,MATCH($R1030,usia_min,1)))</f>
        <v/>
      </c>
      <c r="T1030" s="36"/>
      <c r="U1030" s="41"/>
      <c r="V1030" s="36"/>
      <c r="W1030" s="36"/>
      <c r="X1030" s="40" t="str">
        <f aca="false">IF($M1030="","",$M1030&amp;"#"&amp;COUNTIF($M$4:$M1030,$M1030))</f>
        <v/>
      </c>
      <c r="Y1030" s="40" t="str">
        <f aca="false">IF($B1030="","",IF($C1030="","NIK kosong",IF(LEN($C1030)&lt;&gt;16,"NIK bukan 16 digit",IF(COUNTIF($C$4:$C$2003,$C1030&amp;"*")&gt;1,"NIK ganda",IF(AND($D1030&lt;&gt;"",LEN($D1030)&lt;&gt;16),"No. KK bukan 16 digit",IF(AND($F1030="",$I1030=""),"Alamat kosong",IF($N1030="","Jabatan kosong",IF($O1030="","No. HP kosong",IF(AND($R1030&lt;&gt;"",$R1030&lt;17),"Usia di bawah 17","")))))))))</f>
        <v/>
      </c>
      <c r="Z1030" s="40" t="str">
        <f aca="false">IF($B1030="","",IF(AND(OR(CARI!$C$5="",ISNUMBER(SEARCH(CARI!$C$5,$B1030&amp;" "&amp;$C1030&amp;" "&amp;$D1030&amp;" "&amp;$O1030&amp;" "&amp;$I1030&amp;" "&amp;$F1030&amp;" "&amp;$J1030&amp;" "&amp;$K1030&amp;" "&amp;$L1030&amp;" "&amp;$V1030))),OR(CARI!$C$6="",$F1030=CARI!$C$6),OR(CARI!$C$7="",$G1030=CARI!$C$7),OR(CARI!$C$8="",$T1030=CARI!$C$8)),MAX($Z$3:Z1029)+1,""))</f>
        <v/>
      </c>
      <c r="AA1030" s="40" t="str">
        <f aca="false">IF($Y1030="","",MAX($AA$3:AA1029)+1)</f>
        <v/>
      </c>
      <c r="AB1030" s="40" t="str">
        <f aca="false">IF($F1030="","",$F1030&amp;"#"&amp;COUNTIF($F$4:$F1030,$F1030))</f>
        <v/>
      </c>
      <c r="AC1030" s="40" t="str">
        <f aca="false">IF($B1030="","",IF(AND(OR(CETAK!$J$10="",$F1030=CETAK!$J$10),OR(CETAK!$J$11="",$G1030=CETAK!$J$11),OR(CETAK!$J$12="",$P1030=CETAK!$J$12),OR(CETAK!$J$13="",$N1030=CETAK!$J$13),OR(CETAK!$J$14="",$T1030=CETAK!$J$14)),MAX($AC$3:AC1029)+1,""))</f>
        <v/>
      </c>
      <c r="AD1030" s="40" t="str">
        <f aca="false">IF($B1030="","",IF(AND(OR(ABSENSI!$H$10="",$F1030=ABSENSI!$H$10),OR(ABSENSI!$H$11="",$G1030=ABSENSI!$H$11),OR(ABSENSI!$H$12="",$P1030=ABSENSI!$H$12)),MAX($AD$3:AD1029)+1,""))</f>
        <v/>
      </c>
      <c r="AE1030" s="40" t="str">
        <f aca="false">IF($B1030="","",IF(AND(OR(KARTU!$K$6="",$F1030=KARTU!$K$6),OR(KARTU!$K$7="",$G1030=KARTU!$K$7),OR(KARTU!$K$8="",$P1030=KARTU!$K$8)),MAX($AE$3:AE1029)+1,""))</f>
        <v/>
      </c>
    </row>
    <row r="1031" customFormat="false" ht="15" hidden="false" customHeight="false" outlineLevel="0" collapsed="false">
      <c r="A1031" s="35" t="str">
        <f aca="false">IF($B1031="","",COUNTA($B$4:$B1031))</f>
        <v/>
      </c>
      <c r="B1031" s="36"/>
      <c r="C1031" s="37"/>
      <c r="D1031" s="37"/>
      <c r="E1031" s="38"/>
      <c r="F1031" s="36"/>
      <c r="G1031" s="39"/>
      <c r="H1031" s="39"/>
      <c r="I1031" s="36"/>
      <c r="J1031" s="36"/>
      <c r="K1031" s="36"/>
      <c r="L1031" s="36"/>
      <c r="M1031" s="40" t="str">
        <f aca="false">IF($F1031="","",$F1031&amp;IF($G1031="",""," - RT "&amp;$G1031&amp;IF($H1031="","","/"&amp;$H1031)))</f>
        <v/>
      </c>
      <c r="N1031" s="36"/>
      <c r="O1031" s="37"/>
      <c r="P1031" s="39"/>
      <c r="Q1031" s="41"/>
      <c r="R1031" s="35" t="str">
        <f aca="true">IF(OR($B1031="",$Q1031=""),"",DATEDIF($Q1031,TODAY(),"Y"))</f>
        <v/>
      </c>
      <c r="S1031" s="40" t="str">
        <f aca="false">IF($R1031="","",INDEX(usia_label,MATCH($R1031,usia_min,1)))</f>
        <v/>
      </c>
      <c r="T1031" s="36"/>
      <c r="U1031" s="41"/>
      <c r="V1031" s="36"/>
      <c r="W1031" s="36"/>
      <c r="X1031" s="40" t="str">
        <f aca="false">IF($M1031="","",$M1031&amp;"#"&amp;COUNTIF($M$4:$M1031,$M1031))</f>
        <v/>
      </c>
      <c r="Y1031" s="40" t="str">
        <f aca="false">IF($B1031="","",IF($C1031="","NIK kosong",IF(LEN($C1031)&lt;&gt;16,"NIK bukan 16 digit",IF(COUNTIF($C$4:$C$2003,$C1031&amp;"*")&gt;1,"NIK ganda",IF(AND($D1031&lt;&gt;"",LEN($D1031)&lt;&gt;16),"No. KK bukan 16 digit",IF(AND($F1031="",$I1031=""),"Alamat kosong",IF($N1031="","Jabatan kosong",IF($O1031="","No. HP kosong",IF(AND($R1031&lt;&gt;"",$R1031&lt;17),"Usia di bawah 17","")))))))))</f>
        <v/>
      </c>
      <c r="Z1031" s="40" t="str">
        <f aca="false">IF($B1031="","",IF(AND(OR(CARI!$C$5="",ISNUMBER(SEARCH(CARI!$C$5,$B1031&amp;" "&amp;$C1031&amp;" "&amp;$D1031&amp;" "&amp;$O1031&amp;" "&amp;$I1031&amp;" "&amp;$F1031&amp;" "&amp;$J1031&amp;" "&amp;$K1031&amp;" "&amp;$L1031&amp;" "&amp;$V1031))),OR(CARI!$C$6="",$F1031=CARI!$C$6),OR(CARI!$C$7="",$G1031=CARI!$C$7),OR(CARI!$C$8="",$T1031=CARI!$C$8)),MAX($Z$3:Z1030)+1,""))</f>
        <v/>
      </c>
      <c r="AA1031" s="40" t="str">
        <f aca="false">IF($Y1031="","",MAX($AA$3:AA1030)+1)</f>
        <v/>
      </c>
      <c r="AB1031" s="40" t="str">
        <f aca="false">IF($F1031="","",$F1031&amp;"#"&amp;COUNTIF($F$4:$F1031,$F1031))</f>
        <v/>
      </c>
      <c r="AC1031" s="40" t="str">
        <f aca="false">IF($B1031="","",IF(AND(OR(CETAK!$J$10="",$F1031=CETAK!$J$10),OR(CETAK!$J$11="",$G1031=CETAK!$J$11),OR(CETAK!$J$12="",$P1031=CETAK!$J$12),OR(CETAK!$J$13="",$N1031=CETAK!$J$13),OR(CETAK!$J$14="",$T1031=CETAK!$J$14)),MAX($AC$3:AC1030)+1,""))</f>
        <v/>
      </c>
      <c r="AD1031" s="40" t="str">
        <f aca="false">IF($B1031="","",IF(AND(OR(ABSENSI!$H$10="",$F1031=ABSENSI!$H$10),OR(ABSENSI!$H$11="",$G1031=ABSENSI!$H$11),OR(ABSENSI!$H$12="",$P1031=ABSENSI!$H$12)),MAX($AD$3:AD1030)+1,""))</f>
        <v/>
      </c>
      <c r="AE1031" s="40" t="str">
        <f aca="false">IF($B1031="","",IF(AND(OR(KARTU!$K$6="",$F1031=KARTU!$K$6),OR(KARTU!$K$7="",$G1031=KARTU!$K$7),OR(KARTU!$K$8="",$P1031=KARTU!$K$8)),MAX($AE$3:AE1030)+1,""))</f>
        <v/>
      </c>
    </row>
    <row r="1032" customFormat="false" ht="15" hidden="false" customHeight="false" outlineLevel="0" collapsed="false">
      <c r="A1032" s="35" t="str">
        <f aca="false">IF($B1032="","",COUNTA($B$4:$B1032))</f>
        <v/>
      </c>
      <c r="B1032" s="36"/>
      <c r="C1032" s="37"/>
      <c r="D1032" s="37"/>
      <c r="E1032" s="38"/>
      <c r="F1032" s="36"/>
      <c r="G1032" s="39"/>
      <c r="H1032" s="39"/>
      <c r="I1032" s="36"/>
      <c r="J1032" s="36"/>
      <c r="K1032" s="36"/>
      <c r="L1032" s="36"/>
      <c r="M1032" s="40" t="str">
        <f aca="false">IF($F1032="","",$F1032&amp;IF($G1032="",""," - RT "&amp;$G1032&amp;IF($H1032="","","/"&amp;$H1032)))</f>
        <v/>
      </c>
      <c r="N1032" s="36"/>
      <c r="O1032" s="37"/>
      <c r="P1032" s="39"/>
      <c r="Q1032" s="41"/>
      <c r="R1032" s="35" t="str">
        <f aca="true">IF(OR($B1032="",$Q1032=""),"",DATEDIF($Q1032,TODAY(),"Y"))</f>
        <v/>
      </c>
      <c r="S1032" s="40" t="str">
        <f aca="false">IF($R1032="","",INDEX(usia_label,MATCH($R1032,usia_min,1)))</f>
        <v/>
      </c>
      <c r="T1032" s="36"/>
      <c r="U1032" s="41"/>
      <c r="V1032" s="36"/>
      <c r="W1032" s="36"/>
      <c r="X1032" s="40" t="str">
        <f aca="false">IF($M1032="","",$M1032&amp;"#"&amp;COUNTIF($M$4:$M1032,$M1032))</f>
        <v/>
      </c>
      <c r="Y1032" s="40" t="str">
        <f aca="false">IF($B1032="","",IF($C1032="","NIK kosong",IF(LEN($C1032)&lt;&gt;16,"NIK bukan 16 digit",IF(COUNTIF($C$4:$C$2003,$C1032&amp;"*")&gt;1,"NIK ganda",IF(AND($D1032&lt;&gt;"",LEN($D1032)&lt;&gt;16),"No. KK bukan 16 digit",IF(AND($F1032="",$I1032=""),"Alamat kosong",IF($N1032="","Jabatan kosong",IF($O1032="","No. HP kosong",IF(AND($R1032&lt;&gt;"",$R1032&lt;17),"Usia di bawah 17","")))))))))</f>
        <v/>
      </c>
      <c r="Z1032" s="40" t="str">
        <f aca="false">IF($B1032="","",IF(AND(OR(CARI!$C$5="",ISNUMBER(SEARCH(CARI!$C$5,$B1032&amp;" "&amp;$C1032&amp;" "&amp;$D1032&amp;" "&amp;$O1032&amp;" "&amp;$I1032&amp;" "&amp;$F1032&amp;" "&amp;$J1032&amp;" "&amp;$K1032&amp;" "&amp;$L1032&amp;" "&amp;$V1032))),OR(CARI!$C$6="",$F1032=CARI!$C$6),OR(CARI!$C$7="",$G1032=CARI!$C$7),OR(CARI!$C$8="",$T1032=CARI!$C$8)),MAX($Z$3:Z1031)+1,""))</f>
        <v/>
      </c>
      <c r="AA1032" s="40" t="str">
        <f aca="false">IF($Y1032="","",MAX($AA$3:AA1031)+1)</f>
        <v/>
      </c>
      <c r="AB1032" s="40" t="str">
        <f aca="false">IF($F1032="","",$F1032&amp;"#"&amp;COUNTIF($F$4:$F1032,$F1032))</f>
        <v/>
      </c>
      <c r="AC1032" s="40" t="str">
        <f aca="false">IF($B1032="","",IF(AND(OR(CETAK!$J$10="",$F1032=CETAK!$J$10),OR(CETAK!$J$11="",$G1032=CETAK!$J$11),OR(CETAK!$J$12="",$P1032=CETAK!$J$12),OR(CETAK!$J$13="",$N1032=CETAK!$J$13),OR(CETAK!$J$14="",$T1032=CETAK!$J$14)),MAX($AC$3:AC1031)+1,""))</f>
        <v/>
      </c>
      <c r="AD1032" s="40" t="str">
        <f aca="false">IF($B1032="","",IF(AND(OR(ABSENSI!$H$10="",$F1032=ABSENSI!$H$10),OR(ABSENSI!$H$11="",$G1032=ABSENSI!$H$11),OR(ABSENSI!$H$12="",$P1032=ABSENSI!$H$12)),MAX($AD$3:AD1031)+1,""))</f>
        <v/>
      </c>
      <c r="AE1032" s="40" t="str">
        <f aca="false">IF($B1032="","",IF(AND(OR(KARTU!$K$6="",$F1032=KARTU!$K$6),OR(KARTU!$K$7="",$G1032=KARTU!$K$7),OR(KARTU!$K$8="",$P1032=KARTU!$K$8)),MAX($AE$3:AE1031)+1,""))</f>
        <v/>
      </c>
    </row>
    <row r="1033" customFormat="false" ht="15" hidden="false" customHeight="false" outlineLevel="0" collapsed="false">
      <c r="A1033" s="35" t="str">
        <f aca="false">IF($B1033="","",COUNTA($B$4:$B1033))</f>
        <v/>
      </c>
      <c r="B1033" s="36"/>
      <c r="C1033" s="37"/>
      <c r="D1033" s="37"/>
      <c r="E1033" s="38"/>
      <c r="F1033" s="36"/>
      <c r="G1033" s="39"/>
      <c r="H1033" s="39"/>
      <c r="I1033" s="36"/>
      <c r="J1033" s="36"/>
      <c r="K1033" s="36"/>
      <c r="L1033" s="36"/>
      <c r="M1033" s="40" t="str">
        <f aca="false">IF($F1033="","",$F1033&amp;IF($G1033="",""," - RT "&amp;$G1033&amp;IF($H1033="","","/"&amp;$H1033)))</f>
        <v/>
      </c>
      <c r="N1033" s="36"/>
      <c r="O1033" s="37"/>
      <c r="P1033" s="39"/>
      <c r="Q1033" s="41"/>
      <c r="R1033" s="35" t="str">
        <f aca="true">IF(OR($B1033="",$Q1033=""),"",DATEDIF($Q1033,TODAY(),"Y"))</f>
        <v/>
      </c>
      <c r="S1033" s="40" t="str">
        <f aca="false">IF($R1033="","",INDEX(usia_label,MATCH($R1033,usia_min,1)))</f>
        <v/>
      </c>
      <c r="T1033" s="36"/>
      <c r="U1033" s="41"/>
      <c r="V1033" s="36"/>
      <c r="W1033" s="36"/>
      <c r="X1033" s="40" t="str">
        <f aca="false">IF($M1033="","",$M1033&amp;"#"&amp;COUNTIF($M$4:$M1033,$M1033))</f>
        <v/>
      </c>
      <c r="Y1033" s="40" t="str">
        <f aca="false">IF($B1033="","",IF($C1033="","NIK kosong",IF(LEN($C1033)&lt;&gt;16,"NIK bukan 16 digit",IF(COUNTIF($C$4:$C$2003,$C1033&amp;"*")&gt;1,"NIK ganda",IF(AND($D1033&lt;&gt;"",LEN($D1033)&lt;&gt;16),"No. KK bukan 16 digit",IF(AND($F1033="",$I1033=""),"Alamat kosong",IF($N1033="","Jabatan kosong",IF($O1033="","No. HP kosong",IF(AND($R1033&lt;&gt;"",$R1033&lt;17),"Usia di bawah 17","")))))))))</f>
        <v/>
      </c>
      <c r="Z1033" s="40" t="str">
        <f aca="false">IF($B1033="","",IF(AND(OR(CARI!$C$5="",ISNUMBER(SEARCH(CARI!$C$5,$B1033&amp;" "&amp;$C1033&amp;" "&amp;$D1033&amp;" "&amp;$O1033&amp;" "&amp;$I1033&amp;" "&amp;$F1033&amp;" "&amp;$J1033&amp;" "&amp;$K1033&amp;" "&amp;$L1033&amp;" "&amp;$V1033))),OR(CARI!$C$6="",$F1033=CARI!$C$6),OR(CARI!$C$7="",$G1033=CARI!$C$7),OR(CARI!$C$8="",$T1033=CARI!$C$8)),MAX($Z$3:Z1032)+1,""))</f>
        <v/>
      </c>
      <c r="AA1033" s="40" t="str">
        <f aca="false">IF($Y1033="","",MAX($AA$3:AA1032)+1)</f>
        <v/>
      </c>
      <c r="AB1033" s="40" t="str">
        <f aca="false">IF($F1033="","",$F1033&amp;"#"&amp;COUNTIF($F$4:$F1033,$F1033))</f>
        <v/>
      </c>
      <c r="AC1033" s="40" t="str">
        <f aca="false">IF($B1033="","",IF(AND(OR(CETAK!$J$10="",$F1033=CETAK!$J$10),OR(CETAK!$J$11="",$G1033=CETAK!$J$11),OR(CETAK!$J$12="",$P1033=CETAK!$J$12),OR(CETAK!$J$13="",$N1033=CETAK!$J$13),OR(CETAK!$J$14="",$T1033=CETAK!$J$14)),MAX($AC$3:AC1032)+1,""))</f>
        <v/>
      </c>
      <c r="AD1033" s="40" t="str">
        <f aca="false">IF($B1033="","",IF(AND(OR(ABSENSI!$H$10="",$F1033=ABSENSI!$H$10),OR(ABSENSI!$H$11="",$G1033=ABSENSI!$H$11),OR(ABSENSI!$H$12="",$P1033=ABSENSI!$H$12)),MAX($AD$3:AD1032)+1,""))</f>
        <v/>
      </c>
      <c r="AE1033" s="40" t="str">
        <f aca="false">IF($B1033="","",IF(AND(OR(KARTU!$K$6="",$F1033=KARTU!$K$6),OR(KARTU!$K$7="",$G1033=KARTU!$K$7),OR(KARTU!$K$8="",$P1033=KARTU!$K$8)),MAX($AE$3:AE1032)+1,""))</f>
        <v/>
      </c>
    </row>
    <row r="1034" customFormat="false" ht="15" hidden="false" customHeight="false" outlineLevel="0" collapsed="false">
      <c r="A1034" s="35" t="str">
        <f aca="false">IF($B1034="","",COUNTA($B$4:$B1034))</f>
        <v/>
      </c>
      <c r="B1034" s="36"/>
      <c r="C1034" s="37"/>
      <c r="D1034" s="37"/>
      <c r="E1034" s="38"/>
      <c r="F1034" s="36"/>
      <c r="G1034" s="39"/>
      <c r="H1034" s="39"/>
      <c r="I1034" s="36"/>
      <c r="J1034" s="36"/>
      <c r="K1034" s="36"/>
      <c r="L1034" s="36"/>
      <c r="M1034" s="40" t="str">
        <f aca="false">IF($F1034="","",$F1034&amp;IF($G1034="",""," - RT "&amp;$G1034&amp;IF($H1034="","","/"&amp;$H1034)))</f>
        <v/>
      </c>
      <c r="N1034" s="36"/>
      <c r="O1034" s="37"/>
      <c r="P1034" s="39"/>
      <c r="Q1034" s="41"/>
      <c r="R1034" s="35" t="str">
        <f aca="true">IF(OR($B1034="",$Q1034=""),"",DATEDIF($Q1034,TODAY(),"Y"))</f>
        <v/>
      </c>
      <c r="S1034" s="40" t="str">
        <f aca="false">IF($R1034="","",INDEX(usia_label,MATCH($R1034,usia_min,1)))</f>
        <v/>
      </c>
      <c r="T1034" s="36"/>
      <c r="U1034" s="41"/>
      <c r="V1034" s="36"/>
      <c r="W1034" s="36"/>
      <c r="X1034" s="40" t="str">
        <f aca="false">IF($M1034="","",$M1034&amp;"#"&amp;COUNTIF($M$4:$M1034,$M1034))</f>
        <v/>
      </c>
      <c r="Y1034" s="40" t="str">
        <f aca="false">IF($B1034="","",IF($C1034="","NIK kosong",IF(LEN($C1034)&lt;&gt;16,"NIK bukan 16 digit",IF(COUNTIF($C$4:$C$2003,$C1034&amp;"*")&gt;1,"NIK ganda",IF(AND($D1034&lt;&gt;"",LEN($D1034)&lt;&gt;16),"No. KK bukan 16 digit",IF(AND($F1034="",$I1034=""),"Alamat kosong",IF($N1034="","Jabatan kosong",IF($O1034="","No. HP kosong",IF(AND($R1034&lt;&gt;"",$R1034&lt;17),"Usia di bawah 17","")))))))))</f>
        <v/>
      </c>
      <c r="Z1034" s="40" t="str">
        <f aca="false">IF($B1034="","",IF(AND(OR(CARI!$C$5="",ISNUMBER(SEARCH(CARI!$C$5,$B1034&amp;" "&amp;$C1034&amp;" "&amp;$D1034&amp;" "&amp;$O1034&amp;" "&amp;$I1034&amp;" "&amp;$F1034&amp;" "&amp;$J1034&amp;" "&amp;$K1034&amp;" "&amp;$L1034&amp;" "&amp;$V1034))),OR(CARI!$C$6="",$F1034=CARI!$C$6),OR(CARI!$C$7="",$G1034=CARI!$C$7),OR(CARI!$C$8="",$T1034=CARI!$C$8)),MAX($Z$3:Z1033)+1,""))</f>
        <v/>
      </c>
      <c r="AA1034" s="40" t="str">
        <f aca="false">IF($Y1034="","",MAX($AA$3:AA1033)+1)</f>
        <v/>
      </c>
      <c r="AB1034" s="40" t="str">
        <f aca="false">IF($F1034="","",$F1034&amp;"#"&amp;COUNTIF($F$4:$F1034,$F1034))</f>
        <v/>
      </c>
      <c r="AC1034" s="40" t="str">
        <f aca="false">IF($B1034="","",IF(AND(OR(CETAK!$J$10="",$F1034=CETAK!$J$10),OR(CETAK!$J$11="",$G1034=CETAK!$J$11),OR(CETAK!$J$12="",$P1034=CETAK!$J$12),OR(CETAK!$J$13="",$N1034=CETAK!$J$13),OR(CETAK!$J$14="",$T1034=CETAK!$J$14)),MAX($AC$3:AC1033)+1,""))</f>
        <v/>
      </c>
      <c r="AD1034" s="40" t="str">
        <f aca="false">IF($B1034="","",IF(AND(OR(ABSENSI!$H$10="",$F1034=ABSENSI!$H$10),OR(ABSENSI!$H$11="",$G1034=ABSENSI!$H$11),OR(ABSENSI!$H$12="",$P1034=ABSENSI!$H$12)),MAX($AD$3:AD1033)+1,""))</f>
        <v/>
      </c>
      <c r="AE1034" s="40" t="str">
        <f aca="false">IF($B1034="","",IF(AND(OR(KARTU!$K$6="",$F1034=KARTU!$K$6),OR(KARTU!$K$7="",$G1034=KARTU!$K$7),OR(KARTU!$K$8="",$P1034=KARTU!$K$8)),MAX($AE$3:AE1033)+1,""))</f>
        <v/>
      </c>
    </row>
    <row r="1035" customFormat="false" ht="15" hidden="false" customHeight="false" outlineLevel="0" collapsed="false">
      <c r="A1035" s="35" t="str">
        <f aca="false">IF($B1035="","",COUNTA($B$4:$B1035))</f>
        <v/>
      </c>
      <c r="B1035" s="36"/>
      <c r="C1035" s="37"/>
      <c r="D1035" s="37"/>
      <c r="E1035" s="38"/>
      <c r="F1035" s="36"/>
      <c r="G1035" s="39"/>
      <c r="H1035" s="39"/>
      <c r="I1035" s="36"/>
      <c r="J1035" s="36"/>
      <c r="K1035" s="36"/>
      <c r="L1035" s="36"/>
      <c r="M1035" s="40" t="str">
        <f aca="false">IF($F1035="","",$F1035&amp;IF($G1035="",""," - RT "&amp;$G1035&amp;IF($H1035="","","/"&amp;$H1035)))</f>
        <v/>
      </c>
      <c r="N1035" s="36"/>
      <c r="O1035" s="37"/>
      <c r="P1035" s="39"/>
      <c r="Q1035" s="41"/>
      <c r="R1035" s="35" t="str">
        <f aca="true">IF(OR($B1035="",$Q1035=""),"",DATEDIF($Q1035,TODAY(),"Y"))</f>
        <v/>
      </c>
      <c r="S1035" s="40" t="str">
        <f aca="false">IF($R1035="","",INDEX(usia_label,MATCH($R1035,usia_min,1)))</f>
        <v/>
      </c>
      <c r="T1035" s="36"/>
      <c r="U1035" s="41"/>
      <c r="V1035" s="36"/>
      <c r="W1035" s="36"/>
      <c r="X1035" s="40" t="str">
        <f aca="false">IF($M1035="","",$M1035&amp;"#"&amp;COUNTIF($M$4:$M1035,$M1035))</f>
        <v/>
      </c>
      <c r="Y1035" s="40" t="str">
        <f aca="false">IF($B1035="","",IF($C1035="","NIK kosong",IF(LEN($C1035)&lt;&gt;16,"NIK bukan 16 digit",IF(COUNTIF($C$4:$C$2003,$C1035&amp;"*")&gt;1,"NIK ganda",IF(AND($D1035&lt;&gt;"",LEN($D1035)&lt;&gt;16),"No. KK bukan 16 digit",IF(AND($F1035="",$I1035=""),"Alamat kosong",IF($N1035="","Jabatan kosong",IF($O1035="","No. HP kosong",IF(AND($R1035&lt;&gt;"",$R1035&lt;17),"Usia di bawah 17","")))))))))</f>
        <v/>
      </c>
      <c r="Z1035" s="40" t="str">
        <f aca="false">IF($B1035="","",IF(AND(OR(CARI!$C$5="",ISNUMBER(SEARCH(CARI!$C$5,$B1035&amp;" "&amp;$C1035&amp;" "&amp;$D1035&amp;" "&amp;$O1035&amp;" "&amp;$I1035&amp;" "&amp;$F1035&amp;" "&amp;$J1035&amp;" "&amp;$K1035&amp;" "&amp;$L1035&amp;" "&amp;$V1035))),OR(CARI!$C$6="",$F1035=CARI!$C$6),OR(CARI!$C$7="",$G1035=CARI!$C$7),OR(CARI!$C$8="",$T1035=CARI!$C$8)),MAX($Z$3:Z1034)+1,""))</f>
        <v/>
      </c>
      <c r="AA1035" s="40" t="str">
        <f aca="false">IF($Y1035="","",MAX($AA$3:AA1034)+1)</f>
        <v/>
      </c>
      <c r="AB1035" s="40" t="str">
        <f aca="false">IF($F1035="","",$F1035&amp;"#"&amp;COUNTIF($F$4:$F1035,$F1035))</f>
        <v/>
      </c>
      <c r="AC1035" s="40" t="str">
        <f aca="false">IF($B1035="","",IF(AND(OR(CETAK!$J$10="",$F1035=CETAK!$J$10),OR(CETAK!$J$11="",$G1035=CETAK!$J$11),OR(CETAK!$J$12="",$P1035=CETAK!$J$12),OR(CETAK!$J$13="",$N1035=CETAK!$J$13),OR(CETAK!$J$14="",$T1035=CETAK!$J$14)),MAX($AC$3:AC1034)+1,""))</f>
        <v/>
      </c>
      <c r="AD1035" s="40" t="str">
        <f aca="false">IF($B1035="","",IF(AND(OR(ABSENSI!$H$10="",$F1035=ABSENSI!$H$10),OR(ABSENSI!$H$11="",$G1035=ABSENSI!$H$11),OR(ABSENSI!$H$12="",$P1035=ABSENSI!$H$12)),MAX($AD$3:AD1034)+1,""))</f>
        <v/>
      </c>
      <c r="AE1035" s="40" t="str">
        <f aca="false">IF($B1035="","",IF(AND(OR(KARTU!$K$6="",$F1035=KARTU!$K$6),OR(KARTU!$K$7="",$G1035=KARTU!$K$7),OR(KARTU!$K$8="",$P1035=KARTU!$K$8)),MAX($AE$3:AE1034)+1,""))</f>
        <v/>
      </c>
    </row>
    <row r="1036" customFormat="false" ht="15" hidden="false" customHeight="false" outlineLevel="0" collapsed="false">
      <c r="A1036" s="35" t="str">
        <f aca="false">IF($B1036="","",COUNTA($B$4:$B1036))</f>
        <v/>
      </c>
      <c r="B1036" s="36"/>
      <c r="C1036" s="37"/>
      <c r="D1036" s="37"/>
      <c r="E1036" s="38"/>
      <c r="F1036" s="36"/>
      <c r="G1036" s="39"/>
      <c r="H1036" s="39"/>
      <c r="I1036" s="36"/>
      <c r="J1036" s="36"/>
      <c r="K1036" s="36"/>
      <c r="L1036" s="36"/>
      <c r="M1036" s="40" t="str">
        <f aca="false">IF($F1036="","",$F1036&amp;IF($G1036="",""," - RT "&amp;$G1036&amp;IF($H1036="","","/"&amp;$H1036)))</f>
        <v/>
      </c>
      <c r="N1036" s="36"/>
      <c r="O1036" s="37"/>
      <c r="P1036" s="39"/>
      <c r="Q1036" s="41"/>
      <c r="R1036" s="35" t="str">
        <f aca="true">IF(OR($B1036="",$Q1036=""),"",DATEDIF($Q1036,TODAY(),"Y"))</f>
        <v/>
      </c>
      <c r="S1036" s="40" t="str">
        <f aca="false">IF($R1036="","",INDEX(usia_label,MATCH($R1036,usia_min,1)))</f>
        <v/>
      </c>
      <c r="T1036" s="36"/>
      <c r="U1036" s="41"/>
      <c r="V1036" s="36"/>
      <c r="W1036" s="36"/>
      <c r="X1036" s="40" t="str">
        <f aca="false">IF($M1036="","",$M1036&amp;"#"&amp;COUNTIF($M$4:$M1036,$M1036))</f>
        <v/>
      </c>
      <c r="Y1036" s="40" t="str">
        <f aca="false">IF($B1036="","",IF($C1036="","NIK kosong",IF(LEN($C1036)&lt;&gt;16,"NIK bukan 16 digit",IF(COUNTIF($C$4:$C$2003,$C1036&amp;"*")&gt;1,"NIK ganda",IF(AND($D1036&lt;&gt;"",LEN($D1036)&lt;&gt;16),"No. KK bukan 16 digit",IF(AND($F1036="",$I1036=""),"Alamat kosong",IF($N1036="","Jabatan kosong",IF($O1036="","No. HP kosong",IF(AND($R1036&lt;&gt;"",$R1036&lt;17),"Usia di bawah 17","")))))))))</f>
        <v/>
      </c>
      <c r="Z1036" s="40" t="str">
        <f aca="false">IF($B1036="","",IF(AND(OR(CARI!$C$5="",ISNUMBER(SEARCH(CARI!$C$5,$B1036&amp;" "&amp;$C1036&amp;" "&amp;$D1036&amp;" "&amp;$O1036&amp;" "&amp;$I1036&amp;" "&amp;$F1036&amp;" "&amp;$J1036&amp;" "&amp;$K1036&amp;" "&amp;$L1036&amp;" "&amp;$V1036))),OR(CARI!$C$6="",$F1036=CARI!$C$6),OR(CARI!$C$7="",$G1036=CARI!$C$7),OR(CARI!$C$8="",$T1036=CARI!$C$8)),MAX($Z$3:Z1035)+1,""))</f>
        <v/>
      </c>
      <c r="AA1036" s="40" t="str">
        <f aca="false">IF($Y1036="","",MAX($AA$3:AA1035)+1)</f>
        <v/>
      </c>
      <c r="AB1036" s="40" t="str">
        <f aca="false">IF($F1036="","",$F1036&amp;"#"&amp;COUNTIF($F$4:$F1036,$F1036))</f>
        <v/>
      </c>
      <c r="AC1036" s="40" t="str">
        <f aca="false">IF($B1036="","",IF(AND(OR(CETAK!$J$10="",$F1036=CETAK!$J$10),OR(CETAK!$J$11="",$G1036=CETAK!$J$11),OR(CETAK!$J$12="",$P1036=CETAK!$J$12),OR(CETAK!$J$13="",$N1036=CETAK!$J$13),OR(CETAK!$J$14="",$T1036=CETAK!$J$14)),MAX($AC$3:AC1035)+1,""))</f>
        <v/>
      </c>
      <c r="AD1036" s="40" t="str">
        <f aca="false">IF($B1036="","",IF(AND(OR(ABSENSI!$H$10="",$F1036=ABSENSI!$H$10),OR(ABSENSI!$H$11="",$G1036=ABSENSI!$H$11),OR(ABSENSI!$H$12="",$P1036=ABSENSI!$H$12)),MAX($AD$3:AD1035)+1,""))</f>
        <v/>
      </c>
      <c r="AE1036" s="40" t="str">
        <f aca="false">IF($B1036="","",IF(AND(OR(KARTU!$K$6="",$F1036=KARTU!$K$6),OR(KARTU!$K$7="",$G1036=KARTU!$K$7),OR(KARTU!$K$8="",$P1036=KARTU!$K$8)),MAX($AE$3:AE1035)+1,""))</f>
        <v/>
      </c>
    </row>
    <row r="1037" customFormat="false" ht="15" hidden="false" customHeight="false" outlineLevel="0" collapsed="false">
      <c r="A1037" s="35" t="str">
        <f aca="false">IF($B1037="","",COUNTA($B$4:$B1037))</f>
        <v/>
      </c>
      <c r="B1037" s="36"/>
      <c r="C1037" s="37"/>
      <c r="D1037" s="37"/>
      <c r="E1037" s="38"/>
      <c r="F1037" s="36"/>
      <c r="G1037" s="39"/>
      <c r="H1037" s="39"/>
      <c r="I1037" s="36"/>
      <c r="J1037" s="36"/>
      <c r="K1037" s="36"/>
      <c r="L1037" s="36"/>
      <c r="M1037" s="40" t="str">
        <f aca="false">IF($F1037="","",$F1037&amp;IF($G1037="",""," - RT "&amp;$G1037&amp;IF($H1037="","","/"&amp;$H1037)))</f>
        <v/>
      </c>
      <c r="N1037" s="36"/>
      <c r="O1037" s="37"/>
      <c r="P1037" s="39"/>
      <c r="Q1037" s="41"/>
      <c r="R1037" s="35" t="str">
        <f aca="true">IF(OR($B1037="",$Q1037=""),"",DATEDIF($Q1037,TODAY(),"Y"))</f>
        <v/>
      </c>
      <c r="S1037" s="40" t="str">
        <f aca="false">IF($R1037="","",INDEX(usia_label,MATCH($R1037,usia_min,1)))</f>
        <v/>
      </c>
      <c r="T1037" s="36"/>
      <c r="U1037" s="41"/>
      <c r="V1037" s="36"/>
      <c r="W1037" s="36"/>
      <c r="X1037" s="40" t="str">
        <f aca="false">IF($M1037="","",$M1037&amp;"#"&amp;COUNTIF($M$4:$M1037,$M1037))</f>
        <v/>
      </c>
      <c r="Y1037" s="40" t="str">
        <f aca="false">IF($B1037="","",IF($C1037="","NIK kosong",IF(LEN($C1037)&lt;&gt;16,"NIK bukan 16 digit",IF(COUNTIF($C$4:$C$2003,$C1037&amp;"*")&gt;1,"NIK ganda",IF(AND($D1037&lt;&gt;"",LEN($D1037)&lt;&gt;16),"No. KK bukan 16 digit",IF(AND($F1037="",$I1037=""),"Alamat kosong",IF($N1037="","Jabatan kosong",IF($O1037="","No. HP kosong",IF(AND($R1037&lt;&gt;"",$R1037&lt;17),"Usia di bawah 17","")))))))))</f>
        <v/>
      </c>
      <c r="Z1037" s="40" t="str">
        <f aca="false">IF($B1037="","",IF(AND(OR(CARI!$C$5="",ISNUMBER(SEARCH(CARI!$C$5,$B1037&amp;" "&amp;$C1037&amp;" "&amp;$D1037&amp;" "&amp;$O1037&amp;" "&amp;$I1037&amp;" "&amp;$F1037&amp;" "&amp;$J1037&amp;" "&amp;$K1037&amp;" "&amp;$L1037&amp;" "&amp;$V1037))),OR(CARI!$C$6="",$F1037=CARI!$C$6),OR(CARI!$C$7="",$G1037=CARI!$C$7),OR(CARI!$C$8="",$T1037=CARI!$C$8)),MAX($Z$3:Z1036)+1,""))</f>
        <v/>
      </c>
      <c r="AA1037" s="40" t="str">
        <f aca="false">IF($Y1037="","",MAX($AA$3:AA1036)+1)</f>
        <v/>
      </c>
      <c r="AB1037" s="40" t="str">
        <f aca="false">IF($F1037="","",$F1037&amp;"#"&amp;COUNTIF($F$4:$F1037,$F1037))</f>
        <v/>
      </c>
      <c r="AC1037" s="40" t="str">
        <f aca="false">IF($B1037="","",IF(AND(OR(CETAK!$J$10="",$F1037=CETAK!$J$10),OR(CETAK!$J$11="",$G1037=CETAK!$J$11),OR(CETAK!$J$12="",$P1037=CETAK!$J$12),OR(CETAK!$J$13="",$N1037=CETAK!$J$13),OR(CETAK!$J$14="",$T1037=CETAK!$J$14)),MAX($AC$3:AC1036)+1,""))</f>
        <v/>
      </c>
      <c r="AD1037" s="40" t="str">
        <f aca="false">IF($B1037="","",IF(AND(OR(ABSENSI!$H$10="",$F1037=ABSENSI!$H$10),OR(ABSENSI!$H$11="",$G1037=ABSENSI!$H$11),OR(ABSENSI!$H$12="",$P1037=ABSENSI!$H$12)),MAX($AD$3:AD1036)+1,""))</f>
        <v/>
      </c>
      <c r="AE1037" s="40" t="str">
        <f aca="false">IF($B1037="","",IF(AND(OR(KARTU!$K$6="",$F1037=KARTU!$K$6),OR(KARTU!$K$7="",$G1037=KARTU!$K$7),OR(KARTU!$K$8="",$P1037=KARTU!$K$8)),MAX($AE$3:AE1036)+1,""))</f>
        <v/>
      </c>
    </row>
    <row r="1038" customFormat="false" ht="15" hidden="false" customHeight="false" outlineLevel="0" collapsed="false">
      <c r="A1038" s="35" t="str">
        <f aca="false">IF($B1038="","",COUNTA($B$4:$B1038))</f>
        <v/>
      </c>
      <c r="B1038" s="36"/>
      <c r="C1038" s="37"/>
      <c r="D1038" s="37"/>
      <c r="E1038" s="38"/>
      <c r="F1038" s="36"/>
      <c r="G1038" s="39"/>
      <c r="H1038" s="39"/>
      <c r="I1038" s="36"/>
      <c r="J1038" s="36"/>
      <c r="K1038" s="36"/>
      <c r="L1038" s="36"/>
      <c r="M1038" s="40" t="str">
        <f aca="false">IF($F1038="","",$F1038&amp;IF($G1038="",""," - RT "&amp;$G1038&amp;IF($H1038="","","/"&amp;$H1038)))</f>
        <v/>
      </c>
      <c r="N1038" s="36"/>
      <c r="O1038" s="37"/>
      <c r="P1038" s="39"/>
      <c r="Q1038" s="41"/>
      <c r="R1038" s="35" t="str">
        <f aca="true">IF(OR($B1038="",$Q1038=""),"",DATEDIF($Q1038,TODAY(),"Y"))</f>
        <v/>
      </c>
      <c r="S1038" s="40" t="str">
        <f aca="false">IF($R1038="","",INDEX(usia_label,MATCH($R1038,usia_min,1)))</f>
        <v/>
      </c>
      <c r="T1038" s="36"/>
      <c r="U1038" s="41"/>
      <c r="V1038" s="36"/>
      <c r="W1038" s="36"/>
      <c r="X1038" s="40" t="str">
        <f aca="false">IF($M1038="","",$M1038&amp;"#"&amp;COUNTIF($M$4:$M1038,$M1038))</f>
        <v/>
      </c>
      <c r="Y1038" s="40" t="str">
        <f aca="false">IF($B1038="","",IF($C1038="","NIK kosong",IF(LEN($C1038)&lt;&gt;16,"NIK bukan 16 digit",IF(COUNTIF($C$4:$C$2003,$C1038&amp;"*")&gt;1,"NIK ganda",IF(AND($D1038&lt;&gt;"",LEN($D1038)&lt;&gt;16),"No. KK bukan 16 digit",IF(AND($F1038="",$I1038=""),"Alamat kosong",IF($N1038="","Jabatan kosong",IF($O1038="","No. HP kosong",IF(AND($R1038&lt;&gt;"",$R1038&lt;17),"Usia di bawah 17","")))))))))</f>
        <v/>
      </c>
      <c r="Z1038" s="40" t="str">
        <f aca="false">IF($B1038="","",IF(AND(OR(CARI!$C$5="",ISNUMBER(SEARCH(CARI!$C$5,$B1038&amp;" "&amp;$C1038&amp;" "&amp;$D1038&amp;" "&amp;$O1038&amp;" "&amp;$I1038&amp;" "&amp;$F1038&amp;" "&amp;$J1038&amp;" "&amp;$K1038&amp;" "&amp;$L1038&amp;" "&amp;$V1038))),OR(CARI!$C$6="",$F1038=CARI!$C$6),OR(CARI!$C$7="",$G1038=CARI!$C$7),OR(CARI!$C$8="",$T1038=CARI!$C$8)),MAX($Z$3:Z1037)+1,""))</f>
        <v/>
      </c>
      <c r="AA1038" s="40" t="str">
        <f aca="false">IF($Y1038="","",MAX($AA$3:AA1037)+1)</f>
        <v/>
      </c>
      <c r="AB1038" s="40" t="str">
        <f aca="false">IF($F1038="","",$F1038&amp;"#"&amp;COUNTIF($F$4:$F1038,$F1038))</f>
        <v/>
      </c>
      <c r="AC1038" s="40" t="str">
        <f aca="false">IF($B1038="","",IF(AND(OR(CETAK!$J$10="",$F1038=CETAK!$J$10),OR(CETAK!$J$11="",$G1038=CETAK!$J$11),OR(CETAK!$J$12="",$P1038=CETAK!$J$12),OR(CETAK!$J$13="",$N1038=CETAK!$J$13),OR(CETAK!$J$14="",$T1038=CETAK!$J$14)),MAX($AC$3:AC1037)+1,""))</f>
        <v/>
      </c>
      <c r="AD1038" s="40" t="str">
        <f aca="false">IF($B1038="","",IF(AND(OR(ABSENSI!$H$10="",$F1038=ABSENSI!$H$10),OR(ABSENSI!$H$11="",$G1038=ABSENSI!$H$11),OR(ABSENSI!$H$12="",$P1038=ABSENSI!$H$12)),MAX($AD$3:AD1037)+1,""))</f>
        <v/>
      </c>
      <c r="AE1038" s="40" t="str">
        <f aca="false">IF($B1038="","",IF(AND(OR(KARTU!$K$6="",$F1038=KARTU!$K$6),OR(KARTU!$K$7="",$G1038=KARTU!$K$7),OR(KARTU!$K$8="",$P1038=KARTU!$K$8)),MAX($AE$3:AE1037)+1,""))</f>
        <v/>
      </c>
    </row>
    <row r="1039" customFormat="false" ht="15" hidden="false" customHeight="false" outlineLevel="0" collapsed="false">
      <c r="A1039" s="35" t="str">
        <f aca="false">IF($B1039="","",COUNTA($B$4:$B1039))</f>
        <v/>
      </c>
      <c r="B1039" s="36"/>
      <c r="C1039" s="37"/>
      <c r="D1039" s="37"/>
      <c r="E1039" s="38"/>
      <c r="F1039" s="36"/>
      <c r="G1039" s="39"/>
      <c r="H1039" s="39"/>
      <c r="I1039" s="36"/>
      <c r="J1039" s="36"/>
      <c r="K1039" s="36"/>
      <c r="L1039" s="36"/>
      <c r="M1039" s="40" t="str">
        <f aca="false">IF($F1039="","",$F1039&amp;IF($G1039="",""," - RT "&amp;$G1039&amp;IF($H1039="","","/"&amp;$H1039)))</f>
        <v/>
      </c>
      <c r="N1039" s="36"/>
      <c r="O1039" s="37"/>
      <c r="P1039" s="39"/>
      <c r="Q1039" s="41"/>
      <c r="R1039" s="35" t="str">
        <f aca="true">IF(OR($B1039="",$Q1039=""),"",DATEDIF($Q1039,TODAY(),"Y"))</f>
        <v/>
      </c>
      <c r="S1039" s="40" t="str">
        <f aca="false">IF($R1039="","",INDEX(usia_label,MATCH($R1039,usia_min,1)))</f>
        <v/>
      </c>
      <c r="T1039" s="36"/>
      <c r="U1039" s="41"/>
      <c r="V1039" s="36"/>
      <c r="W1039" s="36"/>
      <c r="X1039" s="40" t="str">
        <f aca="false">IF($M1039="","",$M1039&amp;"#"&amp;COUNTIF($M$4:$M1039,$M1039))</f>
        <v/>
      </c>
      <c r="Y1039" s="40" t="str">
        <f aca="false">IF($B1039="","",IF($C1039="","NIK kosong",IF(LEN($C1039)&lt;&gt;16,"NIK bukan 16 digit",IF(COUNTIF($C$4:$C$2003,$C1039&amp;"*")&gt;1,"NIK ganda",IF(AND($D1039&lt;&gt;"",LEN($D1039)&lt;&gt;16),"No. KK bukan 16 digit",IF(AND($F1039="",$I1039=""),"Alamat kosong",IF($N1039="","Jabatan kosong",IF($O1039="","No. HP kosong",IF(AND($R1039&lt;&gt;"",$R1039&lt;17),"Usia di bawah 17","")))))))))</f>
        <v/>
      </c>
      <c r="Z1039" s="40" t="str">
        <f aca="false">IF($B1039="","",IF(AND(OR(CARI!$C$5="",ISNUMBER(SEARCH(CARI!$C$5,$B1039&amp;" "&amp;$C1039&amp;" "&amp;$D1039&amp;" "&amp;$O1039&amp;" "&amp;$I1039&amp;" "&amp;$F1039&amp;" "&amp;$J1039&amp;" "&amp;$K1039&amp;" "&amp;$L1039&amp;" "&amp;$V1039))),OR(CARI!$C$6="",$F1039=CARI!$C$6),OR(CARI!$C$7="",$G1039=CARI!$C$7),OR(CARI!$C$8="",$T1039=CARI!$C$8)),MAX($Z$3:Z1038)+1,""))</f>
        <v/>
      </c>
      <c r="AA1039" s="40" t="str">
        <f aca="false">IF($Y1039="","",MAX($AA$3:AA1038)+1)</f>
        <v/>
      </c>
      <c r="AB1039" s="40" t="str">
        <f aca="false">IF($F1039="","",$F1039&amp;"#"&amp;COUNTIF($F$4:$F1039,$F1039))</f>
        <v/>
      </c>
      <c r="AC1039" s="40" t="str">
        <f aca="false">IF($B1039="","",IF(AND(OR(CETAK!$J$10="",$F1039=CETAK!$J$10),OR(CETAK!$J$11="",$G1039=CETAK!$J$11),OR(CETAK!$J$12="",$P1039=CETAK!$J$12),OR(CETAK!$J$13="",$N1039=CETAK!$J$13),OR(CETAK!$J$14="",$T1039=CETAK!$J$14)),MAX($AC$3:AC1038)+1,""))</f>
        <v/>
      </c>
      <c r="AD1039" s="40" t="str">
        <f aca="false">IF($B1039="","",IF(AND(OR(ABSENSI!$H$10="",$F1039=ABSENSI!$H$10),OR(ABSENSI!$H$11="",$G1039=ABSENSI!$H$11),OR(ABSENSI!$H$12="",$P1039=ABSENSI!$H$12)),MAX($AD$3:AD1038)+1,""))</f>
        <v/>
      </c>
      <c r="AE1039" s="40" t="str">
        <f aca="false">IF($B1039="","",IF(AND(OR(KARTU!$K$6="",$F1039=KARTU!$K$6),OR(KARTU!$K$7="",$G1039=KARTU!$K$7),OR(KARTU!$K$8="",$P1039=KARTU!$K$8)),MAX($AE$3:AE1038)+1,""))</f>
        <v/>
      </c>
    </row>
    <row r="1040" customFormat="false" ht="15" hidden="false" customHeight="false" outlineLevel="0" collapsed="false">
      <c r="A1040" s="35" t="str">
        <f aca="false">IF($B1040="","",COUNTA($B$4:$B1040))</f>
        <v/>
      </c>
      <c r="B1040" s="36"/>
      <c r="C1040" s="37"/>
      <c r="D1040" s="37"/>
      <c r="E1040" s="38"/>
      <c r="F1040" s="36"/>
      <c r="G1040" s="39"/>
      <c r="H1040" s="39"/>
      <c r="I1040" s="36"/>
      <c r="J1040" s="36"/>
      <c r="K1040" s="36"/>
      <c r="L1040" s="36"/>
      <c r="M1040" s="40" t="str">
        <f aca="false">IF($F1040="","",$F1040&amp;IF($G1040="",""," - RT "&amp;$G1040&amp;IF($H1040="","","/"&amp;$H1040)))</f>
        <v/>
      </c>
      <c r="N1040" s="36"/>
      <c r="O1040" s="37"/>
      <c r="P1040" s="39"/>
      <c r="Q1040" s="41"/>
      <c r="R1040" s="35" t="str">
        <f aca="true">IF(OR($B1040="",$Q1040=""),"",DATEDIF($Q1040,TODAY(),"Y"))</f>
        <v/>
      </c>
      <c r="S1040" s="40" t="str">
        <f aca="false">IF($R1040="","",INDEX(usia_label,MATCH($R1040,usia_min,1)))</f>
        <v/>
      </c>
      <c r="T1040" s="36"/>
      <c r="U1040" s="41"/>
      <c r="V1040" s="36"/>
      <c r="W1040" s="36"/>
      <c r="X1040" s="40" t="str">
        <f aca="false">IF($M1040="","",$M1040&amp;"#"&amp;COUNTIF($M$4:$M1040,$M1040))</f>
        <v/>
      </c>
      <c r="Y1040" s="40" t="str">
        <f aca="false">IF($B1040="","",IF($C1040="","NIK kosong",IF(LEN($C1040)&lt;&gt;16,"NIK bukan 16 digit",IF(COUNTIF($C$4:$C$2003,$C1040&amp;"*")&gt;1,"NIK ganda",IF(AND($D1040&lt;&gt;"",LEN($D1040)&lt;&gt;16),"No. KK bukan 16 digit",IF(AND($F1040="",$I1040=""),"Alamat kosong",IF($N1040="","Jabatan kosong",IF($O1040="","No. HP kosong",IF(AND($R1040&lt;&gt;"",$R1040&lt;17),"Usia di bawah 17","")))))))))</f>
        <v/>
      </c>
      <c r="Z1040" s="40" t="str">
        <f aca="false">IF($B1040="","",IF(AND(OR(CARI!$C$5="",ISNUMBER(SEARCH(CARI!$C$5,$B1040&amp;" "&amp;$C1040&amp;" "&amp;$D1040&amp;" "&amp;$O1040&amp;" "&amp;$I1040&amp;" "&amp;$F1040&amp;" "&amp;$J1040&amp;" "&amp;$K1040&amp;" "&amp;$L1040&amp;" "&amp;$V1040))),OR(CARI!$C$6="",$F1040=CARI!$C$6),OR(CARI!$C$7="",$G1040=CARI!$C$7),OR(CARI!$C$8="",$T1040=CARI!$C$8)),MAX($Z$3:Z1039)+1,""))</f>
        <v/>
      </c>
      <c r="AA1040" s="40" t="str">
        <f aca="false">IF($Y1040="","",MAX($AA$3:AA1039)+1)</f>
        <v/>
      </c>
      <c r="AB1040" s="40" t="str">
        <f aca="false">IF($F1040="","",$F1040&amp;"#"&amp;COUNTIF($F$4:$F1040,$F1040))</f>
        <v/>
      </c>
      <c r="AC1040" s="40" t="str">
        <f aca="false">IF($B1040="","",IF(AND(OR(CETAK!$J$10="",$F1040=CETAK!$J$10),OR(CETAK!$J$11="",$G1040=CETAK!$J$11),OR(CETAK!$J$12="",$P1040=CETAK!$J$12),OR(CETAK!$J$13="",$N1040=CETAK!$J$13),OR(CETAK!$J$14="",$T1040=CETAK!$J$14)),MAX($AC$3:AC1039)+1,""))</f>
        <v/>
      </c>
      <c r="AD1040" s="40" t="str">
        <f aca="false">IF($B1040="","",IF(AND(OR(ABSENSI!$H$10="",$F1040=ABSENSI!$H$10),OR(ABSENSI!$H$11="",$G1040=ABSENSI!$H$11),OR(ABSENSI!$H$12="",$P1040=ABSENSI!$H$12)),MAX($AD$3:AD1039)+1,""))</f>
        <v/>
      </c>
      <c r="AE1040" s="40" t="str">
        <f aca="false">IF($B1040="","",IF(AND(OR(KARTU!$K$6="",$F1040=KARTU!$K$6),OR(KARTU!$K$7="",$G1040=KARTU!$K$7),OR(KARTU!$K$8="",$P1040=KARTU!$K$8)),MAX($AE$3:AE1039)+1,""))</f>
        <v/>
      </c>
    </row>
    <row r="1041" customFormat="false" ht="15" hidden="false" customHeight="false" outlineLevel="0" collapsed="false">
      <c r="A1041" s="35" t="str">
        <f aca="false">IF($B1041="","",COUNTA($B$4:$B1041))</f>
        <v/>
      </c>
      <c r="B1041" s="36"/>
      <c r="C1041" s="37"/>
      <c r="D1041" s="37"/>
      <c r="E1041" s="38"/>
      <c r="F1041" s="36"/>
      <c r="G1041" s="39"/>
      <c r="H1041" s="39"/>
      <c r="I1041" s="36"/>
      <c r="J1041" s="36"/>
      <c r="K1041" s="36"/>
      <c r="L1041" s="36"/>
      <c r="M1041" s="40" t="str">
        <f aca="false">IF($F1041="","",$F1041&amp;IF($G1041="",""," - RT "&amp;$G1041&amp;IF($H1041="","","/"&amp;$H1041)))</f>
        <v/>
      </c>
      <c r="N1041" s="36"/>
      <c r="O1041" s="37"/>
      <c r="P1041" s="39"/>
      <c r="Q1041" s="41"/>
      <c r="R1041" s="35" t="str">
        <f aca="true">IF(OR($B1041="",$Q1041=""),"",DATEDIF($Q1041,TODAY(),"Y"))</f>
        <v/>
      </c>
      <c r="S1041" s="40" t="str">
        <f aca="false">IF($R1041="","",INDEX(usia_label,MATCH($R1041,usia_min,1)))</f>
        <v/>
      </c>
      <c r="T1041" s="36"/>
      <c r="U1041" s="41"/>
      <c r="V1041" s="36"/>
      <c r="W1041" s="36"/>
      <c r="X1041" s="40" t="str">
        <f aca="false">IF($M1041="","",$M1041&amp;"#"&amp;COUNTIF($M$4:$M1041,$M1041))</f>
        <v/>
      </c>
      <c r="Y1041" s="40" t="str">
        <f aca="false">IF($B1041="","",IF($C1041="","NIK kosong",IF(LEN($C1041)&lt;&gt;16,"NIK bukan 16 digit",IF(COUNTIF($C$4:$C$2003,$C1041&amp;"*")&gt;1,"NIK ganda",IF(AND($D1041&lt;&gt;"",LEN($D1041)&lt;&gt;16),"No. KK bukan 16 digit",IF(AND($F1041="",$I1041=""),"Alamat kosong",IF($N1041="","Jabatan kosong",IF($O1041="","No. HP kosong",IF(AND($R1041&lt;&gt;"",$R1041&lt;17),"Usia di bawah 17","")))))))))</f>
        <v/>
      </c>
      <c r="Z1041" s="40" t="str">
        <f aca="false">IF($B1041="","",IF(AND(OR(CARI!$C$5="",ISNUMBER(SEARCH(CARI!$C$5,$B1041&amp;" "&amp;$C1041&amp;" "&amp;$D1041&amp;" "&amp;$O1041&amp;" "&amp;$I1041&amp;" "&amp;$F1041&amp;" "&amp;$J1041&amp;" "&amp;$K1041&amp;" "&amp;$L1041&amp;" "&amp;$V1041))),OR(CARI!$C$6="",$F1041=CARI!$C$6),OR(CARI!$C$7="",$G1041=CARI!$C$7),OR(CARI!$C$8="",$T1041=CARI!$C$8)),MAX($Z$3:Z1040)+1,""))</f>
        <v/>
      </c>
      <c r="AA1041" s="40" t="str">
        <f aca="false">IF($Y1041="","",MAX($AA$3:AA1040)+1)</f>
        <v/>
      </c>
      <c r="AB1041" s="40" t="str">
        <f aca="false">IF($F1041="","",$F1041&amp;"#"&amp;COUNTIF($F$4:$F1041,$F1041))</f>
        <v/>
      </c>
      <c r="AC1041" s="40" t="str">
        <f aca="false">IF($B1041="","",IF(AND(OR(CETAK!$J$10="",$F1041=CETAK!$J$10),OR(CETAK!$J$11="",$G1041=CETAK!$J$11),OR(CETAK!$J$12="",$P1041=CETAK!$J$12),OR(CETAK!$J$13="",$N1041=CETAK!$J$13),OR(CETAK!$J$14="",$T1041=CETAK!$J$14)),MAX($AC$3:AC1040)+1,""))</f>
        <v/>
      </c>
      <c r="AD1041" s="40" t="str">
        <f aca="false">IF($B1041="","",IF(AND(OR(ABSENSI!$H$10="",$F1041=ABSENSI!$H$10),OR(ABSENSI!$H$11="",$G1041=ABSENSI!$H$11),OR(ABSENSI!$H$12="",$P1041=ABSENSI!$H$12)),MAX($AD$3:AD1040)+1,""))</f>
        <v/>
      </c>
      <c r="AE1041" s="40" t="str">
        <f aca="false">IF($B1041="","",IF(AND(OR(KARTU!$K$6="",$F1041=KARTU!$K$6),OR(KARTU!$K$7="",$G1041=KARTU!$K$7),OR(KARTU!$K$8="",$P1041=KARTU!$K$8)),MAX($AE$3:AE1040)+1,""))</f>
        <v/>
      </c>
    </row>
    <row r="1042" customFormat="false" ht="15" hidden="false" customHeight="false" outlineLevel="0" collapsed="false">
      <c r="A1042" s="35" t="str">
        <f aca="false">IF($B1042="","",COUNTA($B$4:$B1042))</f>
        <v/>
      </c>
      <c r="B1042" s="36"/>
      <c r="C1042" s="37"/>
      <c r="D1042" s="37"/>
      <c r="E1042" s="38"/>
      <c r="F1042" s="36"/>
      <c r="G1042" s="39"/>
      <c r="H1042" s="39"/>
      <c r="I1042" s="36"/>
      <c r="J1042" s="36"/>
      <c r="K1042" s="36"/>
      <c r="L1042" s="36"/>
      <c r="M1042" s="40" t="str">
        <f aca="false">IF($F1042="","",$F1042&amp;IF($G1042="",""," - RT "&amp;$G1042&amp;IF($H1042="","","/"&amp;$H1042)))</f>
        <v/>
      </c>
      <c r="N1042" s="36"/>
      <c r="O1042" s="37"/>
      <c r="P1042" s="39"/>
      <c r="Q1042" s="41"/>
      <c r="R1042" s="35" t="str">
        <f aca="true">IF(OR($B1042="",$Q1042=""),"",DATEDIF($Q1042,TODAY(),"Y"))</f>
        <v/>
      </c>
      <c r="S1042" s="40" t="str">
        <f aca="false">IF($R1042="","",INDEX(usia_label,MATCH($R1042,usia_min,1)))</f>
        <v/>
      </c>
      <c r="T1042" s="36"/>
      <c r="U1042" s="41"/>
      <c r="V1042" s="36"/>
      <c r="W1042" s="36"/>
      <c r="X1042" s="40" t="str">
        <f aca="false">IF($M1042="","",$M1042&amp;"#"&amp;COUNTIF($M$4:$M1042,$M1042))</f>
        <v/>
      </c>
      <c r="Y1042" s="40" t="str">
        <f aca="false">IF($B1042="","",IF($C1042="","NIK kosong",IF(LEN($C1042)&lt;&gt;16,"NIK bukan 16 digit",IF(COUNTIF($C$4:$C$2003,$C1042&amp;"*")&gt;1,"NIK ganda",IF(AND($D1042&lt;&gt;"",LEN($D1042)&lt;&gt;16),"No. KK bukan 16 digit",IF(AND($F1042="",$I1042=""),"Alamat kosong",IF($N1042="","Jabatan kosong",IF($O1042="","No. HP kosong",IF(AND($R1042&lt;&gt;"",$R1042&lt;17),"Usia di bawah 17","")))))))))</f>
        <v/>
      </c>
      <c r="Z1042" s="40" t="str">
        <f aca="false">IF($B1042="","",IF(AND(OR(CARI!$C$5="",ISNUMBER(SEARCH(CARI!$C$5,$B1042&amp;" "&amp;$C1042&amp;" "&amp;$D1042&amp;" "&amp;$O1042&amp;" "&amp;$I1042&amp;" "&amp;$F1042&amp;" "&amp;$J1042&amp;" "&amp;$K1042&amp;" "&amp;$L1042&amp;" "&amp;$V1042))),OR(CARI!$C$6="",$F1042=CARI!$C$6),OR(CARI!$C$7="",$G1042=CARI!$C$7),OR(CARI!$C$8="",$T1042=CARI!$C$8)),MAX($Z$3:Z1041)+1,""))</f>
        <v/>
      </c>
      <c r="AA1042" s="40" t="str">
        <f aca="false">IF($Y1042="","",MAX($AA$3:AA1041)+1)</f>
        <v/>
      </c>
      <c r="AB1042" s="40" t="str">
        <f aca="false">IF($F1042="","",$F1042&amp;"#"&amp;COUNTIF($F$4:$F1042,$F1042))</f>
        <v/>
      </c>
      <c r="AC1042" s="40" t="str">
        <f aca="false">IF($B1042="","",IF(AND(OR(CETAK!$J$10="",$F1042=CETAK!$J$10),OR(CETAK!$J$11="",$G1042=CETAK!$J$11),OR(CETAK!$J$12="",$P1042=CETAK!$J$12),OR(CETAK!$J$13="",$N1042=CETAK!$J$13),OR(CETAK!$J$14="",$T1042=CETAK!$J$14)),MAX($AC$3:AC1041)+1,""))</f>
        <v/>
      </c>
      <c r="AD1042" s="40" t="str">
        <f aca="false">IF($B1042="","",IF(AND(OR(ABSENSI!$H$10="",$F1042=ABSENSI!$H$10),OR(ABSENSI!$H$11="",$G1042=ABSENSI!$H$11),OR(ABSENSI!$H$12="",$P1042=ABSENSI!$H$12)),MAX($AD$3:AD1041)+1,""))</f>
        <v/>
      </c>
      <c r="AE1042" s="40" t="str">
        <f aca="false">IF($B1042="","",IF(AND(OR(KARTU!$K$6="",$F1042=KARTU!$K$6),OR(KARTU!$K$7="",$G1042=KARTU!$K$7),OR(KARTU!$K$8="",$P1042=KARTU!$K$8)),MAX($AE$3:AE1041)+1,""))</f>
        <v/>
      </c>
    </row>
    <row r="1043" customFormat="false" ht="15" hidden="false" customHeight="false" outlineLevel="0" collapsed="false">
      <c r="A1043" s="35" t="str">
        <f aca="false">IF($B1043="","",COUNTA($B$4:$B1043))</f>
        <v/>
      </c>
      <c r="B1043" s="36"/>
      <c r="C1043" s="37"/>
      <c r="D1043" s="37"/>
      <c r="E1043" s="38"/>
      <c r="F1043" s="36"/>
      <c r="G1043" s="39"/>
      <c r="H1043" s="39"/>
      <c r="I1043" s="36"/>
      <c r="J1043" s="36"/>
      <c r="K1043" s="36"/>
      <c r="L1043" s="36"/>
      <c r="M1043" s="40" t="str">
        <f aca="false">IF($F1043="","",$F1043&amp;IF($G1043="",""," - RT "&amp;$G1043&amp;IF($H1043="","","/"&amp;$H1043)))</f>
        <v/>
      </c>
      <c r="N1043" s="36"/>
      <c r="O1043" s="37"/>
      <c r="P1043" s="39"/>
      <c r="Q1043" s="41"/>
      <c r="R1043" s="35" t="str">
        <f aca="true">IF(OR($B1043="",$Q1043=""),"",DATEDIF($Q1043,TODAY(),"Y"))</f>
        <v/>
      </c>
      <c r="S1043" s="40" t="str">
        <f aca="false">IF($R1043="","",INDEX(usia_label,MATCH($R1043,usia_min,1)))</f>
        <v/>
      </c>
      <c r="T1043" s="36"/>
      <c r="U1043" s="41"/>
      <c r="V1043" s="36"/>
      <c r="W1043" s="36"/>
      <c r="X1043" s="40" t="str">
        <f aca="false">IF($M1043="","",$M1043&amp;"#"&amp;COUNTIF($M$4:$M1043,$M1043))</f>
        <v/>
      </c>
      <c r="Y1043" s="40" t="str">
        <f aca="false">IF($B1043="","",IF($C1043="","NIK kosong",IF(LEN($C1043)&lt;&gt;16,"NIK bukan 16 digit",IF(COUNTIF($C$4:$C$2003,$C1043&amp;"*")&gt;1,"NIK ganda",IF(AND($D1043&lt;&gt;"",LEN($D1043)&lt;&gt;16),"No. KK bukan 16 digit",IF(AND($F1043="",$I1043=""),"Alamat kosong",IF($N1043="","Jabatan kosong",IF($O1043="","No. HP kosong",IF(AND($R1043&lt;&gt;"",$R1043&lt;17),"Usia di bawah 17","")))))))))</f>
        <v/>
      </c>
      <c r="Z1043" s="40" t="str">
        <f aca="false">IF($B1043="","",IF(AND(OR(CARI!$C$5="",ISNUMBER(SEARCH(CARI!$C$5,$B1043&amp;" "&amp;$C1043&amp;" "&amp;$D1043&amp;" "&amp;$O1043&amp;" "&amp;$I1043&amp;" "&amp;$F1043&amp;" "&amp;$J1043&amp;" "&amp;$K1043&amp;" "&amp;$L1043&amp;" "&amp;$V1043))),OR(CARI!$C$6="",$F1043=CARI!$C$6),OR(CARI!$C$7="",$G1043=CARI!$C$7),OR(CARI!$C$8="",$T1043=CARI!$C$8)),MAX($Z$3:Z1042)+1,""))</f>
        <v/>
      </c>
      <c r="AA1043" s="40" t="str">
        <f aca="false">IF($Y1043="","",MAX($AA$3:AA1042)+1)</f>
        <v/>
      </c>
      <c r="AB1043" s="40" t="str">
        <f aca="false">IF($F1043="","",$F1043&amp;"#"&amp;COUNTIF($F$4:$F1043,$F1043))</f>
        <v/>
      </c>
      <c r="AC1043" s="40" t="str">
        <f aca="false">IF($B1043="","",IF(AND(OR(CETAK!$J$10="",$F1043=CETAK!$J$10),OR(CETAK!$J$11="",$G1043=CETAK!$J$11),OR(CETAK!$J$12="",$P1043=CETAK!$J$12),OR(CETAK!$J$13="",$N1043=CETAK!$J$13),OR(CETAK!$J$14="",$T1043=CETAK!$J$14)),MAX($AC$3:AC1042)+1,""))</f>
        <v/>
      </c>
      <c r="AD1043" s="40" t="str">
        <f aca="false">IF($B1043="","",IF(AND(OR(ABSENSI!$H$10="",$F1043=ABSENSI!$H$10),OR(ABSENSI!$H$11="",$G1043=ABSENSI!$H$11),OR(ABSENSI!$H$12="",$P1043=ABSENSI!$H$12)),MAX($AD$3:AD1042)+1,""))</f>
        <v/>
      </c>
      <c r="AE1043" s="40" t="str">
        <f aca="false">IF($B1043="","",IF(AND(OR(KARTU!$K$6="",$F1043=KARTU!$K$6),OR(KARTU!$K$7="",$G1043=KARTU!$K$7),OR(KARTU!$K$8="",$P1043=KARTU!$K$8)),MAX($AE$3:AE1042)+1,""))</f>
        <v/>
      </c>
    </row>
    <row r="1044" customFormat="false" ht="15" hidden="false" customHeight="false" outlineLevel="0" collapsed="false">
      <c r="A1044" s="35" t="str">
        <f aca="false">IF($B1044="","",COUNTA($B$4:$B1044))</f>
        <v/>
      </c>
      <c r="B1044" s="36"/>
      <c r="C1044" s="37"/>
      <c r="D1044" s="37"/>
      <c r="E1044" s="38"/>
      <c r="F1044" s="36"/>
      <c r="G1044" s="39"/>
      <c r="H1044" s="39"/>
      <c r="I1044" s="36"/>
      <c r="J1044" s="36"/>
      <c r="K1044" s="36"/>
      <c r="L1044" s="36"/>
      <c r="M1044" s="40" t="str">
        <f aca="false">IF($F1044="","",$F1044&amp;IF($G1044="",""," - RT "&amp;$G1044&amp;IF($H1044="","","/"&amp;$H1044)))</f>
        <v/>
      </c>
      <c r="N1044" s="36"/>
      <c r="O1044" s="37"/>
      <c r="P1044" s="39"/>
      <c r="Q1044" s="41"/>
      <c r="R1044" s="35" t="str">
        <f aca="true">IF(OR($B1044="",$Q1044=""),"",DATEDIF($Q1044,TODAY(),"Y"))</f>
        <v/>
      </c>
      <c r="S1044" s="40" t="str">
        <f aca="false">IF($R1044="","",INDEX(usia_label,MATCH($R1044,usia_min,1)))</f>
        <v/>
      </c>
      <c r="T1044" s="36"/>
      <c r="U1044" s="41"/>
      <c r="V1044" s="36"/>
      <c r="W1044" s="36"/>
      <c r="X1044" s="40" t="str">
        <f aca="false">IF($M1044="","",$M1044&amp;"#"&amp;COUNTIF($M$4:$M1044,$M1044))</f>
        <v/>
      </c>
      <c r="Y1044" s="40" t="str">
        <f aca="false">IF($B1044="","",IF($C1044="","NIK kosong",IF(LEN($C1044)&lt;&gt;16,"NIK bukan 16 digit",IF(COUNTIF($C$4:$C$2003,$C1044&amp;"*")&gt;1,"NIK ganda",IF(AND($D1044&lt;&gt;"",LEN($D1044)&lt;&gt;16),"No. KK bukan 16 digit",IF(AND($F1044="",$I1044=""),"Alamat kosong",IF($N1044="","Jabatan kosong",IF($O1044="","No. HP kosong",IF(AND($R1044&lt;&gt;"",$R1044&lt;17),"Usia di bawah 17","")))))))))</f>
        <v/>
      </c>
      <c r="Z1044" s="40" t="str">
        <f aca="false">IF($B1044="","",IF(AND(OR(CARI!$C$5="",ISNUMBER(SEARCH(CARI!$C$5,$B1044&amp;" "&amp;$C1044&amp;" "&amp;$D1044&amp;" "&amp;$O1044&amp;" "&amp;$I1044&amp;" "&amp;$F1044&amp;" "&amp;$J1044&amp;" "&amp;$K1044&amp;" "&amp;$L1044&amp;" "&amp;$V1044))),OR(CARI!$C$6="",$F1044=CARI!$C$6),OR(CARI!$C$7="",$G1044=CARI!$C$7),OR(CARI!$C$8="",$T1044=CARI!$C$8)),MAX($Z$3:Z1043)+1,""))</f>
        <v/>
      </c>
      <c r="AA1044" s="40" t="str">
        <f aca="false">IF($Y1044="","",MAX($AA$3:AA1043)+1)</f>
        <v/>
      </c>
      <c r="AB1044" s="40" t="str">
        <f aca="false">IF($F1044="","",$F1044&amp;"#"&amp;COUNTIF($F$4:$F1044,$F1044))</f>
        <v/>
      </c>
      <c r="AC1044" s="40" t="str">
        <f aca="false">IF($B1044="","",IF(AND(OR(CETAK!$J$10="",$F1044=CETAK!$J$10),OR(CETAK!$J$11="",$G1044=CETAK!$J$11),OR(CETAK!$J$12="",$P1044=CETAK!$J$12),OR(CETAK!$J$13="",$N1044=CETAK!$J$13),OR(CETAK!$J$14="",$T1044=CETAK!$J$14)),MAX($AC$3:AC1043)+1,""))</f>
        <v/>
      </c>
      <c r="AD1044" s="40" t="str">
        <f aca="false">IF($B1044="","",IF(AND(OR(ABSENSI!$H$10="",$F1044=ABSENSI!$H$10),OR(ABSENSI!$H$11="",$G1044=ABSENSI!$H$11),OR(ABSENSI!$H$12="",$P1044=ABSENSI!$H$12)),MAX($AD$3:AD1043)+1,""))</f>
        <v/>
      </c>
      <c r="AE1044" s="40" t="str">
        <f aca="false">IF($B1044="","",IF(AND(OR(KARTU!$K$6="",$F1044=KARTU!$K$6),OR(KARTU!$K$7="",$G1044=KARTU!$K$7),OR(KARTU!$K$8="",$P1044=KARTU!$K$8)),MAX($AE$3:AE1043)+1,""))</f>
        <v/>
      </c>
    </row>
    <row r="1045" customFormat="false" ht="15" hidden="false" customHeight="false" outlineLevel="0" collapsed="false">
      <c r="A1045" s="35" t="str">
        <f aca="false">IF($B1045="","",COUNTA($B$4:$B1045))</f>
        <v/>
      </c>
      <c r="B1045" s="36"/>
      <c r="C1045" s="37"/>
      <c r="D1045" s="37"/>
      <c r="E1045" s="38"/>
      <c r="F1045" s="36"/>
      <c r="G1045" s="39"/>
      <c r="H1045" s="39"/>
      <c r="I1045" s="36"/>
      <c r="J1045" s="36"/>
      <c r="K1045" s="36"/>
      <c r="L1045" s="36"/>
      <c r="M1045" s="40" t="str">
        <f aca="false">IF($F1045="","",$F1045&amp;IF($G1045="",""," - RT "&amp;$G1045&amp;IF($H1045="","","/"&amp;$H1045)))</f>
        <v/>
      </c>
      <c r="N1045" s="36"/>
      <c r="O1045" s="37"/>
      <c r="P1045" s="39"/>
      <c r="Q1045" s="41"/>
      <c r="R1045" s="35" t="str">
        <f aca="true">IF(OR($B1045="",$Q1045=""),"",DATEDIF($Q1045,TODAY(),"Y"))</f>
        <v/>
      </c>
      <c r="S1045" s="40" t="str">
        <f aca="false">IF($R1045="","",INDEX(usia_label,MATCH($R1045,usia_min,1)))</f>
        <v/>
      </c>
      <c r="T1045" s="36"/>
      <c r="U1045" s="41"/>
      <c r="V1045" s="36"/>
      <c r="W1045" s="36"/>
      <c r="X1045" s="40" t="str">
        <f aca="false">IF($M1045="","",$M1045&amp;"#"&amp;COUNTIF($M$4:$M1045,$M1045))</f>
        <v/>
      </c>
      <c r="Y1045" s="40" t="str">
        <f aca="false">IF($B1045="","",IF($C1045="","NIK kosong",IF(LEN($C1045)&lt;&gt;16,"NIK bukan 16 digit",IF(COUNTIF($C$4:$C$2003,$C1045&amp;"*")&gt;1,"NIK ganda",IF(AND($D1045&lt;&gt;"",LEN($D1045)&lt;&gt;16),"No. KK bukan 16 digit",IF(AND($F1045="",$I1045=""),"Alamat kosong",IF($N1045="","Jabatan kosong",IF($O1045="","No. HP kosong",IF(AND($R1045&lt;&gt;"",$R1045&lt;17),"Usia di bawah 17","")))))))))</f>
        <v/>
      </c>
      <c r="Z1045" s="40" t="str">
        <f aca="false">IF($B1045="","",IF(AND(OR(CARI!$C$5="",ISNUMBER(SEARCH(CARI!$C$5,$B1045&amp;" "&amp;$C1045&amp;" "&amp;$D1045&amp;" "&amp;$O1045&amp;" "&amp;$I1045&amp;" "&amp;$F1045&amp;" "&amp;$J1045&amp;" "&amp;$K1045&amp;" "&amp;$L1045&amp;" "&amp;$V1045))),OR(CARI!$C$6="",$F1045=CARI!$C$6),OR(CARI!$C$7="",$G1045=CARI!$C$7),OR(CARI!$C$8="",$T1045=CARI!$C$8)),MAX($Z$3:Z1044)+1,""))</f>
        <v/>
      </c>
      <c r="AA1045" s="40" t="str">
        <f aca="false">IF($Y1045="","",MAX($AA$3:AA1044)+1)</f>
        <v/>
      </c>
      <c r="AB1045" s="40" t="str">
        <f aca="false">IF($F1045="","",$F1045&amp;"#"&amp;COUNTIF($F$4:$F1045,$F1045))</f>
        <v/>
      </c>
      <c r="AC1045" s="40" t="str">
        <f aca="false">IF($B1045="","",IF(AND(OR(CETAK!$J$10="",$F1045=CETAK!$J$10),OR(CETAK!$J$11="",$G1045=CETAK!$J$11),OR(CETAK!$J$12="",$P1045=CETAK!$J$12),OR(CETAK!$J$13="",$N1045=CETAK!$J$13),OR(CETAK!$J$14="",$T1045=CETAK!$J$14)),MAX($AC$3:AC1044)+1,""))</f>
        <v/>
      </c>
      <c r="AD1045" s="40" t="str">
        <f aca="false">IF($B1045="","",IF(AND(OR(ABSENSI!$H$10="",$F1045=ABSENSI!$H$10),OR(ABSENSI!$H$11="",$G1045=ABSENSI!$H$11),OR(ABSENSI!$H$12="",$P1045=ABSENSI!$H$12)),MAX($AD$3:AD1044)+1,""))</f>
        <v/>
      </c>
      <c r="AE1045" s="40" t="str">
        <f aca="false">IF($B1045="","",IF(AND(OR(KARTU!$K$6="",$F1045=KARTU!$K$6),OR(KARTU!$K$7="",$G1045=KARTU!$K$7),OR(KARTU!$K$8="",$P1045=KARTU!$K$8)),MAX($AE$3:AE1044)+1,""))</f>
        <v/>
      </c>
    </row>
    <row r="1046" customFormat="false" ht="15" hidden="false" customHeight="false" outlineLevel="0" collapsed="false">
      <c r="A1046" s="35" t="str">
        <f aca="false">IF($B1046="","",COUNTA($B$4:$B1046))</f>
        <v/>
      </c>
      <c r="B1046" s="36"/>
      <c r="C1046" s="37"/>
      <c r="D1046" s="37"/>
      <c r="E1046" s="38"/>
      <c r="F1046" s="36"/>
      <c r="G1046" s="39"/>
      <c r="H1046" s="39"/>
      <c r="I1046" s="36"/>
      <c r="J1046" s="36"/>
      <c r="K1046" s="36"/>
      <c r="L1046" s="36"/>
      <c r="M1046" s="40" t="str">
        <f aca="false">IF($F1046="","",$F1046&amp;IF($G1046="",""," - RT "&amp;$G1046&amp;IF($H1046="","","/"&amp;$H1046)))</f>
        <v/>
      </c>
      <c r="N1046" s="36"/>
      <c r="O1046" s="37"/>
      <c r="P1046" s="39"/>
      <c r="Q1046" s="41"/>
      <c r="R1046" s="35" t="str">
        <f aca="true">IF(OR($B1046="",$Q1046=""),"",DATEDIF($Q1046,TODAY(),"Y"))</f>
        <v/>
      </c>
      <c r="S1046" s="40" t="str">
        <f aca="false">IF($R1046="","",INDEX(usia_label,MATCH($R1046,usia_min,1)))</f>
        <v/>
      </c>
      <c r="T1046" s="36"/>
      <c r="U1046" s="41"/>
      <c r="V1046" s="36"/>
      <c r="W1046" s="36"/>
      <c r="X1046" s="40" t="str">
        <f aca="false">IF($M1046="","",$M1046&amp;"#"&amp;COUNTIF($M$4:$M1046,$M1046))</f>
        <v/>
      </c>
      <c r="Y1046" s="40" t="str">
        <f aca="false">IF($B1046="","",IF($C1046="","NIK kosong",IF(LEN($C1046)&lt;&gt;16,"NIK bukan 16 digit",IF(COUNTIF($C$4:$C$2003,$C1046&amp;"*")&gt;1,"NIK ganda",IF(AND($D1046&lt;&gt;"",LEN($D1046)&lt;&gt;16),"No. KK bukan 16 digit",IF(AND($F1046="",$I1046=""),"Alamat kosong",IF($N1046="","Jabatan kosong",IF($O1046="","No. HP kosong",IF(AND($R1046&lt;&gt;"",$R1046&lt;17),"Usia di bawah 17","")))))))))</f>
        <v/>
      </c>
      <c r="Z1046" s="40" t="str">
        <f aca="false">IF($B1046="","",IF(AND(OR(CARI!$C$5="",ISNUMBER(SEARCH(CARI!$C$5,$B1046&amp;" "&amp;$C1046&amp;" "&amp;$D1046&amp;" "&amp;$O1046&amp;" "&amp;$I1046&amp;" "&amp;$F1046&amp;" "&amp;$J1046&amp;" "&amp;$K1046&amp;" "&amp;$L1046&amp;" "&amp;$V1046))),OR(CARI!$C$6="",$F1046=CARI!$C$6),OR(CARI!$C$7="",$G1046=CARI!$C$7),OR(CARI!$C$8="",$T1046=CARI!$C$8)),MAX($Z$3:Z1045)+1,""))</f>
        <v/>
      </c>
      <c r="AA1046" s="40" t="str">
        <f aca="false">IF($Y1046="","",MAX($AA$3:AA1045)+1)</f>
        <v/>
      </c>
      <c r="AB1046" s="40" t="str">
        <f aca="false">IF($F1046="","",$F1046&amp;"#"&amp;COUNTIF($F$4:$F1046,$F1046))</f>
        <v/>
      </c>
      <c r="AC1046" s="40" t="str">
        <f aca="false">IF($B1046="","",IF(AND(OR(CETAK!$J$10="",$F1046=CETAK!$J$10),OR(CETAK!$J$11="",$G1046=CETAK!$J$11),OR(CETAK!$J$12="",$P1046=CETAK!$J$12),OR(CETAK!$J$13="",$N1046=CETAK!$J$13),OR(CETAK!$J$14="",$T1046=CETAK!$J$14)),MAX($AC$3:AC1045)+1,""))</f>
        <v/>
      </c>
      <c r="AD1046" s="40" t="str">
        <f aca="false">IF($B1046="","",IF(AND(OR(ABSENSI!$H$10="",$F1046=ABSENSI!$H$10),OR(ABSENSI!$H$11="",$G1046=ABSENSI!$H$11),OR(ABSENSI!$H$12="",$P1046=ABSENSI!$H$12)),MAX($AD$3:AD1045)+1,""))</f>
        <v/>
      </c>
      <c r="AE1046" s="40" t="str">
        <f aca="false">IF($B1046="","",IF(AND(OR(KARTU!$K$6="",$F1046=KARTU!$K$6),OR(KARTU!$K$7="",$G1046=KARTU!$K$7),OR(KARTU!$K$8="",$P1046=KARTU!$K$8)),MAX($AE$3:AE1045)+1,""))</f>
        <v/>
      </c>
    </row>
    <row r="1047" customFormat="false" ht="15" hidden="false" customHeight="false" outlineLevel="0" collapsed="false">
      <c r="A1047" s="35" t="str">
        <f aca="false">IF($B1047="","",COUNTA($B$4:$B1047))</f>
        <v/>
      </c>
      <c r="B1047" s="36"/>
      <c r="C1047" s="37"/>
      <c r="D1047" s="37"/>
      <c r="E1047" s="38"/>
      <c r="F1047" s="36"/>
      <c r="G1047" s="39"/>
      <c r="H1047" s="39"/>
      <c r="I1047" s="36"/>
      <c r="J1047" s="36"/>
      <c r="K1047" s="36"/>
      <c r="L1047" s="36"/>
      <c r="M1047" s="40" t="str">
        <f aca="false">IF($F1047="","",$F1047&amp;IF($G1047="",""," - RT "&amp;$G1047&amp;IF($H1047="","","/"&amp;$H1047)))</f>
        <v/>
      </c>
      <c r="N1047" s="36"/>
      <c r="O1047" s="37"/>
      <c r="P1047" s="39"/>
      <c r="Q1047" s="41"/>
      <c r="R1047" s="35" t="str">
        <f aca="true">IF(OR($B1047="",$Q1047=""),"",DATEDIF($Q1047,TODAY(),"Y"))</f>
        <v/>
      </c>
      <c r="S1047" s="40" t="str">
        <f aca="false">IF($R1047="","",INDEX(usia_label,MATCH($R1047,usia_min,1)))</f>
        <v/>
      </c>
      <c r="T1047" s="36"/>
      <c r="U1047" s="41"/>
      <c r="V1047" s="36"/>
      <c r="W1047" s="36"/>
      <c r="X1047" s="40" t="str">
        <f aca="false">IF($M1047="","",$M1047&amp;"#"&amp;COUNTIF($M$4:$M1047,$M1047))</f>
        <v/>
      </c>
      <c r="Y1047" s="40" t="str">
        <f aca="false">IF($B1047="","",IF($C1047="","NIK kosong",IF(LEN($C1047)&lt;&gt;16,"NIK bukan 16 digit",IF(COUNTIF($C$4:$C$2003,$C1047&amp;"*")&gt;1,"NIK ganda",IF(AND($D1047&lt;&gt;"",LEN($D1047)&lt;&gt;16),"No. KK bukan 16 digit",IF(AND($F1047="",$I1047=""),"Alamat kosong",IF($N1047="","Jabatan kosong",IF($O1047="","No. HP kosong",IF(AND($R1047&lt;&gt;"",$R1047&lt;17),"Usia di bawah 17","")))))))))</f>
        <v/>
      </c>
      <c r="Z1047" s="40" t="str">
        <f aca="false">IF($B1047="","",IF(AND(OR(CARI!$C$5="",ISNUMBER(SEARCH(CARI!$C$5,$B1047&amp;" "&amp;$C1047&amp;" "&amp;$D1047&amp;" "&amp;$O1047&amp;" "&amp;$I1047&amp;" "&amp;$F1047&amp;" "&amp;$J1047&amp;" "&amp;$K1047&amp;" "&amp;$L1047&amp;" "&amp;$V1047))),OR(CARI!$C$6="",$F1047=CARI!$C$6),OR(CARI!$C$7="",$G1047=CARI!$C$7),OR(CARI!$C$8="",$T1047=CARI!$C$8)),MAX($Z$3:Z1046)+1,""))</f>
        <v/>
      </c>
      <c r="AA1047" s="40" t="str">
        <f aca="false">IF($Y1047="","",MAX($AA$3:AA1046)+1)</f>
        <v/>
      </c>
      <c r="AB1047" s="40" t="str">
        <f aca="false">IF($F1047="","",$F1047&amp;"#"&amp;COUNTIF($F$4:$F1047,$F1047))</f>
        <v/>
      </c>
      <c r="AC1047" s="40" t="str">
        <f aca="false">IF($B1047="","",IF(AND(OR(CETAK!$J$10="",$F1047=CETAK!$J$10),OR(CETAK!$J$11="",$G1047=CETAK!$J$11),OR(CETAK!$J$12="",$P1047=CETAK!$J$12),OR(CETAK!$J$13="",$N1047=CETAK!$J$13),OR(CETAK!$J$14="",$T1047=CETAK!$J$14)),MAX($AC$3:AC1046)+1,""))</f>
        <v/>
      </c>
      <c r="AD1047" s="40" t="str">
        <f aca="false">IF($B1047="","",IF(AND(OR(ABSENSI!$H$10="",$F1047=ABSENSI!$H$10),OR(ABSENSI!$H$11="",$G1047=ABSENSI!$H$11),OR(ABSENSI!$H$12="",$P1047=ABSENSI!$H$12)),MAX($AD$3:AD1046)+1,""))</f>
        <v/>
      </c>
      <c r="AE1047" s="40" t="str">
        <f aca="false">IF($B1047="","",IF(AND(OR(KARTU!$K$6="",$F1047=KARTU!$K$6),OR(KARTU!$K$7="",$G1047=KARTU!$K$7),OR(KARTU!$K$8="",$P1047=KARTU!$K$8)),MAX($AE$3:AE1046)+1,""))</f>
        <v/>
      </c>
    </row>
    <row r="1048" customFormat="false" ht="15" hidden="false" customHeight="false" outlineLevel="0" collapsed="false">
      <c r="A1048" s="35" t="str">
        <f aca="false">IF($B1048="","",COUNTA($B$4:$B1048))</f>
        <v/>
      </c>
      <c r="B1048" s="36"/>
      <c r="C1048" s="37"/>
      <c r="D1048" s="37"/>
      <c r="E1048" s="38"/>
      <c r="F1048" s="36"/>
      <c r="G1048" s="39"/>
      <c r="H1048" s="39"/>
      <c r="I1048" s="36"/>
      <c r="J1048" s="36"/>
      <c r="K1048" s="36"/>
      <c r="L1048" s="36"/>
      <c r="M1048" s="40" t="str">
        <f aca="false">IF($F1048="","",$F1048&amp;IF($G1048="",""," - RT "&amp;$G1048&amp;IF($H1048="","","/"&amp;$H1048)))</f>
        <v/>
      </c>
      <c r="N1048" s="36"/>
      <c r="O1048" s="37"/>
      <c r="P1048" s="39"/>
      <c r="Q1048" s="41"/>
      <c r="R1048" s="35" t="str">
        <f aca="true">IF(OR($B1048="",$Q1048=""),"",DATEDIF($Q1048,TODAY(),"Y"))</f>
        <v/>
      </c>
      <c r="S1048" s="40" t="str">
        <f aca="false">IF($R1048="","",INDEX(usia_label,MATCH($R1048,usia_min,1)))</f>
        <v/>
      </c>
      <c r="T1048" s="36"/>
      <c r="U1048" s="41"/>
      <c r="V1048" s="36"/>
      <c r="W1048" s="36"/>
      <c r="X1048" s="40" t="str">
        <f aca="false">IF($M1048="","",$M1048&amp;"#"&amp;COUNTIF($M$4:$M1048,$M1048))</f>
        <v/>
      </c>
      <c r="Y1048" s="40" t="str">
        <f aca="false">IF($B1048="","",IF($C1048="","NIK kosong",IF(LEN($C1048)&lt;&gt;16,"NIK bukan 16 digit",IF(COUNTIF($C$4:$C$2003,$C1048&amp;"*")&gt;1,"NIK ganda",IF(AND($D1048&lt;&gt;"",LEN($D1048)&lt;&gt;16),"No. KK bukan 16 digit",IF(AND($F1048="",$I1048=""),"Alamat kosong",IF($N1048="","Jabatan kosong",IF($O1048="","No. HP kosong",IF(AND($R1048&lt;&gt;"",$R1048&lt;17),"Usia di bawah 17","")))))))))</f>
        <v/>
      </c>
      <c r="Z1048" s="40" t="str">
        <f aca="false">IF($B1048="","",IF(AND(OR(CARI!$C$5="",ISNUMBER(SEARCH(CARI!$C$5,$B1048&amp;" "&amp;$C1048&amp;" "&amp;$D1048&amp;" "&amp;$O1048&amp;" "&amp;$I1048&amp;" "&amp;$F1048&amp;" "&amp;$J1048&amp;" "&amp;$K1048&amp;" "&amp;$L1048&amp;" "&amp;$V1048))),OR(CARI!$C$6="",$F1048=CARI!$C$6),OR(CARI!$C$7="",$G1048=CARI!$C$7),OR(CARI!$C$8="",$T1048=CARI!$C$8)),MAX($Z$3:Z1047)+1,""))</f>
        <v/>
      </c>
      <c r="AA1048" s="40" t="str">
        <f aca="false">IF($Y1048="","",MAX($AA$3:AA1047)+1)</f>
        <v/>
      </c>
      <c r="AB1048" s="40" t="str">
        <f aca="false">IF($F1048="","",$F1048&amp;"#"&amp;COUNTIF($F$4:$F1048,$F1048))</f>
        <v/>
      </c>
      <c r="AC1048" s="40" t="str">
        <f aca="false">IF($B1048="","",IF(AND(OR(CETAK!$J$10="",$F1048=CETAK!$J$10),OR(CETAK!$J$11="",$G1048=CETAK!$J$11),OR(CETAK!$J$12="",$P1048=CETAK!$J$12),OR(CETAK!$J$13="",$N1048=CETAK!$J$13),OR(CETAK!$J$14="",$T1048=CETAK!$J$14)),MAX($AC$3:AC1047)+1,""))</f>
        <v/>
      </c>
      <c r="AD1048" s="40" t="str">
        <f aca="false">IF($B1048="","",IF(AND(OR(ABSENSI!$H$10="",$F1048=ABSENSI!$H$10),OR(ABSENSI!$H$11="",$G1048=ABSENSI!$H$11),OR(ABSENSI!$H$12="",$P1048=ABSENSI!$H$12)),MAX($AD$3:AD1047)+1,""))</f>
        <v/>
      </c>
      <c r="AE1048" s="40" t="str">
        <f aca="false">IF($B1048="","",IF(AND(OR(KARTU!$K$6="",$F1048=KARTU!$K$6),OR(KARTU!$K$7="",$G1048=KARTU!$K$7),OR(KARTU!$K$8="",$P1048=KARTU!$K$8)),MAX($AE$3:AE1047)+1,""))</f>
        <v/>
      </c>
    </row>
    <row r="1049" customFormat="false" ht="15" hidden="false" customHeight="false" outlineLevel="0" collapsed="false">
      <c r="A1049" s="35" t="str">
        <f aca="false">IF($B1049="","",COUNTA($B$4:$B1049))</f>
        <v/>
      </c>
      <c r="B1049" s="36"/>
      <c r="C1049" s="37"/>
      <c r="D1049" s="37"/>
      <c r="E1049" s="38"/>
      <c r="F1049" s="36"/>
      <c r="G1049" s="39"/>
      <c r="H1049" s="39"/>
      <c r="I1049" s="36"/>
      <c r="J1049" s="36"/>
      <c r="K1049" s="36"/>
      <c r="L1049" s="36"/>
      <c r="M1049" s="40" t="str">
        <f aca="false">IF($F1049="","",$F1049&amp;IF($G1049="",""," - RT "&amp;$G1049&amp;IF($H1049="","","/"&amp;$H1049)))</f>
        <v/>
      </c>
      <c r="N1049" s="36"/>
      <c r="O1049" s="37"/>
      <c r="P1049" s="39"/>
      <c r="Q1049" s="41"/>
      <c r="R1049" s="35" t="str">
        <f aca="true">IF(OR($B1049="",$Q1049=""),"",DATEDIF($Q1049,TODAY(),"Y"))</f>
        <v/>
      </c>
      <c r="S1049" s="40" t="str">
        <f aca="false">IF($R1049="","",INDEX(usia_label,MATCH($R1049,usia_min,1)))</f>
        <v/>
      </c>
      <c r="T1049" s="36"/>
      <c r="U1049" s="41"/>
      <c r="V1049" s="36"/>
      <c r="W1049" s="36"/>
      <c r="X1049" s="40" t="str">
        <f aca="false">IF($M1049="","",$M1049&amp;"#"&amp;COUNTIF($M$4:$M1049,$M1049))</f>
        <v/>
      </c>
      <c r="Y1049" s="40" t="str">
        <f aca="false">IF($B1049="","",IF($C1049="","NIK kosong",IF(LEN($C1049)&lt;&gt;16,"NIK bukan 16 digit",IF(COUNTIF($C$4:$C$2003,$C1049&amp;"*")&gt;1,"NIK ganda",IF(AND($D1049&lt;&gt;"",LEN($D1049)&lt;&gt;16),"No. KK bukan 16 digit",IF(AND($F1049="",$I1049=""),"Alamat kosong",IF($N1049="","Jabatan kosong",IF($O1049="","No. HP kosong",IF(AND($R1049&lt;&gt;"",$R1049&lt;17),"Usia di bawah 17","")))))))))</f>
        <v/>
      </c>
      <c r="Z1049" s="40" t="str">
        <f aca="false">IF($B1049="","",IF(AND(OR(CARI!$C$5="",ISNUMBER(SEARCH(CARI!$C$5,$B1049&amp;" "&amp;$C1049&amp;" "&amp;$D1049&amp;" "&amp;$O1049&amp;" "&amp;$I1049&amp;" "&amp;$F1049&amp;" "&amp;$J1049&amp;" "&amp;$K1049&amp;" "&amp;$L1049&amp;" "&amp;$V1049))),OR(CARI!$C$6="",$F1049=CARI!$C$6),OR(CARI!$C$7="",$G1049=CARI!$C$7),OR(CARI!$C$8="",$T1049=CARI!$C$8)),MAX($Z$3:Z1048)+1,""))</f>
        <v/>
      </c>
      <c r="AA1049" s="40" t="str">
        <f aca="false">IF($Y1049="","",MAX($AA$3:AA1048)+1)</f>
        <v/>
      </c>
      <c r="AB1049" s="40" t="str">
        <f aca="false">IF($F1049="","",$F1049&amp;"#"&amp;COUNTIF($F$4:$F1049,$F1049))</f>
        <v/>
      </c>
      <c r="AC1049" s="40" t="str">
        <f aca="false">IF($B1049="","",IF(AND(OR(CETAK!$J$10="",$F1049=CETAK!$J$10),OR(CETAK!$J$11="",$G1049=CETAK!$J$11),OR(CETAK!$J$12="",$P1049=CETAK!$J$12),OR(CETAK!$J$13="",$N1049=CETAK!$J$13),OR(CETAK!$J$14="",$T1049=CETAK!$J$14)),MAX($AC$3:AC1048)+1,""))</f>
        <v/>
      </c>
      <c r="AD1049" s="40" t="str">
        <f aca="false">IF($B1049="","",IF(AND(OR(ABSENSI!$H$10="",$F1049=ABSENSI!$H$10),OR(ABSENSI!$H$11="",$G1049=ABSENSI!$H$11),OR(ABSENSI!$H$12="",$P1049=ABSENSI!$H$12)),MAX($AD$3:AD1048)+1,""))</f>
        <v/>
      </c>
      <c r="AE1049" s="40" t="str">
        <f aca="false">IF($B1049="","",IF(AND(OR(KARTU!$K$6="",$F1049=KARTU!$K$6),OR(KARTU!$K$7="",$G1049=KARTU!$K$7),OR(KARTU!$K$8="",$P1049=KARTU!$K$8)),MAX($AE$3:AE1048)+1,""))</f>
        <v/>
      </c>
    </row>
    <row r="1050" customFormat="false" ht="15" hidden="false" customHeight="false" outlineLevel="0" collapsed="false">
      <c r="A1050" s="35" t="str">
        <f aca="false">IF($B1050="","",COUNTA($B$4:$B1050))</f>
        <v/>
      </c>
      <c r="B1050" s="36"/>
      <c r="C1050" s="37"/>
      <c r="D1050" s="37"/>
      <c r="E1050" s="38"/>
      <c r="F1050" s="36"/>
      <c r="G1050" s="39"/>
      <c r="H1050" s="39"/>
      <c r="I1050" s="36"/>
      <c r="J1050" s="36"/>
      <c r="K1050" s="36"/>
      <c r="L1050" s="36"/>
      <c r="M1050" s="40" t="str">
        <f aca="false">IF($F1050="","",$F1050&amp;IF($G1050="",""," - RT "&amp;$G1050&amp;IF($H1050="","","/"&amp;$H1050)))</f>
        <v/>
      </c>
      <c r="N1050" s="36"/>
      <c r="O1050" s="37"/>
      <c r="P1050" s="39"/>
      <c r="Q1050" s="41"/>
      <c r="R1050" s="35" t="str">
        <f aca="true">IF(OR($B1050="",$Q1050=""),"",DATEDIF($Q1050,TODAY(),"Y"))</f>
        <v/>
      </c>
      <c r="S1050" s="40" t="str">
        <f aca="false">IF($R1050="","",INDEX(usia_label,MATCH($R1050,usia_min,1)))</f>
        <v/>
      </c>
      <c r="T1050" s="36"/>
      <c r="U1050" s="41"/>
      <c r="V1050" s="36"/>
      <c r="W1050" s="36"/>
      <c r="X1050" s="40" t="str">
        <f aca="false">IF($M1050="","",$M1050&amp;"#"&amp;COUNTIF($M$4:$M1050,$M1050))</f>
        <v/>
      </c>
      <c r="Y1050" s="40" t="str">
        <f aca="false">IF($B1050="","",IF($C1050="","NIK kosong",IF(LEN($C1050)&lt;&gt;16,"NIK bukan 16 digit",IF(COUNTIF($C$4:$C$2003,$C1050&amp;"*")&gt;1,"NIK ganda",IF(AND($D1050&lt;&gt;"",LEN($D1050)&lt;&gt;16),"No. KK bukan 16 digit",IF(AND($F1050="",$I1050=""),"Alamat kosong",IF($N1050="","Jabatan kosong",IF($O1050="","No. HP kosong",IF(AND($R1050&lt;&gt;"",$R1050&lt;17),"Usia di bawah 17","")))))))))</f>
        <v/>
      </c>
      <c r="Z1050" s="40" t="str">
        <f aca="false">IF($B1050="","",IF(AND(OR(CARI!$C$5="",ISNUMBER(SEARCH(CARI!$C$5,$B1050&amp;" "&amp;$C1050&amp;" "&amp;$D1050&amp;" "&amp;$O1050&amp;" "&amp;$I1050&amp;" "&amp;$F1050&amp;" "&amp;$J1050&amp;" "&amp;$K1050&amp;" "&amp;$L1050&amp;" "&amp;$V1050))),OR(CARI!$C$6="",$F1050=CARI!$C$6),OR(CARI!$C$7="",$G1050=CARI!$C$7),OR(CARI!$C$8="",$T1050=CARI!$C$8)),MAX($Z$3:Z1049)+1,""))</f>
        <v/>
      </c>
      <c r="AA1050" s="40" t="str">
        <f aca="false">IF($Y1050="","",MAX($AA$3:AA1049)+1)</f>
        <v/>
      </c>
      <c r="AB1050" s="40" t="str">
        <f aca="false">IF($F1050="","",$F1050&amp;"#"&amp;COUNTIF($F$4:$F1050,$F1050))</f>
        <v/>
      </c>
      <c r="AC1050" s="40" t="str">
        <f aca="false">IF($B1050="","",IF(AND(OR(CETAK!$J$10="",$F1050=CETAK!$J$10),OR(CETAK!$J$11="",$G1050=CETAK!$J$11),OR(CETAK!$J$12="",$P1050=CETAK!$J$12),OR(CETAK!$J$13="",$N1050=CETAK!$J$13),OR(CETAK!$J$14="",$T1050=CETAK!$J$14)),MAX($AC$3:AC1049)+1,""))</f>
        <v/>
      </c>
      <c r="AD1050" s="40" t="str">
        <f aca="false">IF($B1050="","",IF(AND(OR(ABSENSI!$H$10="",$F1050=ABSENSI!$H$10),OR(ABSENSI!$H$11="",$G1050=ABSENSI!$H$11),OR(ABSENSI!$H$12="",$P1050=ABSENSI!$H$12)),MAX($AD$3:AD1049)+1,""))</f>
        <v/>
      </c>
      <c r="AE1050" s="40" t="str">
        <f aca="false">IF($B1050="","",IF(AND(OR(KARTU!$K$6="",$F1050=KARTU!$K$6),OR(KARTU!$K$7="",$G1050=KARTU!$K$7),OR(KARTU!$K$8="",$P1050=KARTU!$K$8)),MAX($AE$3:AE1049)+1,""))</f>
        <v/>
      </c>
    </row>
    <row r="1051" customFormat="false" ht="15" hidden="false" customHeight="false" outlineLevel="0" collapsed="false">
      <c r="A1051" s="35" t="str">
        <f aca="false">IF($B1051="","",COUNTA($B$4:$B1051))</f>
        <v/>
      </c>
      <c r="B1051" s="36"/>
      <c r="C1051" s="37"/>
      <c r="D1051" s="37"/>
      <c r="E1051" s="38"/>
      <c r="F1051" s="36"/>
      <c r="G1051" s="39"/>
      <c r="H1051" s="39"/>
      <c r="I1051" s="36"/>
      <c r="J1051" s="36"/>
      <c r="K1051" s="36"/>
      <c r="L1051" s="36"/>
      <c r="M1051" s="40" t="str">
        <f aca="false">IF($F1051="","",$F1051&amp;IF($G1051="",""," - RT "&amp;$G1051&amp;IF($H1051="","","/"&amp;$H1051)))</f>
        <v/>
      </c>
      <c r="N1051" s="36"/>
      <c r="O1051" s="37"/>
      <c r="P1051" s="39"/>
      <c r="Q1051" s="41"/>
      <c r="R1051" s="35" t="str">
        <f aca="true">IF(OR($B1051="",$Q1051=""),"",DATEDIF($Q1051,TODAY(),"Y"))</f>
        <v/>
      </c>
      <c r="S1051" s="40" t="str">
        <f aca="false">IF($R1051="","",INDEX(usia_label,MATCH($R1051,usia_min,1)))</f>
        <v/>
      </c>
      <c r="T1051" s="36"/>
      <c r="U1051" s="41"/>
      <c r="V1051" s="36"/>
      <c r="W1051" s="36"/>
      <c r="X1051" s="40" t="str">
        <f aca="false">IF($M1051="","",$M1051&amp;"#"&amp;COUNTIF($M$4:$M1051,$M1051))</f>
        <v/>
      </c>
      <c r="Y1051" s="40" t="str">
        <f aca="false">IF($B1051="","",IF($C1051="","NIK kosong",IF(LEN($C1051)&lt;&gt;16,"NIK bukan 16 digit",IF(COUNTIF($C$4:$C$2003,$C1051&amp;"*")&gt;1,"NIK ganda",IF(AND($D1051&lt;&gt;"",LEN($D1051)&lt;&gt;16),"No. KK bukan 16 digit",IF(AND($F1051="",$I1051=""),"Alamat kosong",IF($N1051="","Jabatan kosong",IF($O1051="","No. HP kosong",IF(AND($R1051&lt;&gt;"",$R1051&lt;17),"Usia di bawah 17","")))))))))</f>
        <v/>
      </c>
      <c r="Z1051" s="40" t="str">
        <f aca="false">IF($B1051="","",IF(AND(OR(CARI!$C$5="",ISNUMBER(SEARCH(CARI!$C$5,$B1051&amp;" "&amp;$C1051&amp;" "&amp;$D1051&amp;" "&amp;$O1051&amp;" "&amp;$I1051&amp;" "&amp;$F1051&amp;" "&amp;$J1051&amp;" "&amp;$K1051&amp;" "&amp;$L1051&amp;" "&amp;$V1051))),OR(CARI!$C$6="",$F1051=CARI!$C$6),OR(CARI!$C$7="",$G1051=CARI!$C$7),OR(CARI!$C$8="",$T1051=CARI!$C$8)),MAX($Z$3:Z1050)+1,""))</f>
        <v/>
      </c>
      <c r="AA1051" s="40" t="str">
        <f aca="false">IF($Y1051="","",MAX($AA$3:AA1050)+1)</f>
        <v/>
      </c>
      <c r="AB1051" s="40" t="str">
        <f aca="false">IF($F1051="","",$F1051&amp;"#"&amp;COUNTIF($F$4:$F1051,$F1051))</f>
        <v/>
      </c>
      <c r="AC1051" s="40" t="str">
        <f aca="false">IF($B1051="","",IF(AND(OR(CETAK!$J$10="",$F1051=CETAK!$J$10),OR(CETAK!$J$11="",$G1051=CETAK!$J$11),OR(CETAK!$J$12="",$P1051=CETAK!$J$12),OR(CETAK!$J$13="",$N1051=CETAK!$J$13),OR(CETAK!$J$14="",$T1051=CETAK!$J$14)),MAX($AC$3:AC1050)+1,""))</f>
        <v/>
      </c>
      <c r="AD1051" s="40" t="str">
        <f aca="false">IF($B1051="","",IF(AND(OR(ABSENSI!$H$10="",$F1051=ABSENSI!$H$10),OR(ABSENSI!$H$11="",$G1051=ABSENSI!$H$11),OR(ABSENSI!$H$12="",$P1051=ABSENSI!$H$12)),MAX($AD$3:AD1050)+1,""))</f>
        <v/>
      </c>
      <c r="AE1051" s="40" t="str">
        <f aca="false">IF($B1051="","",IF(AND(OR(KARTU!$K$6="",$F1051=KARTU!$K$6),OR(KARTU!$K$7="",$G1051=KARTU!$K$7),OR(KARTU!$K$8="",$P1051=KARTU!$K$8)),MAX($AE$3:AE1050)+1,""))</f>
        <v/>
      </c>
    </row>
    <row r="1052" customFormat="false" ht="15" hidden="false" customHeight="false" outlineLevel="0" collapsed="false">
      <c r="A1052" s="35" t="str">
        <f aca="false">IF($B1052="","",COUNTA($B$4:$B1052))</f>
        <v/>
      </c>
      <c r="B1052" s="36"/>
      <c r="C1052" s="37"/>
      <c r="D1052" s="37"/>
      <c r="E1052" s="38"/>
      <c r="F1052" s="36"/>
      <c r="G1052" s="39"/>
      <c r="H1052" s="39"/>
      <c r="I1052" s="36"/>
      <c r="J1052" s="36"/>
      <c r="K1052" s="36"/>
      <c r="L1052" s="36"/>
      <c r="M1052" s="40" t="str">
        <f aca="false">IF($F1052="","",$F1052&amp;IF($G1052="",""," - RT "&amp;$G1052&amp;IF($H1052="","","/"&amp;$H1052)))</f>
        <v/>
      </c>
      <c r="N1052" s="36"/>
      <c r="O1052" s="37"/>
      <c r="P1052" s="39"/>
      <c r="Q1052" s="41"/>
      <c r="R1052" s="35" t="str">
        <f aca="true">IF(OR($B1052="",$Q1052=""),"",DATEDIF($Q1052,TODAY(),"Y"))</f>
        <v/>
      </c>
      <c r="S1052" s="40" t="str">
        <f aca="false">IF($R1052="","",INDEX(usia_label,MATCH($R1052,usia_min,1)))</f>
        <v/>
      </c>
      <c r="T1052" s="36"/>
      <c r="U1052" s="41"/>
      <c r="V1052" s="36"/>
      <c r="W1052" s="36"/>
      <c r="X1052" s="40" t="str">
        <f aca="false">IF($M1052="","",$M1052&amp;"#"&amp;COUNTIF($M$4:$M1052,$M1052))</f>
        <v/>
      </c>
      <c r="Y1052" s="40" t="str">
        <f aca="false">IF($B1052="","",IF($C1052="","NIK kosong",IF(LEN($C1052)&lt;&gt;16,"NIK bukan 16 digit",IF(COUNTIF($C$4:$C$2003,$C1052&amp;"*")&gt;1,"NIK ganda",IF(AND($D1052&lt;&gt;"",LEN($D1052)&lt;&gt;16),"No. KK bukan 16 digit",IF(AND($F1052="",$I1052=""),"Alamat kosong",IF($N1052="","Jabatan kosong",IF($O1052="","No. HP kosong",IF(AND($R1052&lt;&gt;"",$R1052&lt;17),"Usia di bawah 17","")))))))))</f>
        <v/>
      </c>
      <c r="Z1052" s="40" t="str">
        <f aca="false">IF($B1052="","",IF(AND(OR(CARI!$C$5="",ISNUMBER(SEARCH(CARI!$C$5,$B1052&amp;" "&amp;$C1052&amp;" "&amp;$D1052&amp;" "&amp;$O1052&amp;" "&amp;$I1052&amp;" "&amp;$F1052&amp;" "&amp;$J1052&amp;" "&amp;$K1052&amp;" "&amp;$L1052&amp;" "&amp;$V1052))),OR(CARI!$C$6="",$F1052=CARI!$C$6),OR(CARI!$C$7="",$G1052=CARI!$C$7),OR(CARI!$C$8="",$T1052=CARI!$C$8)),MAX($Z$3:Z1051)+1,""))</f>
        <v/>
      </c>
      <c r="AA1052" s="40" t="str">
        <f aca="false">IF($Y1052="","",MAX($AA$3:AA1051)+1)</f>
        <v/>
      </c>
      <c r="AB1052" s="40" t="str">
        <f aca="false">IF($F1052="","",$F1052&amp;"#"&amp;COUNTIF($F$4:$F1052,$F1052))</f>
        <v/>
      </c>
      <c r="AC1052" s="40" t="str">
        <f aca="false">IF($B1052="","",IF(AND(OR(CETAK!$J$10="",$F1052=CETAK!$J$10),OR(CETAK!$J$11="",$G1052=CETAK!$J$11),OR(CETAK!$J$12="",$P1052=CETAK!$J$12),OR(CETAK!$J$13="",$N1052=CETAK!$J$13),OR(CETAK!$J$14="",$T1052=CETAK!$J$14)),MAX($AC$3:AC1051)+1,""))</f>
        <v/>
      </c>
      <c r="AD1052" s="40" t="str">
        <f aca="false">IF($B1052="","",IF(AND(OR(ABSENSI!$H$10="",$F1052=ABSENSI!$H$10),OR(ABSENSI!$H$11="",$G1052=ABSENSI!$H$11),OR(ABSENSI!$H$12="",$P1052=ABSENSI!$H$12)),MAX($AD$3:AD1051)+1,""))</f>
        <v/>
      </c>
      <c r="AE1052" s="40" t="str">
        <f aca="false">IF($B1052="","",IF(AND(OR(KARTU!$K$6="",$F1052=KARTU!$K$6),OR(KARTU!$K$7="",$G1052=KARTU!$K$7),OR(KARTU!$K$8="",$P1052=KARTU!$K$8)),MAX($AE$3:AE1051)+1,""))</f>
        <v/>
      </c>
    </row>
    <row r="1053" customFormat="false" ht="15" hidden="false" customHeight="false" outlineLevel="0" collapsed="false">
      <c r="A1053" s="35" t="str">
        <f aca="false">IF($B1053="","",COUNTA($B$4:$B1053))</f>
        <v/>
      </c>
      <c r="B1053" s="36"/>
      <c r="C1053" s="37"/>
      <c r="D1053" s="37"/>
      <c r="E1053" s="38"/>
      <c r="F1053" s="36"/>
      <c r="G1053" s="39"/>
      <c r="H1053" s="39"/>
      <c r="I1053" s="36"/>
      <c r="J1053" s="36"/>
      <c r="K1053" s="36"/>
      <c r="L1053" s="36"/>
      <c r="M1053" s="40" t="str">
        <f aca="false">IF($F1053="","",$F1053&amp;IF($G1053="",""," - RT "&amp;$G1053&amp;IF($H1053="","","/"&amp;$H1053)))</f>
        <v/>
      </c>
      <c r="N1053" s="36"/>
      <c r="O1053" s="37"/>
      <c r="P1053" s="39"/>
      <c r="Q1053" s="41"/>
      <c r="R1053" s="35" t="str">
        <f aca="true">IF(OR($B1053="",$Q1053=""),"",DATEDIF($Q1053,TODAY(),"Y"))</f>
        <v/>
      </c>
      <c r="S1053" s="40" t="str">
        <f aca="false">IF($R1053="","",INDEX(usia_label,MATCH($R1053,usia_min,1)))</f>
        <v/>
      </c>
      <c r="T1053" s="36"/>
      <c r="U1053" s="41"/>
      <c r="V1053" s="36"/>
      <c r="W1053" s="36"/>
      <c r="X1053" s="40" t="str">
        <f aca="false">IF($M1053="","",$M1053&amp;"#"&amp;COUNTIF($M$4:$M1053,$M1053))</f>
        <v/>
      </c>
      <c r="Y1053" s="40" t="str">
        <f aca="false">IF($B1053="","",IF($C1053="","NIK kosong",IF(LEN($C1053)&lt;&gt;16,"NIK bukan 16 digit",IF(COUNTIF($C$4:$C$2003,$C1053&amp;"*")&gt;1,"NIK ganda",IF(AND($D1053&lt;&gt;"",LEN($D1053)&lt;&gt;16),"No. KK bukan 16 digit",IF(AND($F1053="",$I1053=""),"Alamat kosong",IF($N1053="","Jabatan kosong",IF($O1053="","No. HP kosong",IF(AND($R1053&lt;&gt;"",$R1053&lt;17),"Usia di bawah 17","")))))))))</f>
        <v/>
      </c>
      <c r="Z1053" s="40" t="str">
        <f aca="false">IF($B1053="","",IF(AND(OR(CARI!$C$5="",ISNUMBER(SEARCH(CARI!$C$5,$B1053&amp;" "&amp;$C1053&amp;" "&amp;$D1053&amp;" "&amp;$O1053&amp;" "&amp;$I1053&amp;" "&amp;$F1053&amp;" "&amp;$J1053&amp;" "&amp;$K1053&amp;" "&amp;$L1053&amp;" "&amp;$V1053))),OR(CARI!$C$6="",$F1053=CARI!$C$6),OR(CARI!$C$7="",$G1053=CARI!$C$7),OR(CARI!$C$8="",$T1053=CARI!$C$8)),MAX($Z$3:Z1052)+1,""))</f>
        <v/>
      </c>
      <c r="AA1053" s="40" t="str">
        <f aca="false">IF($Y1053="","",MAX($AA$3:AA1052)+1)</f>
        <v/>
      </c>
      <c r="AB1053" s="40" t="str">
        <f aca="false">IF($F1053="","",$F1053&amp;"#"&amp;COUNTIF($F$4:$F1053,$F1053))</f>
        <v/>
      </c>
      <c r="AC1053" s="40" t="str">
        <f aca="false">IF($B1053="","",IF(AND(OR(CETAK!$J$10="",$F1053=CETAK!$J$10),OR(CETAK!$J$11="",$G1053=CETAK!$J$11),OR(CETAK!$J$12="",$P1053=CETAK!$J$12),OR(CETAK!$J$13="",$N1053=CETAK!$J$13),OR(CETAK!$J$14="",$T1053=CETAK!$J$14)),MAX($AC$3:AC1052)+1,""))</f>
        <v/>
      </c>
      <c r="AD1053" s="40" t="str">
        <f aca="false">IF($B1053="","",IF(AND(OR(ABSENSI!$H$10="",$F1053=ABSENSI!$H$10),OR(ABSENSI!$H$11="",$G1053=ABSENSI!$H$11),OR(ABSENSI!$H$12="",$P1053=ABSENSI!$H$12)),MAX($AD$3:AD1052)+1,""))</f>
        <v/>
      </c>
      <c r="AE1053" s="40" t="str">
        <f aca="false">IF($B1053="","",IF(AND(OR(KARTU!$K$6="",$F1053=KARTU!$K$6),OR(KARTU!$K$7="",$G1053=KARTU!$K$7),OR(KARTU!$K$8="",$P1053=KARTU!$K$8)),MAX($AE$3:AE1052)+1,""))</f>
        <v/>
      </c>
    </row>
    <row r="1054" customFormat="false" ht="15" hidden="false" customHeight="false" outlineLevel="0" collapsed="false">
      <c r="A1054" s="35" t="str">
        <f aca="false">IF($B1054="","",COUNTA($B$4:$B1054))</f>
        <v/>
      </c>
      <c r="B1054" s="36"/>
      <c r="C1054" s="37"/>
      <c r="D1054" s="37"/>
      <c r="E1054" s="38"/>
      <c r="F1054" s="36"/>
      <c r="G1054" s="39"/>
      <c r="H1054" s="39"/>
      <c r="I1054" s="36"/>
      <c r="J1054" s="36"/>
      <c r="K1054" s="36"/>
      <c r="L1054" s="36"/>
      <c r="M1054" s="40" t="str">
        <f aca="false">IF($F1054="","",$F1054&amp;IF($G1054="",""," - RT "&amp;$G1054&amp;IF($H1054="","","/"&amp;$H1054)))</f>
        <v/>
      </c>
      <c r="N1054" s="36"/>
      <c r="O1054" s="37"/>
      <c r="P1054" s="39"/>
      <c r="Q1054" s="41"/>
      <c r="R1054" s="35" t="str">
        <f aca="true">IF(OR($B1054="",$Q1054=""),"",DATEDIF($Q1054,TODAY(),"Y"))</f>
        <v/>
      </c>
      <c r="S1054" s="40" t="str">
        <f aca="false">IF($R1054="","",INDEX(usia_label,MATCH($R1054,usia_min,1)))</f>
        <v/>
      </c>
      <c r="T1054" s="36"/>
      <c r="U1054" s="41"/>
      <c r="V1054" s="36"/>
      <c r="W1054" s="36"/>
      <c r="X1054" s="40" t="str">
        <f aca="false">IF($M1054="","",$M1054&amp;"#"&amp;COUNTIF($M$4:$M1054,$M1054))</f>
        <v/>
      </c>
      <c r="Y1054" s="40" t="str">
        <f aca="false">IF($B1054="","",IF($C1054="","NIK kosong",IF(LEN($C1054)&lt;&gt;16,"NIK bukan 16 digit",IF(COUNTIF($C$4:$C$2003,$C1054&amp;"*")&gt;1,"NIK ganda",IF(AND($D1054&lt;&gt;"",LEN($D1054)&lt;&gt;16),"No. KK bukan 16 digit",IF(AND($F1054="",$I1054=""),"Alamat kosong",IF($N1054="","Jabatan kosong",IF($O1054="","No. HP kosong",IF(AND($R1054&lt;&gt;"",$R1054&lt;17),"Usia di bawah 17","")))))))))</f>
        <v/>
      </c>
      <c r="Z1054" s="40" t="str">
        <f aca="false">IF($B1054="","",IF(AND(OR(CARI!$C$5="",ISNUMBER(SEARCH(CARI!$C$5,$B1054&amp;" "&amp;$C1054&amp;" "&amp;$D1054&amp;" "&amp;$O1054&amp;" "&amp;$I1054&amp;" "&amp;$F1054&amp;" "&amp;$J1054&amp;" "&amp;$K1054&amp;" "&amp;$L1054&amp;" "&amp;$V1054))),OR(CARI!$C$6="",$F1054=CARI!$C$6),OR(CARI!$C$7="",$G1054=CARI!$C$7),OR(CARI!$C$8="",$T1054=CARI!$C$8)),MAX($Z$3:Z1053)+1,""))</f>
        <v/>
      </c>
      <c r="AA1054" s="40" t="str">
        <f aca="false">IF($Y1054="","",MAX($AA$3:AA1053)+1)</f>
        <v/>
      </c>
      <c r="AB1054" s="40" t="str">
        <f aca="false">IF($F1054="","",$F1054&amp;"#"&amp;COUNTIF($F$4:$F1054,$F1054))</f>
        <v/>
      </c>
      <c r="AC1054" s="40" t="str">
        <f aca="false">IF($B1054="","",IF(AND(OR(CETAK!$J$10="",$F1054=CETAK!$J$10),OR(CETAK!$J$11="",$G1054=CETAK!$J$11),OR(CETAK!$J$12="",$P1054=CETAK!$J$12),OR(CETAK!$J$13="",$N1054=CETAK!$J$13),OR(CETAK!$J$14="",$T1054=CETAK!$J$14)),MAX($AC$3:AC1053)+1,""))</f>
        <v/>
      </c>
      <c r="AD1054" s="40" t="str">
        <f aca="false">IF($B1054="","",IF(AND(OR(ABSENSI!$H$10="",$F1054=ABSENSI!$H$10),OR(ABSENSI!$H$11="",$G1054=ABSENSI!$H$11),OR(ABSENSI!$H$12="",$P1054=ABSENSI!$H$12)),MAX($AD$3:AD1053)+1,""))</f>
        <v/>
      </c>
      <c r="AE1054" s="40" t="str">
        <f aca="false">IF($B1054="","",IF(AND(OR(KARTU!$K$6="",$F1054=KARTU!$K$6),OR(KARTU!$K$7="",$G1054=KARTU!$K$7),OR(KARTU!$K$8="",$P1054=KARTU!$K$8)),MAX($AE$3:AE1053)+1,""))</f>
        <v/>
      </c>
    </row>
    <row r="1055" customFormat="false" ht="15" hidden="false" customHeight="false" outlineLevel="0" collapsed="false">
      <c r="A1055" s="35" t="str">
        <f aca="false">IF($B1055="","",COUNTA($B$4:$B1055))</f>
        <v/>
      </c>
      <c r="B1055" s="36"/>
      <c r="C1055" s="37"/>
      <c r="D1055" s="37"/>
      <c r="E1055" s="38"/>
      <c r="F1055" s="36"/>
      <c r="G1055" s="39"/>
      <c r="H1055" s="39"/>
      <c r="I1055" s="36"/>
      <c r="J1055" s="36"/>
      <c r="K1055" s="36"/>
      <c r="L1055" s="36"/>
      <c r="M1055" s="40" t="str">
        <f aca="false">IF($F1055="","",$F1055&amp;IF($G1055="",""," - RT "&amp;$G1055&amp;IF($H1055="","","/"&amp;$H1055)))</f>
        <v/>
      </c>
      <c r="N1055" s="36"/>
      <c r="O1055" s="37"/>
      <c r="P1055" s="39"/>
      <c r="Q1055" s="41"/>
      <c r="R1055" s="35" t="str">
        <f aca="true">IF(OR($B1055="",$Q1055=""),"",DATEDIF($Q1055,TODAY(),"Y"))</f>
        <v/>
      </c>
      <c r="S1055" s="40" t="str">
        <f aca="false">IF($R1055="","",INDEX(usia_label,MATCH($R1055,usia_min,1)))</f>
        <v/>
      </c>
      <c r="T1055" s="36"/>
      <c r="U1055" s="41"/>
      <c r="V1055" s="36"/>
      <c r="W1055" s="36"/>
      <c r="X1055" s="40" t="str">
        <f aca="false">IF($M1055="","",$M1055&amp;"#"&amp;COUNTIF($M$4:$M1055,$M1055))</f>
        <v/>
      </c>
      <c r="Y1055" s="40" t="str">
        <f aca="false">IF($B1055="","",IF($C1055="","NIK kosong",IF(LEN($C1055)&lt;&gt;16,"NIK bukan 16 digit",IF(COUNTIF($C$4:$C$2003,$C1055&amp;"*")&gt;1,"NIK ganda",IF(AND($D1055&lt;&gt;"",LEN($D1055)&lt;&gt;16),"No. KK bukan 16 digit",IF(AND($F1055="",$I1055=""),"Alamat kosong",IF($N1055="","Jabatan kosong",IF($O1055="","No. HP kosong",IF(AND($R1055&lt;&gt;"",$R1055&lt;17),"Usia di bawah 17","")))))))))</f>
        <v/>
      </c>
      <c r="Z1055" s="40" t="str">
        <f aca="false">IF($B1055="","",IF(AND(OR(CARI!$C$5="",ISNUMBER(SEARCH(CARI!$C$5,$B1055&amp;" "&amp;$C1055&amp;" "&amp;$D1055&amp;" "&amp;$O1055&amp;" "&amp;$I1055&amp;" "&amp;$F1055&amp;" "&amp;$J1055&amp;" "&amp;$K1055&amp;" "&amp;$L1055&amp;" "&amp;$V1055))),OR(CARI!$C$6="",$F1055=CARI!$C$6),OR(CARI!$C$7="",$G1055=CARI!$C$7),OR(CARI!$C$8="",$T1055=CARI!$C$8)),MAX($Z$3:Z1054)+1,""))</f>
        <v/>
      </c>
      <c r="AA1055" s="40" t="str">
        <f aca="false">IF($Y1055="","",MAX($AA$3:AA1054)+1)</f>
        <v/>
      </c>
      <c r="AB1055" s="40" t="str">
        <f aca="false">IF($F1055="","",$F1055&amp;"#"&amp;COUNTIF($F$4:$F1055,$F1055))</f>
        <v/>
      </c>
      <c r="AC1055" s="40" t="str">
        <f aca="false">IF($B1055="","",IF(AND(OR(CETAK!$J$10="",$F1055=CETAK!$J$10),OR(CETAK!$J$11="",$G1055=CETAK!$J$11),OR(CETAK!$J$12="",$P1055=CETAK!$J$12),OR(CETAK!$J$13="",$N1055=CETAK!$J$13),OR(CETAK!$J$14="",$T1055=CETAK!$J$14)),MAX($AC$3:AC1054)+1,""))</f>
        <v/>
      </c>
      <c r="AD1055" s="40" t="str">
        <f aca="false">IF($B1055="","",IF(AND(OR(ABSENSI!$H$10="",$F1055=ABSENSI!$H$10),OR(ABSENSI!$H$11="",$G1055=ABSENSI!$H$11),OR(ABSENSI!$H$12="",$P1055=ABSENSI!$H$12)),MAX($AD$3:AD1054)+1,""))</f>
        <v/>
      </c>
      <c r="AE1055" s="40" t="str">
        <f aca="false">IF($B1055="","",IF(AND(OR(KARTU!$K$6="",$F1055=KARTU!$K$6),OR(KARTU!$K$7="",$G1055=KARTU!$K$7),OR(KARTU!$K$8="",$P1055=KARTU!$K$8)),MAX($AE$3:AE1054)+1,""))</f>
        <v/>
      </c>
    </row>
    <row r="1056" customFormat="false" ht="15" hidden="false" customHeight="false" outlineLevel="0" collapsed="false">
      <c r="A1056" s="35" t="str">
        <f aca="false">IF($B1056="","",COUNTA($B$4:$B1056))</f>
        <v/>
      </c>
      <c r="B1056" s="36"/>
      <c r="C1056" s="37"/>
      <c r="D1056" s="37"/>
      <c r="E1056" s="38"/>
      <c r="F1056" s="36"/>
      <c r="G1056" s="39"/>
      <c r="H1056" s="39"/>
      <c r="I1056" s="36"/>
      <c r="J1056" s="36"/>
      <c r="K1056" s="36"/>
      <c r="L1056" s="36"/>
      <c r="M1056" s="40" t="str">
        <f aca="false">IF($F1056="","",$F1056&amp;IF($G1056="",""," - RT "&amp;$G1056&amp;IF($H1056="","","/"&amp;$H1056)))</f>
        <v/>
      </c>
      <c r="N1056" s="36"/>
      <c r="O1056" s="37"/>
      <c r="P1056" s="39"/>
      <c r="Q1056" s="41"/>
      <c r="R1056" s="35" t="str">
        <f aca="true">IF(OR($B1056="",$Q1056=""),"",DATEDIF($Q1056,TODAY(),"Y"))</f>
        <v/>
      </c>
      <c r="S1056" s="40" t="str">
        <f aca="false">IF($R1056="","",INDEX(usia_label,MATCH($R1056,usia_min,1)))</f>
        <v/>
      </c>
      <c r="T1056" s="36"/>
      <c r="U1056" s="41"/>
      <c r="V1056" s="36"/>
      <c r="W1056" s="36"/>
      <c r="X1056" s="40" t="str">
        <f aca="false">IF($M1056="","",$M1056&amp;"#"&amp;COUNTIF($M$4:$M1056,$M1056))</f>
        <v/>
      </c>
      <c r="Y1056" s="40" t="str">
        <f aca="false">IF($B1056="","",IF($C1056="","NIK kosong",IF(LEN($C1056)&lt;&gt;16,"NIK bukan 16 digit",IF(COUNTIF($C$4:$C$2003,$C1056&amp;"*")&gt;1,"NIK ganda",IF(AND($D1056&lt;&gt;"",LEN($D1056)&lt;&gt;16),"No. KK bukan 16 digit",IF(AND($F1056="",$I1056=""),"Alamat kosong",IF($N1056="","Jabatan kosong",IF($O1056="","No. HP kosong",IF(AND($R1056&lt;&gt;"",$R1056&lt;17),"Usia di bawah 17","")))))))))</f>
        <v/>
      </c>
      <c r="Z1056" s="40" t="str">
        <f aca="false">IF($B1056="","",IF(AND(OR(CARI!$C$5="",ISNUMBER(SEARCH(CARI!$C$5,$B1056&amp;" "&amp;$C1056&amp;" "&amp;$D1056&amp;" "&amp;$O1056&amp;" "&amp;$I1056&amp;" "&amp;$F1056&amp;" "&amp;$J1056&amp;" "&amp;$K1056&amp;" "&amp;$L1056&amp;" "&amp;$V1056))),OR(CARI!$C$6="",$F1056=CARI!$C$6),OR(CARI!$C$7="",$G1056=CARI!$C$7),OR(CARI!$C$8="",$T1056=CARI!$C$8)),MAX($Z$3:Z1055)+1,""))</f>
        <v/>
      </c>
      <c r="AA1056" s="40" t="str">
        <f aca="false">IF($Y1056="","",MAX($AA$3:AA1055)+1)</f>
        <v/>
      </c>
      <c r="AB1056" s="40" t="str">
        <f aca="false">IF($F1056="","",$F1056&amp;"#"&amp;COUNTIF($F$4:$F1056,$F1056))</f>
        <v/>
      </c>
      <c r="AC1056" s="40" t="str">
        <f aca="false">IF($B1056="","",IF(AND(OR(CETAK!$J$10="",$F1056=CETAK!$J$10),OR(CETAK!$J$11="",$G1056=CETAK!$J$11),OR(CETAK!$J$12="",$P1056=CETAK!$J$12),OR(CETAK!$J$13="",$N1056=CETAK!$J$13),OR(CETAK!$J$14="",$T1056=CETAK!$J$14)),MAX($AC$3:AC1055)+1,""))</f>
        <v/>
      </c>
      <c r="AD1056" s="40" t="str">
        <f aca="false">IF($B1056="","",IF(AND(OR(ABSENSI!$H$10="",$F1056=ABSENSI!$H$10),OR(ABSENSI!$H$11="",$G1056=ABSENSI!$H$11),OR(ABSENSI!$H$12="",$P1056=ABSENSI!$H$12)),MAX($AD$3:AD1055)+1,""))</f>
        <v/>
      </c>
      <c r="AE1056" s="40" t="str">
        <f aca="false">IF($B1056="","",IF(AND(OR(KARTU!$K$6="",$F1056=KARTU!$K$6),OR(KARTU!$K$7="",$G1056=KARTU!$K$7),OR(KARTU!$K$8="",$P1056=KARTU!$K$8)),MAX($AE$3:AE1055)+1,""))</f>
        <v/>
      </c>
    </row>
    <row r="1057" customFormat="false" ht="15" hidden="false" customHeight="false" outlineLevel="0" collapsed="false">
      <c r="A1057" s="35" t="str">
        <f aca="false">IF($B1057="","",COUNTA($B$4:$B1057))</f>
        <v/>
      </c>
      <c r="B1057" s="36"/>
      <c r="C1057" s="37"/>
      <c r="D1057" s="37"/>
      <c r="E1057" s="38"/>
      <c r="F1057" s="36"/>
      <c r="G1057" s="39"/>
      <c r="H1057" s="39"/>
      <c r="I1057" s="36"/>
      <c r="J1057" s="36"/>
      <c r="K1057" s="36"/>
      <c r="L1057" s="36"/>
      <c r="M1057" s="40" t="str">
        <f aca="false">IF($F1057="","",$F1057&amp;IF($G1057="",""," - RT "&amp;$G1057&amp;IF($H1057="","","/"&amp;$H1057)))</f>
        <v/>
      </c>
      <c r="N1057" s="36"/>
      <c r="O1057" s="37"/>
      <c r="P1057" s="39"/>
      <c r="Q1057" s="41"/>
      <c r="R1057" s="35" t="str">
        <f aca="true">IF(OR($B1057="",$Q1057=""),"",DATEDIF($Q1057,TODAY(),"Y"))</f>
        <v/>
      </c>
      <c r="S1057" s="40" t="str">
        <f aca="false">IF($R1057="","",INDEX(usia_label,MATCH($R1057,usia_min,1)))</f>
        <v/>
      </c>
      <c r="T1057" s="36"/>
      <c r="U1057" s="41"/>
      <c r="V1057" s="36"/>
      <c r="W1057" s="36"/>
      <c r="X1057" s="40" t="str">
        <f aca="false">IF($M1057="","",$M1057&amp;"#"&amp;COUNTIF($M$4:$M1057,$M1057))</f>
        <v/>
      </c>
      <c r="Y1057" s="40" t="str">
        <f aca="false">IF($B1057="","",IF($C1057="","NIK kosong",IF(LEN($C1057)&lt;&gt;16,"NIK bukan 16 digit",IF(COUNTIF($C$4:$C$2003,$C1057&amp;"*")&gt;1,"NIK ganda",IF(AND($D1057&lt;&gt;"",LEN($D1057)&lt;&gt;16),"No. KK bukan 16 digit",IF(AND($F1057="",$I1057=""),"Alamat kosong",IF($N1057="","Jabatan kosong",IF($O1057="","No. HP kosong",IF(AND($R1057&lt;&gt;"",$R1057&lt;17),"Usia di bawah 17","")))))))))</f>
        <v/>
      </c>
      <c r="Z1057" s="40" t="str">
        <f aca="false">IF($B1057="","",IF(AND(OR(CARI!$C$5="",ISNUMBER(SEARCH(CARI!$C$5,$B1057&amp;" "&amp;$C1057&amp;" "&amp;$D1057&amp;" "&amp;$O1057&amp;" "&amp;$I1057&amp;" "&amp;$F1057&amp;" "&amp;$J1057&amp;" "&amp;$K1057&amp;" "&amp;$L1057&amp;" "&amp;$V1057))),OR(CARI!$C$6="",$F1057=CARI!$C$6),OR(CARI!$C$7="",$G1057=CARI!$C$7),OR(CARI!$C$8="",$T1057=CARI!$C$8)),MAX($Z$3:Z1056)+1,""))</f>
        <v/>
      </c>
      <c r="AA1057" s="40" t="str">
        <f aca="false">IF($Y1057="","",MAX($AA$3:AA1056)+1)</f>
        <v/>
      </c>
      <c r="AB1057" s="40" t="str">
        <f aca="false">IF($F1057="","",$F1057&amp;"#"&amp;COUNTIF($F$4:$F1057,$F1057))</f>
        <v/>
      </c>
      <c r="AC1057" s="40" t="str">
        <f aca="false">IF($B1057="","",IF(AND(OR(CETAK!$J$10="",$F1057=CETAK!$J$10),OR(CETAK!$J$11="",$G1057=CETAK!$J$11),OR(CETAK!$J$12="",$P1057=CETAK!$J$12),OR(CETAK!$J$13="",$N1057=CETAK!$J$13),OR(CETAK!$J$14="",$T1057=CETAK!$J$14)),MAX($AC$3:AC1056)+1,""))</f>
        <v/>
      </c>
      <c r="AD1057" s="40" t="str">
        <f aca="false">IF($B1057="","",IF(AND(OR(ABSENSI!$H$10="",$F1057=ABSENSI!$H$10),OR(ABSENSI!$H$11="",$G1057=ABSENSI!$H$11),OR(ABSENSI!$H$12="",$P1057=ABSENSI!$H$12)),MAX($AD$3:AD1056)+1,""))</f>
        <v/>
      </c>
      <c r="AE1057" s="40" t="str">
        <f aca="false">IF($B1057="","",IF(AND(OR(KARTU!$K$6="",$F1057=KARTU!$K$6),OR(KARTU!$K$7="",$G1057=KARTU!$K$7),OR(KARTU!$K$8="",$P1057=KARTU!$K$8)),MAX($AE$3:AE1056)+1,""))</f>
        <v/>
      </c>
    </row>
    <row r="1058" customFormat="false" ht="15" hidden="false" customHeight="false" outlineLevel="0" collapsed="false">
      <c r="A1058" s="35" t="str">
        <f aca="false">IF($B1058="","",COUNTA($B$4:$B1058))</f>
        <v/>
      </c>
      <c r="B1058" s="36"/>
      <c r="C1058" s="37"/>
      <c r="D1058" s="37"/>
      <c r="E1058" s="38"/>
      <c r="F1058" s="36"/>
      <c r="G1058" s="39"/>
      <c r="H1058" s="39"/>
      <c r="I1058" s="36"/>
      <c r="J1058" s="36"/>
      <c r="K1058" s="36"/>
      <c r="L1058" s="36"/>
      <c r="M1058" s="40" t="str">
        <f aca="false">IF($F1058="","",$F1058&amp;IF($G1058="",""," - RT "&amp;$G1058&amp;IF($H1058="","","/"&amp;$H1058)))</f>
        <v/>
      </c>
      <c r="N1058" s="36"/>
      <c r="O1058" s="37"/>
      <c r="P1058" s="39"/>
      <c r="Q1058" s="41"/>
      <c r="R1058" s="35" t="str">
        <f aca="true">IF(OR($B1058="",$Q1058=""),"",DATEDIF($Q1058,TODAY(),"Y"))</f>
        <v/>
      </c>
      <c r="S1058" s="40" t="str">
        <f aca="false">IF($R1058="","",INDEX(usia_label,MATCH($R1058,usia_min,1)))</f>
        <v/>
      </c>
      <c r="T1058" s="36"/>
      <c r="U1058" s="41"/>
      <c r="V1058" s="36"/>
      <c r="W1058" s="36"/>
      <c r="X1058" s="40" t="str">
        <f aca="false">IF($M1058="","",$M1058&amp;"#"&amp;COUNTIF($M$4:$M1058,$M1058))</f>
        <v/>
      </c>
      <c r="Y1058" s="40" t="str">
        <f aca="false">IF($B1058="","",IF($C1058="","NIK kosong",IF(LEN($C1058)&lt;&gt;16,"NIK bukan 16 digit",IF(COUNTIF($C$4:$C$2003,$C1058&amp;"*")&gt;1,"NIK ganda",IF(AND($D1058&lt;&gt;"",LEN($D1058)&lt;&gt;16),"No. KK bukan 16 digit",IF(AND($F1058="",$I1058=""),"Alamat kosong",IF($N1058="","Jabatan kosong",IF($O1058="","No. HP kosong",IF(AND($R1058&lt;&gt;"",$R1058&lt;17),"Usia di bawah 17","")))))))))</f>
        <v/>
      </c>
      <c r="Z1058" s="40" t="str">
        <f aca="false">IF($B1058="","",IF(AND(OR(CARI!$C$5="",ISNUMBER(SEARCH(CARI!$C$5,$B1058&amp;" "&amp;$C1058&amp;" "&amp;$D1058&amp;" "&amp;$O1058&amp;" "&amp;$I1058&amp;" "&amp;$F1058&amp;" "&amp;$J1058&amp;" "&amp;$K1058&amp;" "&amp;$L1058&amp;" "&amp;$V1058))),OR(CARI!$C$6="",$F1058=CARI!$C$6),OR(CARI!$C$7="",$G1058=CARI!$C$7),OR(CARI!$C$8="",$T1058=CARI!$C$8)),MAX($Z$3:Z1057)+1,""))</f>
        <v/>
      </c>
      <c r="AA1058" s="40" t="str">
        <f aca="false">IF($Y1058="","",MAX($AA$3:AA1057)+1)</f>
        <v/>
      </c>
      <c r="AB1058" s="40" t="str">
        <f aca="false">IF($F1058="","",$F1058&amp;"#"&amp;COUNTIF($F$4:$F1058,$F1058))</f>
        <v/>
      </c>
      <c r="AC1058" s="40" t="str">
        <f aca="false">IF($B1058="","",IF(AND(OR(CETAK!$J$10="",$F1058=CETAK!$J$10),OR(CETAK!$J$11="",$G1058=CETAK!$J$11),OR(CETAK!$J$12="",$P1058=CETAK!$J$12),OR(CETAK!$J$13="",$N1058=CETAK!$J$13),OR(CETAK!$J$14="",$T1058=CETAK!$J$14)),MAX($AC$3:AC1057)+1,""))</f>
        <v/>
      </c>
      <c r="AD1058" s="40" t="str">
        <f aca="false">IF($B1058="","",IF(AND(OR(ABSENSI!$H$10="",$F1058=ABSENSI!$H$10),OR(ABSENSI!$H$11="",$G1058=ABSENSI!$H$11),OR(ABSENSI!$H$12="",$P1058=ABSENSI!$H$12)),MAX($AD$3:AD1057)+1,""))</f>
        <v/>
      </c>
      <c r="AE1058" s="40" t="str">
        <f aca="false">IF($B1058="","",IF(AND(OR(KARTU!$K$6="",$F1058=KARTU!$K$6),OR(KARTU!$K$7="",$G1058=KARTU!$K$7),OR(KARTU!$K$8="",$P1058=KARTU!$K$8)),MAX($AE$3:AE1057)+1,""))</f>
        <v/>
      </c>
    </row>
    <row r="1059" customFormat="false" ht="15" hidden="false" customHeight="false" outlineLevel="0" collapsed="false">
      <c r="A1059" s="35" t="str">
        <f aca="false">IF($B1059="","",COUNTA($B$4:$B1059))</f>
        <v/>
      </c>
      <c r="B1059" s="36"/>
      <c r="C1059" s="37"/>
      <c r="D1059" s="37"/>
      <c r="E1059" s="38"/>
      <c r="F1059" s="36"/>
      <c r="G1059" s="39"/>
      <c r="H1059" s="39"/>
      <c r="I1059" s="36"/>
      <c r="J1059" s="36"/>
      <c r="K1059" s="36"/>
      <c r="L1059" s="36"/>
      <c r="M1059" s="40" t="str">
        <f aca="false">IF($F1059="","",$F1059&amp;IF($G1059="",""," - RT "&amp;$G1059&amp;IF($H1059="","","/"&amp;$H1059)))</f>
        <v/>
      </c>
      <c r="N1059" s="36"/>
      <c r="O1059" s="37"/>
      <c r="P1059" s="39"/>
      <c r="Q1059" s="41"/>
      <c r="R1059" s="35" t="str">
        <f aca="true">IF(OR($B1059="",$Q1059=""),"",DATEDIF($Q1059,TODAY(),"Y"))</f>
        <v/>
      </c>
      <c r="S1059" s="40" t="str">
        <f aca="false">IF($R1059="","",INDEX(usia_label,MATCH($R1059,usia_min,1)))</f>
        <v/>
      </c>
      <c r="T1059" s="36"/>
      <c r="U1059" s="41"/>
      <c r="V1059" s="36"/>
      <c r="W1059" s="36"/>
      <c r="X1059" s="40" t="str">
        <f aca="false">IF($M1059="","",$M1059&amp;"#"&amp;COUNTIF($M$4:$M1059,$M1059))</f>
        <v/>
      </c>
      <c r="Y1059" s="40" t="str">
        <f aca="false">IF($B1059="","",IF($C1059="","NIK kosong",IF(LEN($C1059)&lt;&gt;16,"NIK bukan 16 digit",IF(COUNTIF($C$4:$C$2003,$C1059&amp;"*")&gt;1,"NIK ganda",IF(AND($D1059&lt;&gt;"",LEN($D1059)&lt;&gt;16),"No. KK bukan 16 digit",IF(AND($F1059="",$I1059=""),"Alamat kosong",IF($N1059="","Jabatan kosong",IF($O1059="","No. HP kosong",IF(AND($R1059&lt;&gt;"",$R1059&lt;17),"Usia di bawah 17","")))))))))</f>
        <v/>
      </c>
      <c r="Z1059" s="40" t="str">
        <f aca="false">IF($B1059="","",IF(AND(OR(CARI!$C$5="",ISNUMBER(SEARCH(CARI!$C$5,$B1059&amp;" "&amp;$C1059&amp;" "&amp;$D1059&amp;" "&amp;$O1059&amp;" "&amp;$I1059&amp;" "&amp;$F1059&amp;" "&amp;$J1059&amp;" "&amp;$K1059&amp;" "&amp;$L1059&amp;" "&amp;$V1059))),OR(CARI!$C$6="",$F1059=CARI!$C$6),OR(CARI!$C$7="",$G1059=CARI!$C$7),OR(CARI!$C$8="",$T1059=CARI!$C$8)),MAX($Z$3:Z1058)+1,""))</f>
        <v/>
      </c>
      <c r="AA1059" s="40" t="str">
        <f aca="false">IF($Y1059="","",MAX($AA$3:AA1058)+1)</f>
        <v/>
      </c>
      <c r="AB1059" s="40" t="str">
        <f aca="false">IF($F1059="","",$F1059&amp;"#"&amp;COUNTIF($F$4:$F1059,$F1059))</f>
        <v/>
      </c>
      <c r="AC1059" s="40" t="str">
        <f aca="false">IF($B1059="","",IF(AND(OR(CETAK!$J$10="",$F1059=CETAK!$J$10),OR(CETAK!$J$11="",$G1059=CETAK!$J$11),OR(CETAK!$J$12="",$P1059=CETAK!$J$12),OR(CETAK!$J$13="",$N1059=CETAK!$J$13),OR(CETAK!$J$14="",$T1059=CETAK!$J$14)),MAX($AC$3:AC1058)+1,""))</f>
        <v/>
      </c>
      <c r="AD1059" s="40" t="str">
        <f aca="false">IF($B1059="","",IF(AND(OR(ABSENSI!$H$10="",$F1059=ABSENSI!$H$10),OR(ABSENSI!$H$11="",$G1059=ABSENSI!$H$11),OR(ABSENSI!$H$12="",$P1059=ABSENSI!$H$12)),MAX($AD$3:AD1058)+1,""))</f>
        <v/>
      </c>
      <c r="AE1059" s="40" t="str">
        <f aca="false">IF($B1059="","",IF(AND(OR(KARTU!$K$6="",$F1059=KARTU!$K$6),OR(KARTU!$K$7="",$G1059=KARTU!$K$7),OR(KARTU!$K$8="",$P1059=KARTU!$K$8)),MAX($AE$3:AE1058)+1,""))</f>
        <v/>
      </c>
    </row>
    <row r="1060" customFormat="false" ht="15" hidden="false" customHeight="false" outlineLevel="0" collapsed="false">
      <c r="A1060" s="35" t="str">
        <f aca="false">IF($B1060="","",COUNTA($B$4:$B1060))</f>
        <v/>
      </c>
      <c r="B1060" s="36"/>
      <c r="C1060" s="37"/>
      <c r="D1060" s="37"/>
      <c r="E1060" s="38"/>
      <c r="F1060" s="36"/>
      <c r="G1060" s="39"/>
      <c r="H1060" s="39"/>
      <c r="I1060" s="36"/>
      <c r="J1060" s="36"/>
      <c r="K1060" s="36"/>
      <c r="L1060" s="36"/>
      <c r="M1060" s="40" t="str">
        <f aca="false">IF($F1060="","",$F1060&amp;IF($G1060="",""," - RT "&amp;$G1060&amp;IF($H1060="","","/"&amp;$H1060)))</f>
        <v/>
      </c>
      <c r="N1060" s="36"/>
      <c r="O1060" s="37"/>
      <c r="P1060" s="39"/>
      <c r="Q1060" s="41"/>
      <c r="R1060" s="35" t="str">
        <f aca="true">IF(OR($B1060="",$Q1060=""),"",DATEDIF($Q1060,TODAY(),"Y"))</f>
        <v/>
      </c>
      <c r="S1060" s="40" t="str">
        <f aca="false">IF($R1060="","",INDEX(usia_label,MATCH($R1060,usia_min,1)))</f>
        <v/>
      </c>
      <c r="T1060" s="36"/>
      <c r="U1060" s="41"/>
      <c r="V1060" s="36"/>
      <c r="W1060" s="36"/>
      <c r="X1060" s="40" t="str">
        <f aca="false">IF($M1060="","",$M1060&amp;"#"&amp;COUNTIF($M$4:$M1060,$M1060))</f>
        <v/>
      </c>
      <c r="Y1060" s="40" t="str">
        <f aca="false">IF($B1060="","",IF($C1060="","NIK kosong",IF(LEN($C1060)&lt;&gt;16,"NIK bukan 16 digit",IF(COUNTIF($C$4:$C$2003,$C1060&amp;"*")&gt;1,"NIK ganda",IF(AND($D1060&lt;&gt;"",LEN($D1060)&lt;&gt;16),"No. KK bukan 16 digit",IF(AND($F1060="",$I1060=""),"Alamat kosong",IF($N1060="","Jabatan kosong",IF($O1060="","No. HP kosong",IF(AND($R1060&lt;&gt;"",$R1060&lt;17),"Usia di bawah 17","")))))))))</f>
        <v/>
      </c>
      <c r="Z1060" s="40" t="str">
        <f aca="false">IF($B1060="","",IF(AND(OR(CARI!$C$5="",ISNUMBER(SEARCH(CARI!$C$5,$B1060&amp;" "&amp;$C1060&amp;" "&amp;$D1060&amp;" "&amp;$O1060&amp;" "&amp;$I1060&amp;" "&amp;$F1060&amp;" "&amp;$J1060&amp;" "&amp;$K1060&amp;" "&amp;$L1060&amp;" "&amp;$V1060))),OR(CARI!$C$6="",$F1060=CARI!$C$6),OR(CARI!$C$7="",$G1060=CARI!$C$7),OR(CARI!$C$8="",$T1060=CARI!$C$8)),MAX($Z$3:Z1059)+1,""))</f>
        <v/>
      </c>
      <c r="AA1060" s="40" t="str">
        <f aca="false">IF($Y1060="","",MAX($AA$3:AA1059)+1)</f>
        <v/>
      </c>
      <c r="AB1060" s="40" t="str">
        <f aca="false">IF($F1060="","",$F1060&amp;"#"&amp;COUNTIF($F$4:$F1060,$F1060))</f>
        <v/>
      </c>
      <c r="AC1060" s="40" t="str">
        <f aca="false">IF($B1060="","",IF(AND(OR(CETAK!$J$10="",$F1060=CETAK!$J$10),OR(CETAK!$J$11="",$G1060=CETAK!$J$11),OR(CETAK!$J$12="",$P1060=CETAK!$J$12),OR(CETAK!$J$13="",$N1060=CETAK!$J$13),OR(CETAK!$J$14="",$T1060=CETAK!$J$14)),MAX($AC$3:AC1059)+1,""))</f>
        <v/>
      </c>
      <c r="AD1060" s="40" t="str">
        <f aca="false">IF($B1060="","",IF(AND(OR(ABSENSI!$H$10="",$F1060=ABSENSI!$H$10),OR(ABSENSI!$H$11="",$G1060=ABSENSI!$H$11),OR(ABSENSI!$H$12="",$P1060=ABSENSI!$H$12)),MAX($AD$3:AD1059)+1,""))</f>
        <v/>
      </c>
      <c r="AE1060" s="40" t="str">
        <f aca="false">IF($B1060="","",IF(AND(OR(KARTU!$K$6="",$F1060=KARTU!$K$6),OR(KARTU!$K$7="",$G1060=KARTU!$K$7),OR(KARTU!$K$8="",$P1060=KARTU!$K$8)),MAX($AE$3:AE1059)+1,""))</f>
        <v/>
      </c>
    </row>
    <row r="1061" customFormat="false" ht="15" hidden="false" customHeight="false" outlineLevel="0" collapsed="false">
      <c r="A1061" s="35" t="str">
        <f aca="false">IF($B1061="","",COUNTA($B$4:$B1061))</f>
        <v/>
      </c>
      <c r="B1061" s="36"/>
      <c r="C1061" s="37"/>
      <c r="D1061" s="37"/>
      <c r="E1061" s="38"/>
      <c r="F1061" s="36"/>
      <c r="G1061" s="39"/>
      <c r="H1061" s="39"/>
      <c r="I1061" s="36"/>
      <c r="J1061" s="36"/>
      <c r="K1061" s="36"/>
      <c r="L1061" s="36"/>
      <c r="M1061" s="40" t="str">
        <f aca="false">IF($F1061="","",$F1061&amp;IF($G1061="",""," - RT "&amp;$G1061&amp;IF($H1061="","","/"&amp;$H1061)))</f>
        <v/>
      </c>
      <c r="N1061" s="36"/>
      <c r="O1061" s="37"/>
      <c r="P1061" s="39"/>
      <c r="Q1061" s="41"/>
      <c r="R1061" s="35" t="str">
        <f aca="true">IF(OR($B1061="",$Q1061=""),"",DATEDIF($Q1061,TODAY(),"Y"))</f>
        <v/>
      </c>
      <c r="S1061" s="40" t="str">
        <f aca="false">IF($R1061="","",INDEX(usia_label,MATCH($R1061,usia_min,1)))</f>
        <v/>
      </c>
      <c r="T1061" s="36"/>
      <c r="U1061" s="41"/>
      <c r="V1061" s="36"/>
      <c r="W1061" s="36"/>
      <c r="X1061" s="40" t="str">
        <f aca="false">IF($M1061="","",$M1061&amp;"#"&amp;COUNTIF($M$4:$M1061,$M1061))</f>
        <v/>
      </c>
      <c r="Y1061" s="40" t="str">
        <f aca="false">IF($B1061="","",IF($C1061="","NIK kosong",IF(LEN($C1061)&lt;&gt;16,"NIK bukan 16 digit",IF(COUNTIF($C$4:$C$2003,$C1061&amp;"*")&gt;1,"NIK ganda",IF(AND($D1061&lt;&gt;"",LEN($D1061)&lt;&gt;16),"No. KK bukan 16 digit",IF(AND($F1061="",$I1061=""),"Alamat kosong",IF($N1061="","Jabatan kosong",IF($O1061="","No. HP kosong",IF(AND($R1061&lt;&gt;"",$R1061&lt;17),"Usia di bawah 17","")))))))))</f>
        <v/>
      </c>
      <c r="Z1061" s="40" t="str">
        <f aca="false">IF($B1061="","",IF(AND(OR(CARI!$C$5="",ISNUMBER(SEARCH(CARI!$C$5,$B1061&amp;" "&amp;$C1061&amp;" "&amp;$D1061&amp;" "&amp;$O1061&amp;" "&amp;$I1061&amp;" "&amp;$F1061&amp;" "&amp;$J1061&amp;" "&amp;$K1061&amp;" "&amp;$L1061&amp;" "&amp;$V1061))),OR(CARI!$C$6="",$F1061=CARI!$C$6),OR(CARI!$C$7="",$G1061=CARI!$C$7),OR(CARI!$C$8="",$T1061=CARI!$C$8)),MAX($Z$3:Z1060)+1,""))</f>
        <v/>
      </c>
      <c r="AA1061" s="40" t="str">
        <f aca="false">IF($Y1061="","",MAX($AA$3:AA1060)+1)</f>
        <v/>
      </c>
      <c r="AB1061" s="40" t="str">
        <f aca="false">IF($F1061="","",$F1061&amp;"#"&amp;COUNTIF($F$4:$F1061,$F1061))</f>
        <v/>
      </c>
      <c r="AC1061" s="40" t="str">
        <f aca="false">IF($B1061="","",IF(AND(OR(CETAK!$J$10="",$F1061=CETAK!$J$10),OR(CETAK!$J$11="",$G1061=CETAK!$J$11),OR(CETAK!$J$12="",$P1061=CETAK!$J$12),OR(CETAK!$J$13="",$N1061=CETAK!$J$13),OR(CETAK!$J$14="",$T1061=CETAK!$J$14)),MAX($AC$3:AC1060)+1,""))</f>
        <v/>
      </c>
      <c r="AD1061" s="40" t="str">
        <f aca="false">IF($B1061="","",IF(AND(OR(ABSENSI!$H$10="",$F1061=ABSENSI!$H$10),OR(ABSENSI!$H$11="",$G1061=ABSENSI!$H$11),OR(ABSENSI!$H$12="",$P1061=ABSENSI!$H$12)),MAX($AD$3:AD1060)+1,""))</f>
        <v/>
      </c>
      <c r="AE1061" s="40" t="str">
        <f aca="false">IF($B1061="","",IF(AND(OR(KARTU!$K$6="",$F1061=KARTU!$K$6),OR(KARTU!$K$7="",$G1061=KARTU!$K$7),OR(KARTU!$K$8="",$P1061=KARTU!$K$8)),MAX($AE$3:AE1060)+1,""))</f>
        <v/>
      </c>
    </row>
    <row r="1062" customFormat="false" ht="15" hidden="false" customHeight="false" outlineLevel="0" collapsed="false">
      <c r="A1062" s="35" t="str">
        <f aca="false">IF($B1062="","",COUNTA($B$4:$B1062))</f>
        <v/>
      </c>
      <c r="B1062" s="36"/>
      <c r="C1062" s="37"/>
      <c r="D1062" s="37"/>
      <c r="E1062" s="38"/>
      <c r="F1062" s="36"/>
      <c r="G1062" s="39"/>
      <c r="H1062" s="39"/>
      <c r="I1062" s="36"/>
      <c r="J1062" s="36"/>
      <c r="K1062" s="36"/>
      <c r="L1062" s="36"/>
      <c r="M1062" s="40" t="str">
        <f aca="false">IF($F1062="","",$F1062&amp;IF($G1062="",""," - RT "&amp;$G1062&amp;IF($H1062="","","/"&amp;$H1062)))</f>
        <v/>
      </c>
      <c r="N1062" s="36"/>
      <c r="O1062" s="37"/>
      <c r="P1062" s="39"/>
      <c r="Q1062" s="41"/>
      <c r="R1062" s="35" t="str">
        <f aca="true">IF(OR($B1062="",$Q1062=""),"",DATEDIF($Q1062,TODAY(),"Y"))</f>
        <v/>
      </c>
      <c r="S1062" s="40" t="str">
        <f aca="false">IF($R1062="","",INDEX(usia_label,MATCH($R1062,usia_min,1)))</f>
        <v/>
      </c>
      <c r="T1062" s="36"/>
      <c r="U1062" s="41"/>
      <c r="V1062" s="36"/>
      <c r="W1062" s="36"/>
      <c r="X1062" s="40" t="str">
        <f aca="false">IF($M1062="","",$M1062&amp;"#"&amp;COUNTIF($M$4:$M1062,$M1062))</f>
        <v/>
      </c>
      <c r="Y1062" s="40" t="str">
        <f aca="false">IF($B1062="","",IF($C1062="","NIK kosong",IF(LEN($C1062)&lt;&gt;16,"NIK bukan 16 digit",IF(COUNTIF($C$4:$C$2003,$C1062&amp;"*")&gt;1,"NIK ganda",IF(AND($D1062&lt;&gt;"",LEN($D1062)&lt;&gt;16),"No. KK bukan 16 digit",IF(AND($F1062="",$I1062=""),"Alamat kosong",IF($N1062="","Jabatan kosong",IF($O1062="","No. HP kosong",IF(AND($R1062&lt;&gt;"",$R1062&lt;17),"Usia di bawah 17","")))))))))</f>
        <v/>
      </c>
      <c r="Z1062" s="40" t="str">
        <f aca="false">IF($B1062="","",IF(AND(OR(CARI!$C$5="",ISNUMBER(SEARCH(CARI!$C$5,$B1062&amp;" "&amp;$C1062&amp;" "&amp;$D1062&amp;" "&amp;$O1062&amp;" "&amp;$I1062&amp;" "&amp;$F1062&amp;" "&amp;$J1062&amp;" "&amp;$K1062&amp;" "&amp;$L1062&amp;" "&amp;$V1062))),OR(CARI!$C$6="",$F1062=CARI!$C$6),OR(CARI!$C$7="",$G1062=CARI!$C$7),OR(CARI!$C$8="",$T1062=CARI!$C$8)),MAX($Z$3:Z1061)+1,""))</f>
        <v/>
      </c>
      <c r="AA1062" s="40" t="str">
        <f aca="false">IF($Y1062="","",MAX($AA$3:AA1061)+1)</f>
        <v/>
      </c>
      <c r="AB1062" s="40" t="str">
        <f aca="false">IF($F1062="","",$F1062&amp;"#"&amp;COUNTIF($F$4:$F1062,$F1062))</f>
        <v/>
      </c>
      <c r="AC1062" s="40" t="str">
        <f aca="false">IF($B1062="","",IF(AND(OR(CETAK!$J$10="",$F1062=CETAK!$J$10),OR(CETAK!$J$11="",$G1062=CETAK!$J$11),OR(CETAK!$J$12="",$P1062=CETAK!$J$12),OR(CETAK!$J$13="",$N1062=CETAK!$J$13),OR(CETAK!$J$14="",$T1062=CETAK!$J$14)),MAX($AC$3:AC1061)+1,""))</f>
        <v/>
      </c>
      <c r="AD1062" s="40" t="str">
        <f aca="false">IF($B1062="","",IF(AND(OR(ABSENSI!$H$10="",$F1062=ABSENSI!$H$10),OR(ABSENSI!$H$11="",$G1062=ABSENSI!$H$11),OR(ABSENSI!$H$12="",$P1062=ABSENSI!$H$12)),MAX($AD$3:AD1061)+1,""))</f>
        <v/>
      </c>
      <c r="AE1062" s="40" t="str">
        <f aca="false">IF($B1062="","",IF(AND(OR(KARTU!$K$6="",$F1062=KARTU!$K$6),OR(KARTU!$K$7="",$G1062=KARTU!$K$7),OR(KARTU!$K$8="",$P1062=KARTU!$K$8)),MAX($AE$3:AE1061)+1,""))</f>
        <v/>
      </c>
    </row>
    <row r="1063" customFormat="false" ht="15" hidden="false" customHeight="false" outlineLevel="0" collapsed="false">
      <c r="A1063" s="35" t="str">
        <f aca="false">IF($B1063="","",COUNTA($B$4:$B1063))</f>
        <v/>
      </c>
      <c r="B1063" s="36"/>
      <c r="C1063" s="37"/>
      <c r="D1063" s="37"/>
      <c r="E1063" s="38"/>
      <c r="F1063" s="36"/>
      <c r="G1063" s="39"/>
      <c r="H1063" s="39"/>
      <c r="I1063" s="36"/>
      <c r="J1063" s="36"/>
      <c r="K1063" s="36"/>
      <c r="L1063" s="36"/>
      <c r="M1063" s="40" t="str">
        <f aca="false">IF($F1063="","",$F1063&amp;IF($G1063="",""," - RT "&amp;$G1063&amp;IF($H1063="","","/"&amp;$H1063)))</f>
        <v/>
      </c>
      <c r="N1063" s="36"/>
      <c r="O1063" s="37"/>
      <c r="P1063" s="39"/>
      <c r="Q1063" s="41"/>
      <c r="R1063" s="35" t="str">
        <f aca="true">IF(OR($B1063="",$Q1063=""),"",DATEDIF($Q1063,TODAY(),"Y"))</f>
        <v/>
      </c>
      <c r="S1063" s="40" t="str">
        <f aca="false">IF($R1063="","",INDEX(usia_label,MATCH($R1063,usia_min,1)))</f>
        <v/>
      </c>
      <c r="T1063" s="36"/>
      <c r="U1063" s="41"/>
      <c r="V1063" s="36"/>
      <c r="W1063" s="36"/>
      <c r="X1063" s="40" t="str">
        <f aca="false">IF($M1063="","",$M1063&amp;"#"&amp;COUNTIF($M$4:$M1063,$M1063))</f>
        <v/>
      </c>
      <c r="Y1063" s="40" t="str">
        <f aca="false">IF($B1063="","",IF($C1063="","NIK kosong",IF(LEN($C1063)&lt;&gt;16,"NIK bukan 16 digit",IF(COUNTIF($C$4:$C$2003,$C1063&amp;"*")&gt;1,"NIK ganda",IF(AND($D1063&lt;&gt;"",LEN($D1063)&lt;&gt;16),"No. KK bukan 16 digit",IF(AND($F1063="",$I1063=""),"Alamat kosong",IF($N1063="","Jabatan kosong",IF($O1063="","No. HP kosong",IF(AND($R1063&lt;&gt;"",$R1063&lt;17),"Usia di bawah 17","")))))))))</f>
        <v/>
      </c>
      <c r="Z1063" s="40" t="str">
        <f aca="false">IF($B1063="","",IF(AND(OR(CARI!$C$5="",ISNUMBER(SEARCH(CARI!$C$5,$B1063&amp;" "&amp;$C1063&amp;" "&amp;$D1063&amp;" "&amp;$O1063&amp;" "&amp;$I1063&amp;" "&amp;$F1063&amp;" "&amp;$J1063&amp;" "&amp;$K1063&amp;" "&amp;$L1063&amp;" "&amp;$V1063))),OR(CARI!$C$6="",$F1063=CARI!$C$6),OR(CARI!$C$7="",$G1063=CARI!$C$7),OR(CARI!$C$8="",$T1063=CARI!$C$8)),MAX($Z$3:Z1062)+1,""))</f>
        <v/>
      </c>
      <c r="AA1063" s="40" t="str">
        <f aca="false">IF($Y1063="","",MAX($AA$3:AA1062)+1)</f>
        <v/>
      </c>
      <c r="AB1063" s="40" t="str">
        <f aca="false">IF($F1063="","",$F1063&amp;"#"&amp;COUNTIF($F$4:$F1063,$F1063))</f>
        <v/>
      </c>
      <c r="AC1063" s="40" t="str">
        <f aca="false">IF($B1063="","",IF(AND(OR(CETAK!$J$10="",$F1063=CETAK!$J$10),OR(CETAK!$J$11="",$G1063=CETAK!$J$11),OR(CETAK!$J$12="",$P1063=CETAK!$J$12),OR(CETAK!$J$13="",$N1063=CETAK!$J$13),OR(CETAK!$J$14="",$T1063=CETAK!$J$14)),MAX($AC$3:AC1062)+1,""))</f>
        <v/>
      </c>
      <c r="AD1063" s="40" t="str">
        <f aca="false">IF($B1063="","",IF(AND(OR(ABSENSI!$H$10="",$F1063=ABSENSI!$H$10),OR(ABSENSI!$H$11="",$G1063=ABSENSI!$H$11),OR(ABSENSI!$H$12="",$P1063=ABSENSI!$H$12)),MAX($AD$3:AD1062)+1,""))</f>
        <v/>
      </c>
      <c r="AE1063" s="40" t="str">
        <f aca="false">IF($B1063="","",IF(AND(OR(KARTU!$K$6="",$F1063=KARTU!$K$6),OR(KARTU!$K$7="",$G1063=KARTU!$K$7),OR(KARTU!$K$8="",$P1063=KARTU!$K$8)),MAX($AE$3:AE1062)+1,""))</f>
        <v/>
      </c>
    </row>
    <row r="1064" customFormat="false" ht="15" hidden="false" customHeight="false" outlineLevel="0" collapsed="false">
      <c r="A1064" s="35" t="str">
        <f aca="false">IF($B1064="","",COUNTA($B$4:$B1064))</f>
        <v/>
      </c>
      <c r="B1064" s="36"/>
      <c r="C1064" s="37"/>
      <c r="D1064" s="37"/>
      <c r="E1064" s="38"/>
      <c r="F1064" s="36"/>
      <c r="G1064" s="39"/>
      <c r="H1064" s="39"/>
      <c r="I1064" s="36"/>
      <c r="J1064" s="36"/>
      <c r="K1064" s="36"/>
      <c r="L1064" s="36"/>
      <c r="M1064" s="40" t="str">
        <f aca="false">IF($F1064="","",$F1064&amp;IF($G1064="",""," - RT "&amp;$G1064&amp;IF($H1064="","","/"&amp;$H1064)))</f>
        <v/>
      </c>
      <c r="N1064" s="36"/>
      <c r="O1064" s="37"/>
      <c r="P1064" s="39"/>
      <c r="Q1064" s="41"/>
      <c r="R1064" s="35" t="str">
        <f aca="true">IF(OR($B1064="",$Q1064=""),"",DATEDIF($Q1064,TODAY(),"Y"))</f>
        <v/>
      </c>
      <c r="S1064" s="40" t="str">
        <f aca="false">IF($R1064="","",INDEX(usia_label,MATCH($R1064,usia_min,1)))</f>
        <v/>
      </c>
      <c r="T1064" s="36"/>
      <c r="U1064" s="41"/>
      <c r="V1064" s="36"/>
      <c r="W1064" s="36"/>
      <c r="X1064" s="40" t="str">
        <f aca="false">IF($M1064="","",$M1064&amp;"#"&amp;COUNTIF($M$4:$M1064,$M1064))</f>
        <v/>
      </c>
      <c r="Y1064" s="40" t="str">
        <f aca="false">IF($B1064="","",IF($C1064="","NIK kosong",IF(LEN($C1064)&lt;&gt;16,"NIK bukan 16 digit",IF(COUNTIF($C$4:$C$2003,$C1064&amp;"*")&gt;1,"NIK ganda",IF(AND($D1064&lt;&gt;"",LEN($D1064)&lt;&gt;16),"No. KK bukan 16 digit",IF(AND($F1064="",$I1064=""),"Alamat kosong",IF($N1064="","Jabatan kosong",IF($O1064="","No. HP kosong",IF(AND($R1064&lt;&gt;"",$R1064&lt;17),"Usia di bawah 17","")))))))))</f>
        <v/>
      </c>
      <c r="Z1064" s="40" t="str">
        <f aca="false">IF($B1064="","",IF(AND(OR(CARI!$C$5="",ISNUMBER(SEARCH(CARI!$C$5,$B1064&amp;" "&amp;$C1064&amp;" "&amp;$D1064&amp;" "&amp;$O1064&amp;" "&amp;$I1064&amp;" "&amp;$F1064&amp;" "&amp;$J1064&amp;" "&amp;$K1064&amp;" "&amp;$L1064&amp;" "&amp;$V1064))),OR(CARI!$C$6="",$F1064=CARI!$C$6),OR(CARI!$C$7="",$G1064=CARI!$C$7),OR(CARI!$C$8="",$T1064=CARI!$C$8)),MAX($Z$3:Z1063)+1,""))</f>
        <v/>
      </c>
      <c r="AA1064" s="40" t="str">
        <f aca="false">IF($Y1064="","",MAX($AA$3:AA1063)+1)</f>
        <v/>
      </c>
      <c r="AB1064" s="40" t="str">
        <f aca="false">IF($F1064="","",$F1064&amp;"#"&amp;COUNTIF($F$4:$F1064,$F1064))</f>
        <v/>
      </c>
      <c r="AC1064" s="40" t="str">
        <f aca="false">IF($B1064="","",IF(AND(OR(CETAK!$J$10="",$F1064=CETAK!$J$10),OR(CETAK!$J$11="",$G1064=CETAK!$J$11),OR(CETAK!$J$12="",$P1064=CETAK!$J$12),OR(CETAK!$J$13="",$N1064=CETAK!$J$13),OR(CETAK!$J$14="",$T1064=CETAK!$J$14)),MAX($AC$3:AC1063)+1,""))</f>
        <v/>
      </c>
      <c r="AD1064" s="40" t="str">
        <f aca="false">IF($B1064="","",IF(AND(OR(ABSENSI!$H$10="",$F1064=ABSENSI!$H$10),OR(ABSENSI!$H$11="",$G1064=ABSENSI!$H$11),OR(ABSENSI!$H$12="",$P1064=ABSENSI!$H$12)),MAX($AD$3:AD1063)+1,""))</f>
        <v/>
      </c>
      <c r="AE1064" s="40" t="str">
        <f aca="false">IF($B1064="","",IF(AND(OR(KARTU!$K$6="",$F1064=KARTU!$K$6),OR(KARTU!$K$7="",$G1064=KARTU!$K$7),OR(KARTU!$K$8="",$P1064=KARTU!$K$8)),MAX($AE$3:AE1063)+1,""))</f>
        <v/>
      </c>
    </row>
    <row r="1065" customFormat="false" ht="15" hidden="false" customHeight="false" outlineLevel="0" collapsed="false">
      <c r="A1065" s="35" t="str">
        <f aca="false">IF($B1065="","",COUNTA($B$4:$B1065))</f>
        <v/>
      </c>
      <c r="B1065" s="36"/>
      <c r="C1065" s="37"/>
      <c r="D1065" s="37"/>
      <c r="E1065" s="38"/>
      <c r="F1065" s="36"/>
      <c r="G1065" s="39"/>
      <c r="H1065" s="39"/>
      <c r="I1065" s="36"/>
      <c r="J1065" s="36"/>
      <c r="K1065" s="36"/>
      <c r="L1065" s="36"/>
      <c r="M1065" s="40" t="str">
        <f aca="false">IF($F1065="","",$F1065&amp;IF($G1065="",""," - RT "&amp;$G1065&amp;IF($H1065="","","/"&amp;$H1065)))</f>
        <v/>
      </c>
      <c r="N1065" s="36"/>
      <c r="O1065" s="37"/>
      <c r="P1065" s="39"/>
      <c r="Q1065" s="41"/>
      <c r="R1065" s="35" t="str">
        <f aca="true">IF(OR($B1065="",$Q1065=""),"",DATEDIF($Q1065,TODAY(),"Y"))</f>
        <v/>
      </c>
      <c r="S1065" s="40" t="str">
        <f aca="false">IF($R1065="","",INDEX(usia_label,MATCH($R1065,usia_min,1)))</f>
        <v/>
      </c>
      <c r="T1065" s="36"/>
      <c r="U1065" s="41"/>
      <c r="V1065" s="36"/>
      <c r="W1065" s="36"/>
      <c r="X1065" s="40" t="str">
        <f aca="false">IF($M1065="","",$M1065&amp;"#"&amp;COUNTIF($M$4:$M1065,$M1065))</f>
        <v/>
      </c>
      <c r="Y1065" s="40" t="str">
        <f aca="false">IF($B1065="","",IF($C1065="","NIK kosong",IF(LEN($C1065)&lt;&gt;16,"NIK bukan 16 digit",IF(COUNTIF($C$4:$C$2003,$C1065&amp;"*")&gt;1,"NIK ganda",IF(AND($D1065&lt;&gt;"",LEN($D1065)&lt;&gt;16),"No. KK bukan 16 digit",IF(AND($F1065="",$I1065=""),"Alamat kosong",IF($N1065="","Jabatan kosong",IF($O1065="","No. HP kosong",IF(AND($R1065&lt;&gt;"",$R1065&lt;17),"Usia di bawah 17","")))))))))</f>
        <v/>
      </c>
      <c r="Z1065" s="40" t="str">
        <f aca="false">IF($B1065="","",IF(AND(OR(CARI!$C$5="",ISNUMBER(SEARCH(CARI!$C$5,$B1065&amp;" "&amp;$C1065&amp;" "&amp;$D1065&amp;" "&amp;$O1065&amp;" "&amp;$I1065&amp;" "&amp;$F1065&amp;" "&amp;$J1065&amp;" "&amp;$K1065&amp;" "&amp;$L1065&amp;" "&amp;$V1065))),OR(CARI!$C$6="",$F1065=CARI!$C$6),OR(CARI!$C$7="",$G1065=CARI!$C$7),OR(CARI!$C$8="",$T1065=CARI!$C$8)),MAX($Z$3:Z1064)+1,""))</f>
        <v/>
      </c>
      <c r="AA1065" s="40" t="str">
        <f aca="false">IF($Y1065="","",MAX($AA$3:AA1064)+1)</f>
        <v/>
      </c>
      <c r="AB1065" s="40" t="str">
        <f aca="false">IF($F1065="","",$F1065&amp;"#"&amp;COUNTIF($F$4:$F1065,$F1065))</f>
        <v/>
      </c>
      <c r="AC1065" s="40" t="str">
        <f aca="false">IF($B1065="","",IF(AND(OR(CETAK!$J$10="",$F1065=CETAK!$J$10),OR(CETAK!$J$11="",$G1065=CETAK!$J$11),OR(CETAK!$J$12="",$P1065=CETAK!$J$12),OR(CETAK!$J$13="",$N1065=CETAK!$J$13),OR(CETAK!$J$14="",$T1065=CETAK!$J$14)),MAX($AC$3:AC1064)+1,""))</f>
        <v/>
      </c>
      <c r="AD1065" s="40" t="str">
        <f aca="false">IF($B1065="","",IF(AND(OR(ABSENSI!$H$10="",$F1065=ABSENSI!$H$10),OR(ABSENSI!$H$11="",$G1065=ABSENSI!$H$11),OR(ABSENSI!$H$12="",$P1065=ABSENSI!$H$12)),MAX($AD$3:AD1064)+1,""))</f>
        <v/>
      </c>
      <c r="AE1065" s="40" t="str">
        <f aca="false">IF($B1065="","",IF(AND(OR(KARTU!$K$6="",$F1065=KARTU!$K$6),OR(KARTU!$K$7="",$G1065=KARTU!$K$7),OR(KARTU!$K$8="",$P1065=KARTU!$K$8)),MAX($AE$3:AE1064)+1,""))</f>
        <v/>
      </c>
    </row>
    <row r="1066" customFormat="false" ht="15" hidden="false" customHeight="false" outlineLevel="0" collapsed="false">
      <c r="A1066" s="35" t="str">
        <f aca="false">IF($B1066="","",COUNTA($B$4:$B1066))</f>
        <v/>
      </c>
      <c r="B1066" s="36"/>
      <c r="C1066" s="37"/>
      <c r="D1066" s="37"/>
      <c r="E1066" s="38"/>
      <c r="F1066" s="36"/>
      <c r="G1066" s="39"/>
      <c r="H1066" s="39"/>
      <c r="I1066" s="36"/>
      <c r="J1066" s="36"/>
      <c r="K1066" s="36"/>
      <c r="L1066" s="36"/>
      <c r="M1066" s="40" t="str">
        <f aca="false">IF($F1066="","",$F1066&amp;IF($G1066="",""," - RT "&amp;$G1066&amp;IF($H1066="","","/"&amp;$H1066)))</f>
        <v/>
      </c>
      <c r="N1066" s="36"/>
      <c r="O1066" s="37"/>
      <c r="P1066" s="39"/>
      <c r="Q1066" s="41"/>
      <c r="R1066" s="35" t="str">
        <f aca="true">IF(OR($B1066="",$Q1066=""),"",DATEDIF($Q1066,TODAY(),"Y"))</f>
        <v/>
      </c>
      <c r="S1066" s="40" t="str">
        <f aca="false">IF($R1066="","",INDEX(usia_label,MATCH($R1066,usia_min,1)))</f>
        <v/>
      </c>
      <c r="T1066" s="36"/>
      <c r="U1066" s="41"/>
      <c r="V1066" s="36"/>
      <c r="W1066" s="36"/>
      <c r="X1066" s="40" t="str">
        <f aca="false">IF($M1066="","",$M1066&amp;"#"&amp;COUNTIF($M$4:$M1066,$M1066))</f>
        <v/>
      </c>
      <c r="Y1066" s="40" t="str">
        <f aca="false">IF($B1066="","",IF($C1066="","NIK kosong",IF(LEN($C1066)&lt;&gt;16,"NIK bukan 16 digit",IF(COUNTIF($C$4:$C$2003,$C1066&amp;"*")&gt;1,"NIK ganda",IF(AND($D1066&lt;&gt;"",LEN($D1066)&lt;&gt;16),"No. KK bukan 16 digit",IF(AND($F1066="",$I1066=""),"Alamat kosong",IF($N1066="","Jabatan kosong",IF($O1066="","No. HP kosong",IF(AND($R1066&lt;&gt;"",$R1066&lt;17),"Usia di bawah 17","")))))))))</f>
        <v/>
      </c>
      <c r="Z1066" s="40" t="str">
        <f aca="false">IF($B1066="","",IF(AND(OR(CARI!$C$5="",ISNUMBER(SEARCH(CARI!$C$5,$B1066&amp;" "&amp;$C1066&amp;" "&amp;$D1066&amp;" "&amp;$O1066&amp;" "&amp;$I1066&amp;" "&amp;$F1066&amp;" "&amp;$J1066&amp;" "&amp;$K1066&amp;" "&amp;$L1066&amp;" "&amp;$V1066))),OR(CARI!$C$6="",$F1066=CARI!$C$6),OR(CARI!$C$7="",$G1066=CARI!$C$7),OR(CARI!$C$8="",$T1066=CARI!$C$8)),MAX($Z$3:Z1065)+1,""))</f>
        <v/>
      </c>
      <c r="AA1066" s="40" t="str">
        <f aca="false">IF($Y1066="","",MAX($AA$3:AA1065)+1)</f>
        <v/>
      </c>
      <c r="AB1066" s="40" t="str">
        <f aca="false">IF($F1066="","",$F1066&amp;"#"&amp;COUNTIF($F$4:$F1066,$F1066))</f>
        <v/>
      </c>
      <c r="AC1066" s="40" t="str">
        <f aca="false">IF($B1066="","",IF(AND(OR(CETAK!$J$10="",$F1066=CETAK!$J$10),OR(CETAK!$J$11="",$G1066=CETAK!$J$11),OR(CETAK!$J$12="",$P1066=CETAK!$J$12),OR(CETAK!$J$13="",$N1066=CETAK!$J$13),OR(CETAK!$J$14="",$T1066=CETAK!$J$14)),MAX($AC$3:AC1065)+1,""))</f>
        <v/>
      </c>
      <c r="AD1066" s="40" t="str">
        <f aca="false">IF($B1066="","",IF(AND(OR(ABSENSI!$H$10="",$F1066=ABSENSI!$H$10),OR(ABSENSI!$H$11="",$G1066=ABSENSI!$H$11),OR(ABSENSI!$H$12="",$P1066=ABSENSI!$H$12)),MAX($AD$3:AD1065)+1,""))</f>
        <v/>
      </c>
      <c r="AE1066" s="40" t="str">
        <f aca="false">IF($B1066="","",IF(AND(OR(KARTU!$K$6="",$F1066=KARTU!$K$6),OR(KARTU!$K$7="",$G1066=KARTU!$K$7),OR(KARTU!$K$8="",$P1066=KARTU!$K$8)),MAX($AE$3:AE1065)+1,""))</f>
        <v/>
      </c>
    </row>
    <row r="1067" customFormat="false" ht="15" hidden="false" customHeight="false" outlineLevel="0" collapsed="false">
      <c r="A1067" s="35" t="str">
        <f aca="false">IF($B1067="","",COUNTA($B$4:$B1067))</f>
        <v/>
      </c>
      <c r="B1067" s="36"/>
      <c r="C1067" s="37"/>
      <c r="D1067" s="37"/>
      <c r="E1067" s="38"/>
      <c r="F1067" s="36"/>
      <c r="G1067" s="39"/>
      <c r="H1067" s="39"/>
      <c r="I1067" s="36"/>
      <c r="J1067" s="36"/>
      <c r="K1067" s="36"/>
      <c r="L1067" s="36"/>
      <c r="M1067" s="40" t="str">
        <f aca="false">IF($F1067="","",$F1067&amp;IF($G1067="",""," - RT "&amp;$G1067&amp;IF($H1067="","","/"&amp;$H1067)))</f>
        <v/>
      </c>
      <c r="N1067" s="36"/>
      <c r="O1067" s="37"/>
      <c r="P1067" s="39"/>
      <c r="Q1067" s="41"/>
      <c r="R1067" s="35" t="str">
        <f aca="true">IF(OR($B1067="",$Q1067=""),"",DATEDIF($Q1067,TODAY(),"Y"))</f>
        <v/>
      </c>
      <c r="S1067" s="40" t="str">
        <f aca="false">IF($R1067="","",INDEX(usia_label,MATCH($R1067,usia_min,1)))</f>
        <v/>
      </c>
      <c r="T1067" s="36"/>
      <c r="U1067" s="41"/>
      <c r="V1067" s="36"/>
      <c r="W1067" s="36"/>
      <c r="X1067" s="40" t="str">
        <f aca="false">IF($M1067="","",$M1067&amp;"#"&amp;COUNTIF($M$4:$M1067,$M1067))</f>
        <v/>
      </c>
      <c r="Y1067" s="40" t="str">
        <f aca="false">IF($B1067="","",IF($C1067="","NIK kosong",IF(LEN($C1067)&lt;&gt;16,"NIK bukan 16 digit",IF(COUNTIF($C$4:$C$2003,$C1067&amp;"*")&gt;1,"NIK ganda",IF(AND($D1067&lt;&gt;"",LEN($D1067)&lt;&gt;16),"No. KK bukan 16 digit",IF(AND($F1067="",$I1067=""),"Alamat kosong",IF($N1067="","Jabatan kosong",IF($O1067="","No. HP kosong",IF(AND($R1067&lt;&gt;"",$R1067&lt;17),"Usia di bawah 17","")))))))))</f>
        <v/>
      </c>
      <c r="Z1067" s="40" t="str">
        <f aca="false">IF($B1067="","",IF(AND(OR(CARI!$C$5="",ISNUMBER(SEARCH(CARI!$C$5,$B1067&amp;" "&amp;$C1067&amp;" "&amp;$D1067&amp;" "&amp;$O1067&amp;" "&amp;$I1067&amp;" "&amp;$F1067&amp;" "&amp;$J1067&amp;" "&amp;$K1067&amp;" "&amp;$L1067&amp;" "&amp;$V1067))),OR(CARI!$C$6="",$F1067=CARI!$C$6),OR(CARI!$C$7="",$G1067=CARI!$C$7),OR(CARI!$C$8="",$T1067=CARI!$C$8)),MAX($Z$3:Z1066)+1,""))</f>
        <v/>
      </c>
      <c r="AA1067" s="40" t="str">
        <f aca="false">IF($Y1067="","",MAX($AA$3:AA1066)+1)</f>
        <v/>
      </c>
      <c r="AB1067" s="40" t="str">
        <f aca="false">IF($F1067="","",$F1067&amp;"#"&amp;COUNTIF($F$4:$F1067,$F1067))</f>
        <v/>
      </c>
      <c r="AC1067" s="40" t="str">
        <f aca="false">IF($B1067="","",IF(AND(OR(CETAK!$J$10="",$F1067=CETAK!$J$10),OR(CETAK!$J$11="",$G1067=CETAK!$J$11),OR(CETAK!$J$12="",$P1067=CETAK!$J$12),OR(CETAK!$J$13="",$N1067=CETAK!$J$13),OR(CETAK!$J$14="",$T1067=CETAK!$J$14)),MAX($AC$3:AC1066)+1,""))</f>
        <v/>
      </c>
      <c r="AD1067" s="40" t="str">
        <f aca="false">IF($B1067="","",IF(AND(OR(ABSENSI!$H$10="",$F1067=ABSENSI!$H$10),OR(ABSENSI!$H$11="",$G1067=ABSENSI!$H$11),OR(ABSENSI!$H$12="",$P1067=ABSENSI!$H$12)),MAX($AD$3:AD1066)+1,""))</f>
        <v/>
      </c>
      <c r="AE1067" s="40" t="str">
        <f aca="false">IF($B1067="","",IF(AND(OR(KARTU!$K$6="",$F1067=KARTU!$K$6),OR(KARTU!$K$7="",$G1067=KARTU!$K$7),OR(KARTU!$K$8="",$P1067=KARTU!$K$8)),MAX($AE$3:AE1066)+1,""))</f>
        <v/>
      </c>
    </row>
    <row r="1068" customFormat="false" ht="15" hidden="false" customHeight="false" outlineLevel="0" collapsed="false">
      <c r="A1068" s="35" t="str">
        <f aca="false">IF($B1068="","",COUNTA($B$4:$B1068))</f>
        <v/>
      </c>
      <c r="B1068" s="36"/>
      <c r="C1068" s="37"/>
      <c r="D1068" s="37"/>
      <c r="E1068" s="38"/>
      <c r="F1068" s="36"/>
      <c r="G1068" s="39"/>
      <c r="H1068" s="39"/>
      <c r="I1068" s="36"/>
      <c r="J1068" s="36"/>
      <c r="K1068" s="36"/>
      <c r="L1068" s="36"/>
      <c r="M1068" s="40" t="str">
        <f aca="false">IF($F1068="","",$F1068&amp;IF($G1068="",""," - RT "&amp;$G1068&amp;IF($H1068="","","/"&amp;$H1068)))</f>
        <v/>
      </c>
      <c r="N1068" s="36"/>
      <c r="O1068" s="37"/>
      <c r="P1068" s="39"/>
      <c r="Q1068" s="41"/>
      <c r="R1068" s="35" t="str">
        <f aca="true">IF(OR($B1068="",$Q1068=""),"",DATEDIF($Q1068,TODAY(),"Y"))</f>
        <v/>
      </c>
      <c r="S1068" s="40" t="str">
        <f aca="false">IF($R1068="","",INDEX(usia_label,MATCH($R1068,usia_min,1)))</f>
        <v/>
      </c>
      <c r="T1068" s="36"/>
      <c r="U1068" s="41"/>
      <c r="V1068" s="36"/>
      <c r="W1068" s="36"/>
      <c r="X1068" s="40" t="str">
        <f aca="false">IF($M1068="","",$M1068&amp;"#"&amp;COUNTIF($M$4:$M1068,$M1068))</f>
        <v/>
      </c>
      <c r="Y1068" s="40" t="str">
        <f aca="false">IF($B1068="","",IF($C1068="","NIK kosong",IF(LEN($C1068)&lt;&gt;16,"NIK bukan 16 digit",IF(COUNTIF($C$4:$C$2003,$C1068&amp;"*")&gt;1,"NIK ganda",IF(AND($D1068&lt;&gt;"",LEN($D1068)&lt;&gt;16),"No. KK bukan 16 digit",IF(AND($F1068="",$I1068=""),"Alamat kosong",IF($N1068="","Jabatan kosong",IF($O1068="","No. HP kosong",IF(AND($R1068&lt;&gt;"",$R1068&lt;17),"Usia di bawah 17","")))))))))</f>
        <v/>
      </c>
      <c r="Z1068" s="40" t="str">
        <f aca="false">IF($B1068="","",IF(AND(OR(CARI!$C$5="",ISNUMBER(SEARCH(CARI!$C$5,$B1068&amp;" "&amp;$C1068&amp;" "&amp;$D1068&amp;" "&amp;$O1068&amp;" "&amp;$I1068&amp;" "&amp;$F1068&amp;" "&amp;$J1068&amp;" "&amp;$K1068&amp;" "&amp;$L1068&amp;" "&amp;$V1068))),OR(CARI!$C$6="",$F1068=CARI!$C$6),OR(CARI!$C$7="",$G1068=CARI!$C$7),OR(CARI!$C$8="",$T1068=CARI!$C$8)),MAX($Z$3:Z1067)+1,""))</f>
        <v/>
      </c>
      <c r="AA1068" s="40" t="str">
        <f aca="false">IF($Y1068="","",MAX($AA$3:AA1067)+1)</f>
        <v/>
      </c>
      <c r="AB1068" s="40" t="str">
        <f aca="false">IF($F1068="","",$F1068&amp;"#"&amp;COUNTIF($F$4:$F1068,$F1068))</f>
        <v/>
      </c>
      <c r="AC1068" s="40" t="str">
        <f aca="false">IF($B1068="","",IF(AND(OR(CETAK!$J$10="",$F1068=CETAK!$J$10),OR(CETAK!$J$11="",$G1068=CETAK!$J$11),OR(CETAK!$J$12="",$P1068=CETAK!$J$12),OR(CETAK!$J$13="",$N1068=CETAK!$J$13),OR(CETAK!$J$14="",$T1068=CETAK!$J$14)),MAX($AC$3:AC1067)+1,""))</f>
        <v/>
      </c>
      <c r="AD1068" s="40" t="str">
        <f aca="false">IF($B1068="","",IF(AND(OR(ABSENSI!$H$10="",$F1068=ABSENSI!$H$10),OR(ABSENSI!$H$11="",$G1068=ABSENSI!$H$11),OR(ABSENSI!$H$12="",$P1068=ABSENSI!$H$12)),MAX($AD$3:AD1067)+1,""))</f>
        <v/>
      </c>
      <c r="AE1068" s="40" t="str">
        <f aca="false">IF($B1068="","",IF(AND(OR(KARTU!$K$6="",$F1068=KARTU!$K$6),OR(KARTU!$K$7="",$G1068=KARTU!$K$7),OR(KARTU!$K$8="",$P1068=KARTU!$K$8)),MAX($AE$3:AE1067)+1,""))</f>
        <v/>
      </c>
    </row>
    <row r="1069" customFormat="false" ht="15" hidden="false" customHeight="false" outlineLevel="0" collapsed="false">
      <c r="A1069" s="35" t="str">
        <f aca="false">IF($B1069="","",COUNTA($B$4:$B1069))</f>
        <v/>
      </c>
      <c r="B1069" s="36"/>
      <c r="C1069" s="37"/>
      <c r="D1069" s="37"/>
      <c r="E1069" s="38"/>
      <c r="F1069" s="36"/>
      <c r="G1069" s="39"/>
      <c r="H1069" s="39"/>
      <c r="I1069" s="36"/>
      <c r="J1069" s="36"/>
      <c r="K1069" s="36"/>
      <c r="L1069" s="36"/>
      <c r="M1069" s="40" t="str">
        <f aca="false">IF($F1069="","",$F1069&amp;IF($G1069="",""," - RT "&amp;$G1069&amp;IF($H1069="","","/"&amp;$H1069)))</f>
        <v/>
      </c>
      <c r="N1069" s="36"/>
      <c r="O1069" s="37"/>
      <c r="P1069" s="39"/>
      <c r="Q1069" s="41"/>
      <c r="R1069" s="35" t="str">
        <f aca="true">IF(OR($B1069="",$Q1069=""),"",DATEDIF($Q1069,TODAY(),"Y"))</f>
        <v/>
      </c>
      <c r="S1069" s="40" t="str">
        <f aca="false">IF($R1069="","",INDEX(usia_label,MATCH($R1069,usia_min,1)))</f>
        <v/>
      </c>
      <c r="T1069" s="36"/>
      <c r="U1069" s="41"/>
      <c r="V1069" s="36"/>
      <c r="W1069" s="36"/>
      <c r="X1069" s="40" t="str">
        <f aca="false">IF($M1069="","",$M1069&amp;"#"&amp;COUNTIF($M$4:$M1069,$M1069))</f>
        <v/>
      </c>
      <c r="Y1069" s="40" t="str">
        <f aca="false">IF($B1069="","",IF($C1069="","NIK kosong",IF(LEN($C1069)&lt;&gt;16,"NIK bukan 16 digit",IF(COUNTIF($C$4:$C$2003,$C1069&amp;"*")&gt;1,"NIK ganda",IF(AND($D1069&lt;&gt;"",LEN($D1069)&lt;&gt;16),"No. KK bukan 16 digit",IF(AND($F1069="",$I1069=""),"Alamat kosong",IF($N1069="","Jabatan kosong",IF($O1069="","No. HP kosong",IF(AND($R1069&lt;&gt;"",$R1069&lt;17),"Usia di bawah 17","")))))))))</f>
        <v/>
      </c>
      <c r="Z1069" s="40" t="str">
        <f aca="false">IF($B1069="","",IF(AND(OR(CARI!$C$5="",ISNUMBER(SEARCH(CARI!$C$5,$B1069&amp;" "&amp;$C1069&amp;" "&amp;$D1069&amp;" "&amp;$O1069&amp;" "&amp;$I1069&amp;" "&amp;$F1069&amp;" "&amp;$J1069&amp;" "&amp;$K1069&amp;" "&amp;$L1069&amp;" "&amp;$V1069))),OR(CARI!$C$6="",$F1069=CARI!$C$6),OR(CARI!$C$7="",$G1069=CARI!$C$7),OR(CARI!$C$8="",$T1069=CARI!$C$8)),MAX($Z$3:Z1068)+1,""))</f>
        <v/>
      </c>
      <c r="AA1069" s="40" t="str">
        <f aca="false">IF($Y1069="","",MAX($AA$3:AA1068)+1)</f>
        <v/>
      </c>
      <c r="AB1069" s="40" t="str">
        <f aca="false">IF($F1069="","",$F1069&amp;"#"&amp;COUNTIF($F$4:$F1069,$F1069))</f>
        <v/>
      </c>
      <c r="AC1069" s="40" t="str">
        <f aca="false">IF($B1069="","",IF(AND(OR(CETAK!$J$10="",$F1069=CETAK!$J$10),OR(CETAK!$J$11="",$G1069=CETAK!$J$11),OR(CETAK!$J$12="",$P1069=CETAK!$J$12),OR(CETAK!$J$13="",$N1069=CETAK!$J$13),OR(CETAK!$J$14="",$T1069=CETAK!$J$14)),MAX($AC$3:AC1068)+1,""))</f>
        <v/>
      </c>
      <c r="AD1069" s="40" t="str">
        <f aca="false">IF($B1069="","",IF(AND(OR(ABSENSI!$H$10="",$F1069=ABSENSI!$H$10),OR(ABSENSI!$H$11="",$G1069=ABSENSI!$H$11),OR(ABSENSI!$H$12="",$P1069=ABSENSI!$H$12)),MAX($AD$3:AD1068)+1,""))</f>
        <v/>
      </c>
      <c r="AE1069" s="40" t="str">
        <f aca="false">IF($B1069="","",IF(AND(OR(KARTU!$K$6="",$F1069=KARTU!$K$6),OR(KARTU!$K$7="",$G1069=KARTU!$K$7),OR(KARTU!$K$8="",$P1069=KARTU!$K$8)),MAX($AE$3:AE1068)+1,""))</f>
        <v/>
      </c>
    </row>
    <row r="1070" customFormat="false" ht="15" hidden="false" customHeight="false" outlineLevel="0" collapsed="false">
      <c r="A1070" s="35" t="str">
        <f aca="false">IF($B1070="","",COUNTA($B$4:$B1070))</f>
        <v/>
      </c>
      <c r="B1070" s="36"/>
      <c r="C1070" s="37"/>
      <c r="D1070" s="37"/>
      <c r="E1070" s="38"/>
      <c r="F1070" s="36"/>
      <c r="G1070" s="39"/>
      <c r="H1070" s="39"/>
      <c r="I1070" s="36"/>
      <c r="J1070" s="36"/>
      <c r="K1070" s="36"/>
      <c r="L1070" s="36"/>
      <c r="M1070" s="40" t="str">
        <f aca="false">IF($F1070="","",$F1070&amp;IF($G1070="",""," - RT "&amp;$G1070&amp;IF($H1070="","","/"&amp;$H1070)))</f>
        <v/>
      </c>
      <c r="N1070" s="36"/>
      <c r="O1070" s="37"/>
      <c r="P1070" s="39"/>
      <c r="Q1070" s="41"/>
      <c r="R1070" s="35" t="str">
        <f aca="true">IF(OR($B1070="",$Q1070=""),"",DATEDIF($Q1070,TODAY(),"Y"))</f>
        <v/>
      </c>
      <c r="S1070" s="40" t="str">
        <f aca="false">IF($R1070="","",INDEX(usia_label,MATCH($R1070,usia_min,1)))</f>
        <v/>
      </c>
      <c r="T1070" s="36"/>
      <c r="U1070" s="41"/>
      <c r="V1070" s="36"/>
      <c r="W1070" s="36"/>
      <c r="X1070" s="40" t="str">
        <f aca="false">IF($M1070="","",$M1070&amp;"#"&amp;COUNTIF($M$4:$M1070,$M1070))</f>
        <v/>
      </c>
      <c r="Y1070" s="40" t="str">
        <f aca="false">IF($B1070="","",IF($C1070="","NIK kosong",IF(LEN($C1070)&lt;&gt;16,"NIK bukan 16 digit",IF(COUNTIF($C$4:$C$2003,$C1070&amp;"*")&gt;1,"NIK ganda",IF(AND($D1070&lt;&gt;"",LEN($D1070)&lt;&gt;16),"No. KK bukan 16 digit",IF(AND($F1070="",$I1070=""),"Alamat kosong",IF($N1070="","Jabatan kosong",IF($O1070="","No. HP kosong",IF(AND($R1070&lt;&gt;"",$R1070&lt;17),"Usia di bawah 17","")))))))))</f>
        <v/>
      </c>
      <c r="Z1070" s="40" t="str">
        <f aca="false">IF($B1070="","",IF(AND(OR(CARI!$C$5="",ISNUMBER(SEARCH(CARI!$C$5,$B1070&amp;" "&amp;$C1070&amp;" "&amp;$D1070&amp;" "&amp;$O1070&amp;" "&amp;$I1070&amp;" "&amp;$F1070&amp;" "&amp;$J1070&amp;" "&amp;$K1070&amp;" "&amp;$L1070&amp;" "&amp;$V1070))),OR(CARI!$C$6="",$F1070=CARI!$C$6),OR(CARI!$C$7="",$G1070=CARI!$C$7),OR(CARI!$C$8="",$T1070=CARI!$C$8)),MAX($Z$3:Z1069)+1,""))</f>
        <v/>
      </c>
      <c r="AA1070" s="40" t="str">
        <f aca="false">IF($Y1070="","",MAX($AA$3:AA1069)+1)</f>
        <v/>
      </c>
      <c r="AB1070" s="40" t="str">
        <f aca="false">IF($F1070="","",$F1070&amp;"#"&amp;COUNTIF($F$4:$F1070,$F1070))</f>
        <v/>
      </c>
      <c r="AC1070" s="40" t="str">
        <f aca="false">IF($B1070="","",IF(AND(OR(CETAK!$J$10="",$F1070=CETAK!$J$10),OR(CETAK!$J$11="",$G1070=CETAK!$J$11),OR(CETAK!$J$12="",$P1070=CETAK!$J$12),OR(CETAK!$J$13="",$N1070=CETAK!$J$13),OR(CETAK!$J$14="",$T1070=CETAK!$J$14)),MAX($AC$3:AC1069)+1,""))</f>
        <v/>
      </c>
      <c r="AD1070" s="40" t="str">
        <f aca="false">IF($B1070="","",IF(AND(OR(ABSENSI!$H$10="",$F1070=ABSENSI!$H$10),OR(ABSENSI!$H$11="",$G1070=ABSENSI!$H$11),OR(ABSENSI!$H$12="",$P1070=ABSENSI!$H$12)),MAX($AD$3:AD1069)+1,""))</f>
        <v/>
      </c>
      <c r="AE1070" s="40" t="str">
        <f aca="false">IF($B1070="","",IF(AND(OR(KARTU!$K$6="",$F1070=KARTU!$K$6),OR(KARTU!$K$7="",$G1070=KARTU!$K$7),OR(KARTU!$K$8="",$P1070=KARTU!$K$8)),MAX($AE$3:AE1069)+1,""))</f>
        <v/>
      </c>
    </row>
    <row r="1071" customFormat="false" ht="15" hidden="false" customHeight="false" outlineLevel="0" collapsed="false">
      <c r="A1071" s="35" t="str">
        <f aca="false">IF($B1071="","",COUNTA($B$4:$B1071))</f>
        <v/>
      </c>
      <c r="B1071" s="36"/>
      <c r="C1071" s="37"/>
      <c r="D1071" s="37"/>
      <c r="E1071" s="38"/>
      <c r="F1071" s="36"/>
      <c r="G1071" s="39"/>
      <c r="H1071" s="39"/>
      <c r="I1071" s="36"/>
      <c r="J1071" s="36"/>
      <c r="K1071" s="36"/>
      <c r="L1071" s="36"/>
      <c r="M1071" s="40" t="str">
        <f aca="false">IF($F1071="","",$F1071&amp;IF($G1071="",""," - RT "&amp;$G1071&amp;IF($H1071="","","/"&amp;$H1071)))</f>
        <v/>
      </c>
      <c r="N1071" s="36"/>
      <c r="O1071" s="37"/>
      <c r="P1071" s="39"/>
      <c r="Q1071" s="41"/>
      <c r="R1071" s="35" t="str">
        <f aca="true">IF(OR($B1071="",$Q1071=""),"",DATEDIF($Q1071,TODAY(),"Y"))</f>
        <v/>
      </c>
      <c r="S1071" s="40" t="str">
        <f aca="false">IF($R1071="","",INDEX(usia_label,MATCH($R1071,usia_min,1)))</f>
        <v/>
      </c>
      <c r="T1071" s="36"/>
      <c r="U1071" s="41"/>
      <c r="V1071" s="36"/>
      <c r="W1071" s="36"/>
      <c r="X1071" s="40" t="str">
        <f aca="false">IF($M1071="","",$M1071&amp;"#"&amp;COUNTIF($M$4:$M1071,$M1071))</f>
        <v/>
      </c>
      <c r="Y1071" s="40" t="str">
        <f aca="false">IF($B1071="","",IF($C1071="","NIK kosong",IF(LEN($C1071)&lt;&gt;16,"NIK bukan 16 digit",IF(COUNTIF($C$4:$C$2003,$C1071&amp;"*")&gt;1,"NIK ganda",IF(AND($D1071&lt;&gt;"",LEN($D1071)&lt;&gt;16),"No. KK bukan 16 digit",IF(AND($F1071="",$I1071=""),"Alamat kosong",IF($N1071="","Jabatan kosong",IF($O1071="","No. HP kosong",IF(AND($R1071&lt;&gt;"",$R1071&lt;17),"Usia di bawah 17","")))))))))</f>
        <v/>
      </c>
      <c r="Z1071" s="40" t="str">
        <f aca="false">IF($B1071="","",IF(AND(OR(CARI!$C$5="",ISNUMBER(SEARCH(CARI!$C$5,$B1071&amp;" "&amp;$C1071&amp;" "&amp;$D1071&amp;" "&amp;$O1071&amp;" "&amp;$I1071&amp;" "&amp;$F1071&amp;" "&amp;$J1071&amp;" "&amp;$K1071&amp;" "&amp;$L1071&amp;" "&amp;$V1071))),OR(CARI!$C$6="",$F1071=CARI!$C$6),OR(CARI!$C$7="",$G1071=CARI!$C$7),OR(CARI!$C$8="",$T1071=CARI!$C$8)),MAX($Z$3:Z1070)+1,""))</f>
        <v/>
      </c>
      <c r="AA1071" s="40" t="str">
        <f aca="false">IF($Y1071="","",MAX($AA$3:AA1070)+1)</f>
        <v/>
      </c>
      <c r="AB1071" s="40" t="str">
        <f aca="false">IF($F1071="","",$F1071&amp;"#"&amp;COUNTIF($F$4:$F1071,$F1071))</f>
        <v/>
      </c>
      <c r="AC1071" s="40" t="str">
        <f aca="false">IF($B1071="","",IF(AND(OR(CETAK!$J$10="",$F1071=CETAK!$J$10),OR(CETAK!$J$11="",$G1071=CETAK!$J$11),OR(CETAK!$J$12="",$P1071=CETAK!$J$12),OR(CETAK!$J$13="",$N1071=CETAK!$J$13),OR(CETAK!$J$14="",$T1071=CETAK!$J$14)),MAX($AC$3:AC1070)+1,""))</f>
        <v/>
      </c>
      <c r="AD1071" s="40" t="str">
        <f aca="false">IF($B1071="","",IF(AND(OR(ABSENSI!$H$10="",$F1071=ABSENSI!$H$10),OR(ABSENSI!$H$11="",$G1071=ABSENSI!$H$11),OR(ABSENSI!$H$12="",$P1071=ABSENSI!$H$12)),MAX($AD$3:AD1070)+1,""))</f>
        <v/>
      </c>
      <c r="AE1071" s="40" t="str">
        <f aca="false">IF($B1071="","",IF(AND(OR(KARTU!$K$6="",$F1071=KARTU!$K$6),OR(KARTU!$K$7="",$G1071=KARTU!$K$7),OR(KARTU!$K$8="",$P1071=KARTU!$K$8)),MAX($AE$3:AE1070)+1,""))</f>
        <v/>
      </c>
    </row>
    <row r="1072" customFormat="false" ht="15" hidden="false" customHeight="false" outlineLevel="0" collapsed="false">
      <c r="A1072" s="35" t="str">
        <f aca="false">IF($B1072="","",COUNTA($B$4:$B1072))</f>
        <v/>
      </c>
      <c r="B1072" s="36"/>
      <c r="C1072" s="37"/>
      <c r="D1072" s="37"/>
      <c r="E1072" s="38"/>
      <c r="F1072" s="36"/>
      <c r="G1072" s="39"/>
      <c r="H1072" s="39"/>
      <c r="I1072" s="36"/>
      <c r="J1072" s="36"/>
      <c r="K1072" s="36"/>
      <c r="L1072" s="36"/>
      <c r="M1072" s="40" t="str">
        <f aca="false">IF($F1072="","",$F1072&amp;IF($G1072="",""," - RT "&amp;$G1072&amp;IF($H1072="","","/"&amp;$H1072)))</f>
        <v/>
      </c>
      <c r="N1072" s="36"/>
      <c r="O1072" s="37"/>
      <c r="P1072" s="39"/>
      <c r="Q1072" s="41"/>
      <c r="R1072" s="35" t="str">
        <f aca="true">IF(OR($B1072="",$Q1072=""),"",DATEDIF($Q1072,TODAY(),"Y"))</f>
        <v/>
      </c>
      <c r="S1072" s="40" t="str">
        <f aca="false">IF($R1072="","",INDEX(usia_label,MATCH($R1072,usia_min,1)))</f>
        <v/>
      </c>
      <c r="T1072" s="36"/>
      <c r="U1072" s="41"/>
      <c r="V1072" s="36"/>
      <c r="W1072" s="36"/>
      <c r="X1072" s="40" t="str">
        <f aca="false">IF($M1072="","",$M1072&amp;"#"&amp;COUNTIF($M$4:$M1072,$M1072))</f>
        <v/>
      </c>
      <c r="Y1072" s="40" t="str">
        <f aca="false">IF($B1072="","",IF($C1072="","NIK kosong",IF(LEN($C1072)&lt;&gt;16,"NIK bukan 16 digit",IF(COUNTIF($C$4:$C$2003,$C1072&amp;"*")&gt;1,"NIK ganda",IF(AND($D1072&lt;&gt;"",LEN($D1072)&lt;&gt;16),"No. KK bukan 16 digit",IF(AND($F1072="",$I1072=""),"Alamat kosong",IF($N1072="","Jabatan kosong",IF($O1072="","No. HP kosong",IF(AND($R1072&lt;&gt;"",$R1072&lt;17),"Usia di bawah 17","")))))))))</f>
        <v/>
      </c>
      <c r="Z1072" s="40" t="str">
        <f aca="false">IF($B1072="","",IF(AND(OR(CARI!$C$5="",ISNUMBER(SEARCH(CARI!$C$5,$B1072&amp;" "&amp;$C1072&amp;" "&amp;$D1072&amp;" "&amp;$O1072&amp;" "&amp;$I1072&amp;" "&amp;$F1072&amp;" "&amp;$J1072&amp;" "&amp;$K1072&amp;" "&amp;$L1072&amp;" "&amp;$V1072))),OR(CARI!$C$6="",$F1072=CARI!$C$6),OR(CARI!$C$7="",$G1072=CARI!$C$7),OR(CARI!$C$8="",$T1072=CARI!$C$8)),MAX($Z$3:Z1071)+1,""))</f>
        <v/>
      </c>
      <c r="AA1072" s="40" t="str">
        <f aca="false">IF($Y1072="","",MAX($AA$3:AA1071)+1)</f>
        <v/>
      </c>
      <c r="AB1072" s="40" t="str">
        <f aca="false">IF($F1072="","",$F1072&amp;"#"&amp;COUNTIF($F$4:$F1072,$F1072))</f>
        <v/>
      </c>
      <c r="AC1072" s="40" t="str">
        <f aca="false">IF($B1072="","",IF(AND(OR(CETAK!$J$10="",$F1072=CETAK!$J$10),OR(CETAK!$J$11="",$G1072=CETAK!$J$11),OR(CETAK!$J$12="",$P1072=CETAK!$J$12),OR(CETAK!$J$13="",$N1072=CETAK!$J$13),OR(CETAK!$J$14="",$T1072=CETAK!$J$14)),MAX($AC$3:AC1071)+1,""))</f>
        <v/>
      </c>
      <c r="AD1072" s="40" t="str">
        <f aca="false">IF($B1072="","",IF(AND(OR(ABSENSI!$H$10="",$F1072=ABSENSI!$H$10),OR(ABSENSI!$H$11="",$G1072=ABSENSI!$H$11),OR(ABSENSI!$H$12="",$P1072=ABSENSI!$H$12)),MAX($AD$3:AD1071)+1,""))</f>
        <v/>
      </c>
      <c r="AE1072" s="40" t="str">
        <f aca="false">IF($B1072="","",IF(AND(OR(KARTU!$K$6="",$F1072=KARTU!$K$6),OR(KARTU!$K$7="",$G1072=KARTU!$K$7),OR(KARTU!$K$8="",$P1072=KARTU!$K$8)),MAX($AE$3:AE1071)+1,""))</f>
        <v/>
      </c>
    </row>
    <row r="1073" customFormat="false" ht="15" hidden="false" customHeight="false" outlineLevel="0" collapsed="false">
      <c r="A1073" s="35" t="str">
        <f aca="false">IF($B1073="","",COUNTA($B$4:$B1073))</f>
        <v/>
      </c>
      <c r="B1073" s="36"/>
      <c r="C1073" s="37"/>
      <c r="D1073" s="37"/>
      <c r="E1073" s="38"/>
      <c r="F1073" s="36"/>
      <c r="G1073" s="39"/>
      <c r="H1073" s="39"/>
      <c r="I1073" s="36"/>
      <c r="J1073" s="36"/>
      <c r="K1073" s="36"/>
      <c r="L1073" s="36"/>
      <c r="M1073" s="40" t="str">
        <f aca="false">IF($F1073="","",$F1073&amp;IF($G1073="",""," - RT "&amp;$G1073&amp;IF($H1073="","","/"&amp;$H1073)))</f>
        <v/>
      </c>
      <c r="N1073" s="36"/>
      <c r="O1073" s="37"/>
      <c r="P1073" s="39"/>
      <c r="Q1073" s="41"/>
      <c r="R1073" s="35" t="str">
        <f aca="true">IF(OR($B1073="",$Q1073=""),"",DATEDIF($Q1073,TODAY(),"Y"))</f>
        <v/>
      </c>
      <c r="S1073" s="40" t="str">
        <f aca="false">IF($R1073="","",INDEX(usia_label,MATCH($R1073,usia_min,1)))</f>
        <v/>
      </c>
      <c r="T1073" s="36"/>
      <c r="U1073" s="41"/>
      <c r="V1073" s="36"/>
      <c r="W1073" s="36"/>
      <c r="X1073" s="40" t="str">
        <f aca="false">IF($M1073="","",$M1073&amp;"#"&amp;COUNTIF($M$4:$M1073,$M1073))</f>
        <v/>
      </c>
      <c r="Y1073" s="40" t="str">
        <f aca="false">IF($B1073="","",IF($C1073="","NIK kosong",IF(LEN($C1073)&lt;&gt;16,"NIK bukan 16 digit",IF(COUNTIF($C$4:$C$2003,$C1073&amp;"*")&gt;1,"NIK ganda",IF(AND($D1073&lt;&gt;"",LEN($D1073)&lt;&gt;16),"No. KK bukan 16 digit",IF(AND($F1073="",$I1073=""),"Alamat kosong",IF($N1073="","Jabatan kosong",IF($O1073="","No. HP kosong",IF(AND($R1073&lt;&gt;"",$R1073&lt;17),"Usia di bawah 17","")))))))))</f>
        <v/>
      </c>
      <c r="Z1073" s="40" t="str">
        <f aca="false">IF($B1073="","",IF(AND(OR(CARI!$C$5="",ISNUMBER(SEARCH(CARI!$C$5,$B1073&amp;" "&amp;$C1073&amp;" "&amp;$D1073&amp;" "&amp;$O1073&amp;" "&amp;$I1073&amp;" "&amp;$F1073&amp;" "&amp;$J1073&amp;" "&amp;$K1073&amp;" "&amp;$L1073&amp;" "&amp;$V1073))),OR(CARI!$C$6="",$F1073=CARI!$C$6),OR(CARI!$C$7="",$G1073=CARI!$C$7),OR(CARI!$C$8="",$T1073=CARI!$C$8)),MAX($Z$3:Z1072)+1,""))</f>
        <v/>
      </c>
      <c r="AA1073" s="40" t="str">
        <f aca="false">IF($Y1073="","",MAX($AA$3:AA1072)+1)</f>
        <v/>
      </c>
      <c r="AB1073" s="40" t="str">
        <f aca="false">IF($F1073="","",$F1073&amp;"#"&amp;COUNTIF($F$4:$F1073,$F1073))</f>
        <v/>
      </c>
      <c r="AC1073" s="40" t="str">
        <f aca="false">IF($B1073="","",IF(AND(OR(CETAK!$J$10="",$F1073=CETAK!$J$10),OR(CETAK!$J$11="",$G1073=CETAK!$J$11),OR(CETAK!$J$12="",$P1073=CETAK!$J$12),OR(CETAK!$J$13="",$N1073=CETAK!$J$13),OR(CETAK!$J$14="",$T1073=CETAK!$J$14)),MAX($AC$3:AC1072)+1,""))</f>
        <v/>
      </c>
      <c r="AD1073" s="40" t="str">
        <f aca="false">IF($B1073="","",IF(AND(OR(ABSENSI!$H$10="",$F1073=ABSENSI!$H$10),OR(ABSENSI!$H$11="",$G1073=ABSENSI!$H$11),OR(ABSENSI!$H$12="",$P1073=ABSENSI!$H$12)),MAX($AD$3:AD1072)+1,""))</f>
        <v/>
      </c>
      <c r="AE1073" s="40" t="str">
        <f aca="false">IF($B1073="","",IF(AND(OR(KARTU!$K$6="",$F1073=KARTU!$K$6),OR(KARTU!$K$7="",$G1073=KARTU!$K$7),OR(KARTU!$K$8="",$P1073=KARTU!$K$8)),MAX($AE$3:AE1072)+1,""))</f>
        <v/>
      </c>
    </row>
    <row r="1074" customFormat="false" ht="15" hidden="false" customHeight="false" outlineLevel="0" collapsed="false">
      <c r="A1074" s="35" t="str">
        <f aca="false">IF($B1074="","",COUNTA($B$4:$B1074))</f>
        <v/>
      </c>
      <c r="B1074" s="36"/>
      <c r="C1074" s="37"/>
      <c r="D1074" s="37"/>
      <c r="E1074" s="38"/>
      <c r="F1074" s="36"/>
      <c r="G1074" s="39"/>
      <c r="H1074" s="39"/>
      <c r="I1074" s="36"/>
      <c r="J1074" s="36"/>
      <c r="K1074" s="36"/>
      <c r="L1074" s="36"/>
      <c r="M1074" s="40" t="str">
        <f aca="false">IF($F1074="","",$F1074&amp;IF($G1074="",""," - RT "&amp;$G1074&amp;IF($H1074="","","/"&amp;$H1074)))</f>
        <v/>
      </c>
      <c r="N1074" s="36"/>
      <c r="O1074" s="37"/>
      <c r="P1074" s="39"/>
      <c r="Q1074" s="41"/>
      <c r="R1074" s="35" t="str">
        <f aca="true">IF(OR($B1074="",$Q1074=""),"",DATEDIF($Q1074,TODAY(),"Y"))</f>
        <v/>
      </c>
      <c r="S1074" s="40" t="str">
        <f aca="false">IF($R1074="","",INDEX(usia_label,MATCH($R1074,usia_min,1)))</f>
        <v/>
      </c>
      <c r="T1074" s="36"/>
      <c r="U1074" s="41"/>
      <c r="V1074" s="36"/>
      <c r="W1074" s="36"/>
      <c r="X1074" s="40" t="str">
        <f aca="false">IF($M1074="","",$M1074&amp;"#"&amp;COUNTIF($M$4:$M1074,$M1074))</f>
        <v/>
      </c>
      <c r="Y1074" s="40" t="str">
        <f aca="false">IF($B1074="","",IF($C1074="","NIK kosong",IF(LEN($C1074)&lt;&gt;16,"NIK bukan 16 digit",IF(COUNTIF($C$4:$C$2003,$C1074&amp;"*")&gt;1,"NIK ganda",IF(AND($D1074&lt;&gt;"",LEN($D1074)&lt;&gt;16),"No. KK bukan 16 digit",IF(AND($F1074="",$I1074=""),"Alamat kosong",IF($N1074="","Jabatan kosong",IF($O1074="","No. HP kosong",IF(AND($R1074&lt;&gt;"",$R1074&lt;17),"Usia di bawah 17","")))))))))</f>
        <v/>
      </c>
      <c r="Z1074" s="40" t="str">
        <f aca="false">IF($B1074="","",IF(AND(OR(CARI!$C$5="",ISNUMBER(SEARCH(CARI!$C$5,$B1074&amp;" "&amp;$C1074&amp;" "&amp;$D1074&amp;" "&amp;$O1074&amp;" "&amp;$I1074&amp;" "&amp;$F1074&amp;" "&amp;$J1074&amp;" "&amp;$K1074&amp;" "&amp;$L1074&amp;" "&amp;$V1074))),OR(CARI!$C$6="",$F1074=CARI!$C$6),OR(CARI!$C$7="",$G1074=CARI!$C$7),OR(CARI!$C$8="",$T1074=CARI!$C$8)),MAX($Z$3:Z1073)+1,""))</f>
        <v/>
      </c>
      <c r="AA1074" s="40" t="str">
        <f aca="false">IF($Y1074="","",MAX($AA$3:AA1073)+1)</f>
        <v/>
      </c>
      <c r="AB1074" s="40" t="str">
        <f aca="false">IF($F1074="","",$F1074&amp;"#"&amp;COUNTIF($F$4:$F1074,$F1074))</f>
        <v/>
      </c>
      <c r="AC1074" s="40" t="str">
        <f aca="false">IF($B1074="","",IF(AND(OR(CETAK!$J$10="",$F1074=CETAK!$J$10),OR(CETAK!$J$11="",$G1074=CETAK!$J$11),OR(CETAK!$J$12="",$P1074=CETAK!$J$12),OR(CETAK!$J$13="",$N1074=CETAK!$J$13),OR(CETAK!$J$14="",$T1074=CETAK!$J$14)),MAX($AC$3:AC1073)+1,""))</f>
        <v/>
      </c>
      <c r="AD1074" s="40" t="str">
        <f aca="false">IF($B1074="","",IF(AND(OR(ABSENSI!$H$10="",$F1074=ABSENSI!$H$10),OR(ABSENSI!$H$11="",$G1074=ABSENSI!$H$11),OR(ABSENSI!$H$12="",$P1074=ABSENSI!$H$12)),MAX($AD$3:AD1073)+1,""))</f>
        <v/>
      </c>
      <c r="AE1074" s="40" t="str">
        <f aca="false">IF($B1074="","",IF(AND(OR(KARTU!$K$6="",$F1074=KARTU!$K$6),OR(KARTU!$K$7="",$G1074=KARTU!$K$7),OR(KARTU!$K$8="",$P1074=KARTU!$K$8)),MAX($AE$3:AE1073)+1,""))</f>
        <v/>
      </c>
    </row>
    <row r="1075" customFormat="false" ht="15" hidden="false" customHeight="false" outlineLevel="0" collapsed="false">
      <c r="A1075" s="35" t="str">
        <f aca="false">IF($B1075="","",COUNTA($B$4:$B1075))</f>
        <v/>
      </c>
      <c r="B1075" s="36"/>
      <c r="C1075" s="37"/>
      <c r="D1075" s="37"/>
      <c r="E1075" s="38"/>
      <c r="F1075" s="36"/>
      <c r="G1075" s="39"/>
      <c r="H1075" s="39"/>
      <c r="I1075" s="36"/>
      <c r="J1075" s="36"/>
      <c r="K1075" s="36"/>
      <c r="L1075" s="36"/>
      <c r="M1075" s="40" t="str">
        <f aca="false">IF($F1075="","",$F1075&amp;IF($G1075="",""," - RT "&amp;$G1075&amp;IF($H1075="","","/"&amp;$H1075)))</f>
        <v/>
      </c>
      <c r="N1075" s="36"/>
      <c r="O1075" s="37"/>
      <c r="P1075" s="39"/>
      <c r="Q1075" s="41"/>
      <c r="R1075" s="35" t="str">
        <f aca="true">IF(OR($B1075="",$Q1075=""),"",DATEDIF($Q1075,TODAY(),"Y"))</f>
        <v/>
      </c>
      <c r="S1075" s="40" t="str">
        <f aca="false">IF($R1075="","",INDEX(usia_label,MATCH($R1075,usia_min,1)))</f>
        <v/>
      </c>
      <c r="T1075" s="36"/>
      <c r="U1075" s="41"/>
      <c r="V1075" s="36"/>
      <c r="W1075" s="36"/>
      <c r="X1075" s="40" t="str">
        <f aca="false">IF($M1075="","",$M1075&amp;"#"&amp;COUNTIF($M$4:$M1075,$M1075))</f>
        <v/>
      </c>
      <c r="Y1075" s="40" t="str">
        <f aca="false">IF($B1075="","",IF($C1075="","NIK kosong",IF(LEN($C1075)&lt;&gt;16,"NIK bukan 16 digit",IF(COUNTIF($C$4:$C$2003,$C1075&amp;"*")&gt;1,"NIK ganda",IF(AND($D1075&lt;&gt;"",LEN($D1075)&lt;&gt;16),"No. KK bukan 16 digit",IF(AND($F1075="",$I1075=""),"Alamat kosong",IF($N1075="","Jabatan kosong",IF($O1075="","No. HP kosong",IF(AND($R1075&lt;&gt;"",$R1075&lt;17),"Usia di bawah 17","")))))))))</f>
        <v/>
      </c>
      <c r="Z1075" s="40" t="str">
        <f aca="false">IF($B1075="","",IF(AND(OR(CARI!$C$5="",ISNUMBER(SEARCH(CARI!$C$5,$B1075&amp;" "&amp;$C1075&amp;" "&amp;$D1075&amp;" "&amp;$O1075&amp;" "&amp;$I1075&amp;" "&amp;$F1075&amp;" "&amp;$J1075&amp;" "&amp;$K1075&amp;" "&amp;$L1075&amp;" "&amp;$V1075))),OR(CARI!$C$6="",$F1075=CARI!$C$6),OR(CARI!$C$7="",$G1075=CARI!$C$7),OR(CARI!$C$8="",$T1075=CARI!$C$8)),MAX($Z$3:Z1074)+1,""))</f>
        <v/>
      </c>
      <c r="AA1075" s="40" t="str">
        <f aca="false">IF($Y1075="","",MAX($AA$3:AA1074)+1)</f>
        <v/>
      </c>
      <c r="AB1075" s="40" t="str">
        <f aca="false">IF($F1075="","",$F1075&amp;"#"&amp;COUNTIF($F$4:$F1075,$F1075))</f>
        <v/>
      </c>
      <c r="AC1075" s="40" t="str">
        <f aca="false">IF($B1075="","",IF(AND(OR(CETAK!$J$10="",$F1075=CETAK!$J$10),OR(CETAK!$J$11="",$G1075=CETAK!$J$11),OR(CETAK!$J$12="",$P1075=CETAK!$J$12),OR(CETAK!$J$13="",$N1075=CETAK!$J$13),OR(CETAK!$J$14="",$T1075=CETAK!$J$14)),MAX($AC$3:AC1074)+1,""))</f>
        <v/>
      </c>
      <c r="AD1075" s="40" t="str">
        <f aca="false">IF($B1075="","",IF(AND(OR(ABSENSI!$H$10="",$F1075=ABSENSI!$H$10),OR(ABSENSI!$H$11="",$G1075=ABSENSI!$H$11),OR(ABSENSI!$H$12="",$P1075=ABSENSI!$H$12)),MAX($AD$3:AD1074)+1,""))</f>
        <v/>
      </c>
      <c r="AE1075" s="40" t="str">
        <f aca="false">IF($B1075="","",IF(AND(OR(KARTU!$K$6="",$F1075=KARTU!$K$6),OR(KARTU!$K$7="",$G1075=KARTU!$K$7),OR(KARTU!$K$8="",$P1075=KARTU!$K$8)),MAX($AE$3:AE1074)+1,""))</f>
        <v/>
      </c>
    </row>
    <row r="1076" customFormat="false" ht="15" hidden="false" customHeight="false" outlineLevel="0" collapsed="false">
      <c r="A1076" s="35" t="str">
        <f aca="false">IF($B1076="","",COUNTA($B$4:$B1076))</f>
        <v/>
      </c>
      <c r="B1076" s="36"/>
      <c r="C1076" s="37"/>
      <c r="D1076" s="37"/>
      <c r="E1076" s="38"/>
      <c r="F1076" s="36"/>
      <c r="G1076" s="39"/>
      <c r="H1076" s="39"/>
      <c r="I1076" s="36"/>
      <c r="J1076" s="36"/>
      <c r="K1076" s="36"/>
      <c r="L1076" s="36"/>
      <c r="M1076" s="40" t="str">
        <f aca="false">IF($F1076="","",$F1076&amp;IF($G1076="",""," - RT "&amp;$G1076&amp;IF($H1076="","","/"&amp;$H1076)))</f>
        <v/>
      </c>
      <c r="N1076" s="36"/>
      <c r="O1076" s="37"/>
      <c r="P1076" s="39"/>
      <c r="Q1076" s="41"/>
      <c r="R1076" s="35" t="str">
        <f aca="true">IF(OR($B1076="",$Q1076=""),"",DATEDIF($Q1076,TODAY(),"Y"))</f>
        <v/>
      </c>
      <c r="S1076" s="40" t="str">
        <f aca="false">IF($R1076="","",INDEX(usia_label,MATCH($R1076,usia_min,1)))</f>
        <v/>
      </c>
      <c r="T1076" s="36"/>
      <c r="U1076" s="41"/>
      <c r="V1076" s="36"/>
      <c r="W1076" s="36"/>
      <c r="X1076" s="40" t="str">
        <f aca="false">IF($M1076="","",$M1076&amp;"#"&amp;COUNTIF($M$4:$M1076,$M1076))</f>
        <v/>
      </c>
      <c r="Y1076" s="40" t="str">
        <f aca="false">IF($B1076="","",IF($C1076="","NIK kosong",IF(LEN($C1076)&lt;&gt;16,"NIK bukan 16 digit",IF(COUNTIF($C$4:$C$2003,$C1076&amp;"*")&gt;1,"NIK ganda",IF(AND($D1076&lt;&gt;"",LEN($D1076)&lt;&gt;16),"No. KK bukan 16 digit",IF(AND($F1076="",$I1076=""),"Alamat kosong",IF($N1076="","Jabatan kosong",IF($O1076="","No. HP kosong",IF(AND($R1076&lt;&gt;"",$R1076&lt;17),"Usia di bawah 17","")))))))))</f>
        <v/>
      </c>
      <c r="Z1076" s="40" t="str">
        <f aca="false">IF($B1076="","",IF(AND(OR(CARI!$C$5="",ISNUMBER(SEARCH(CARI!$C$5,$B1076&amp;" "&amp;$C1076&amp;" "&amp;$D1076&amp;" "&amp;$O1076&amp;" "&amp;$I1076&amp;" "&amp;$F1076&amp;" "&amp;$J1076&amp;" "&amp;$K1076&amp;" "&amp;$L1076&amp;" "&amp;$V1076))),OR(CARI!$C$6="",$F1076=CARI!$C$6),OR(CARI!$C$7="",$G1076=CARI!$C$7),OR(CARI!$C$8="",$T1076=CARI!$C$8)),MAX($Z$3:Z1075)+1,""))</f>
        <v/>
      </c>
      <c r="AA1076" s="40" t="str">
        <f aca="false">IF($Y1076="","",MAX($AA$3:AA1075)+1)</f>
        <v/>
      </c>
      <c r="AB1076" s="40" t="str">
        <f aca="false">IF($F1076="","",$F1076&amp;"#"&amp;COUNTIF($F$4:$F1076,$F1076))</f>
        <v/>
      </c>
      <c r="AC1076" s="40" t="str">
        <f aca="false">IF($B1076="","",IF(AND(OR(CETAK!$J$10="",$F1076=CETAK!$J$10),OR(CETAK!$J$11="",$G1076=CETAK!$J$11),OR(CETAK!$J$12="",$P1076=CETAK!$J$12),OR(CETAK!$J$13="",$N1076=CETAK!$J$13),OR(CETAK!$J$14="",$T1076=CETAK!$J$14)),MAX($AC$3:AC1075)+1,""))</f>
        <v/>
      </c>
      <c r="AD1076" s="40" t="str">
        <f aca="false">IF($B1076="","",IF(AND(OR(ABSENSI!$H$10="",$F1076=ABSENSI!$H$10),OR(ABSENSI!$H$11="",$G1076=ABSENSI!$H$11),OR(ABSENSI!$H$12="",$P1076=ABSENSI!$H$12)),MAX($AD$3:AD1075)+1,""))</f>
        <v/>
      </c>
      <c r="AE1076" s="40" t="str">
        <f aca="false">IF($B1076="","",IF(AND(OR(KARTU!$K$6="",$F1076=KARTU!$K$6),OR(KARTU!$K$7="",$G1076=KARTU!$K$7),OR(KARTU!$K$8="",$P1076=KARTU!$K$8)),MAX($AE$3:AE1075)+1,""))</f>
        <v/>
      </c>
    </row>
    <row r="1077" customFormat="false" ht="15" hidden="false" customHeight="false" outlineLevel="0" collapsed="false">
      <c r="A1077" s="35" t="str">
        <f aca="false">IF($B1077="","",COUNTA($B$4:$B1077))</f>
        <v/>
      </c>
      <c r="B1077" s="36"/>
      <c r="C1077" s="37"/>
      <c r="D1077" s="37"/>
      <c r="E1077" s="38"/>
      <c r="F1077" s="36"/>
      <c r="G1077" s="39"/>
      <c r="H1077" s="39"/>
      <c r="I1077" s="36"/>
      <c r="J1077" s="36"/>
      <c r="K1077" s="36"/>
      <c r="L1077" s="36"/>
      <c r="M1077" s="40" t="str">
        <f aca="false">IF($F1077="","",$F1077&amp;IF($G1077="",""," - RT "&amp;$G1077&amp;IF($H1077="","","/"&amp;$H1077)))</f>
        <v/>
      </c>
      <c r="N1077" s="36"/>
      <c r="O1077" s="37"/>
      <c r="P1077" s="39"/>
      <c r="Q1077" s="41"/>
      <c r="R1077" s="35" t="str">
        <f aca="true">IF(OR($B1077="",$Q1077=""),"",DATEDIF($Q1077,TODAY(),"Y"))</f>
        <v/>
      </c>
      <c r="S1077" s="40" t="str">
        <f aca="false">IF($R1077="","",INDEX(usia_label,MATCH($R1077,usia_min,1)))</f>
        <v/>
      </c>
      <c r="T1077" s="36"/>
      <c r="U1077" s="41"/>
      <c r="V1077" s="36"/>
      <c r="W1077" s="36"/>
      <c r="X1077" s="40" t="str">
        <f aca="false">IF($M1077="","",$M1077&amp;"#"&amp;COUNTIF($M$4:$M1077,$M1077))</f>
        <v/>
      </c>
      <c r="Y1077" s="40" t="str">
        <f aca="false">IF($B1077="","",IF($C1077="","NIK kosong",IF(LEN($C1077)&lt;&gt;16,"NIK bukan 16 digit",IF(COUNTIF($C$4:$C$2003,$C1077&amp;"*")&gt;1,"NIK ganda",IF(AND($D1077&lt;&gt;"",LEN($D1077)&lt;&gt;16),"No. KK bukan 16 digit",IF(AND($F1077="",$I1077=""),"Alamat kosong",IF($N1077="","Jabatan kosong",IF($O1077="","No. HP kosong",IF(AND($R1077&lt;&gt;"",$R1077&lt;17),"Usia di bawah 17","")))))))))</f>
        <v/>
      </c>
      <c r="Z1077" s="40" t="str">
        <f aca="false">IF($B1077="","",IF(AND(OR(CARI!$C$5="",ISNUMBER(SEARCH(CARI!$C$5,$B1077&amp;" "&amp;$C1077&amp;" "&amp;$D1077&amp;" "&amp;$O1077&amp;" "&amp;$I1077&amp;" "&amp;$F1077&amp;" "&amp;$J1077&amp;" "&amp;$K1077&amp;" "&amp;$L1077&amp;" "&amp;$V1077))),OR(CARI!$C$6="",$F1077=CARI!$C$6),OR(CARI!$C$7="",$G1077=CARI!$C$7),OR(CARI!$C$8="",$T1077=CARI!$C$8)),MAX($Z$3:Z1076)+1,""))</f>
        <v/>
      </c>
      <c r="AA1077" s="40" t="str">
        <f aca="false">IF($Y1077="","",MAX($AA$3:AA1076)+1)</f>
        <v/>
      </c>
      <c r="AB1077" s="40" t="str">
        <f aca="false">IF($F1077="","",$F1077&amp;"#"&amp;COUNTIF($F$4:$F1077,$F1077))</f>
        <v/>
      </c>
      <c r="AC1077" s="40" t="str">
        <f aca="false">IF($B1077="","",IF(AND(OR(CETAK!$J$10="",$F1077=CETAK!$J$10),OR(CETAK!$J$11="",$G1077=CETAK!$J$11),OR(CETAK!$J$12="",$P1077=CETAK!$J$12),OR(CETAK!$J$13="",$N1077=CETAK!$J$13),OR(CETAK!$J$14="",$T1077=CETAK!$J$14)),MAX($AC$3:AC1076)+1,""))</f>
        <v/>
      </c>
      <c r="AD1077" s="40" t="str">
        <f aca="false">IF($B1077="","",IF(AND(OR(ABSENSI!$H$10="",$F1077=ABSENSI!$H$10),OR(ABSENSI!$H$11="",$G1077=ABSENSI!$H$11),OR(ABSENSI!$H$12="",$P1077=ABSENSI!$H$12)),MAX($AD$3:AD1076)+1,""))</f>
        <v/>
      </c>
      <c r="AE1077" s="40" t="str">
        <f aca="false">IF($B1077="","",IF(AND(OR(KARTU!$K$6="",$F1077=KARTU!$K$6),OR(KARTU!$K$7="",$G1077=KARTU!$K$7),OR(KARTU!$K$8="",$P1077=KARTU!$K$8)),MAX($AE$3:AE1076)+1,""))</f>
        <v/>
      </c>
    </row>
    <row r="1078" customFormat="false" ht="15" hidden="false" customHeight="false" outlineLevel="0" collapsed="false">
      <c r="A1078" s="35" t="str">
        <f aca="false">IF($B1078="","",COUNTA($B$4:$B1078))</f>
        <v/>
      </c>
      <c r="B1078" s="36"/>
      <c r="C1078" s="37"/>
      <c r="D1078" s="37"/>
      <c r="E1078" s="38"/>
      <c r="F1078" s="36"/>
      <c r="G1078" s="39"/>
      <c r="H1078" s="39"/>
      <c r="I1078" s="36"/>
      <c r="J1078" s="36"/>
      <c r="K1078" s="36"/>
      <c r="L1078" s="36"/>
      <c r="M1078" s="40" t="str">
        <f aca="false">IF($F1078="","",$F1078&amp;IF($G1078="",""," - RT "&amp;$G1078&amp;IF($H1078="","","/"&amp;$H1078)))</f>
        <v/>
      </c>
      <c r="N1078" s="36"/>
      <c r="O1078" s="37"/>
      <c r="P1078" s="39"/>
      <c r="Q1078" s="41"/>
      <c r="R1078" s="35" t="str">
        <f aca="true">IF(OR($B1078="",$Q1078=""),"",DATEDIF($Q1078,TODAY(),"Y"))</f>
        <v/>
      </c>
      <c r="S1078" s="40" t="str">
        <f aca="false">IF($R1078="","",INDEX(usia_label,MATCH($R1078,usia_min,1)))</f>
        <v/>
      </c>
      <c r="T1078" s="36"/>
      <c r="U1078" s="41"/>
      <c r="V1078" s="36"/>
      <c r="W1078" s="36"/>
      <c r="X1078" s="40" t="str">
        <f aca="false">IF($M1078="","",$M1078&amp;"#"&amp;COUNTIF($M$4:$M1078,$M1078))</f>
        <v/>
      </c>
      <c r="Y1078" s="40" t="str">
        <f aca="false">IF($B1078="","",IF($C1078="","NIK kosong",IF(LEN($C1078)&lt;&gt;16,"NIK bukan 16 digit",IF(COUNTIF($C$4:$C$2003,$C1078&amp;"*")&gt;1,"NIK ganda",IF(AND($D1078&lt;&gt;"",LEN($D1078)&lt;&gt;16),"No. KK bukan 16 digit",IF(AND($F1078="",$I1078=""),"Alamat kosong",IF($N1078="","Jabatan kosong",IF($O1078="","No. HP kosong",IF(AND($R1078&lt;&gt;"",$R1078&lt;17),"Usia di bawah 17","")))))))))</f>
        <v/>
      </c>
      <c r="Z1078" s="40" t="str">
        <f aca="false">IF($B1078="","",IF(AND(OR(CARI!$C$5="",ISNUMBER(SEARCH(CARI!$C$5,$B1078&amp;" "&amp;$C1078&amp;" "&amp;$D1078&amp;" "&amp;$O1078&amp;" "&amp;$I1078&amp;" "&amp;$F1078&amp;" "&amp;$J1078&amp;" "&amp;$K1078&amp;" "&amp;$L1078&amp;" "&amp;$V1078))),OR(CARI!$C$6="",$F1078=CARI!$C$6),OR(CARI!$C$7="",$G1078=CARI!$C$7),OR(CARI!$C$8="",$T1078=CARI!$C$8)),MAX($Z$3:Z1077)+1,""))</f>
        <v/>
      </c>
      <c r="AA1078" s="40" t="str">
        <f aca="false">IF($Y1078="","",MAX($AA$3:AA1077)+1)</f>
        <v/>
      </c>
      <c r="AB1078" s="40" t="str">
        <f aca="false">IF($F1078="","",$F1078&amp;"#"&amp;COUNTIF($F$4:$F1078,$F1078))</f>
        <v/>
      </c>
      <c r="AC1078" s="40" t="str">
        <f aca="false">IF($B1078="","",IF(AND(OR(CETAK!$J$10="",$F1078=CETAK!$J$10),OR(CETAK!$J$11="",$G1078=CETAK!$J$11),OR(CETAK!$J$12="",$P1078=CETAK!$J$12),OR(CETAK!$J$13="",$N1078=CETAK!$J$13),OR(CETAK!$J$14="",$T1078=CETAK!$J$14)),MAX($AC$3:AC1077)+1,""))</f>
        <v/>
      </c>
      <c r="AD1078" s="40" t="str">
        <f aca="false">IF($B1078="","",IF(AND(OR(ABSENSI!$H$10="",$F1078=ABSENSI!$H$10),OR(ABSENSI!$H$11="",$G1078=ABSENSI!$H$11),OR(ABSENSI!$H$12="",$P1078=ABSENSI!$H$12)),MAX($AD$3:AD1077)+1,""))</f>
        <v/>
      </c>
      <c r="AE1078" s="40" t="str">
        <f aca="false">IF($B1078="","",IF(AND(OR(KARTU!$K$6="",$F1078=KARTU!$K$6),OR(KARTU!$K$7="",$G1078=KARTU!$K$7),OR(KARTU!$K$8="",$P1078=KARTU!$K$8)),MAX($AE$3:AE1077)+1,""))</f>
        <v/>
      </c>
    </row>
    <row r="1079" customFormat="false" ht="15" hidden="false" customHeight="false" outlineLevel="0" collapsed="false">
      <c r="A1079" s="35" t="str">
        <f aca="false">IF($B1079="","",COUNTA($B$4:$B1079))</f>
        <v/>
      </c>
      <c r="B1079" s="36"/>
      <c r="C1079" s="37"/>
      <c r="D1079" s="37"/>
      <c r="E1079" s="38"/>
      <c r="F1079" s="36"/>
      <c r="G1079" s="39"/>
      <c r="H1079" s="39"/>
      <c r="I1079" s="36"/>
      <c r="J1079" s="36"/>
      <c r="K1079" s="36"/>
      <c r="L1079" s="36"/>
      <c r="M1079" s="40" t="str">
        <f aca="false">IF($F1079="","",$F1079&amp;IF($G1079="",""," - RT "&amp;$G1079&amp;IF($H1079="","","/"&amp;$H1079)))</f>
        <v/>
      </c>
      <c r="N1079" s="36"/>
      <c r="O1079" s="37"/>
      <c r="P1079" s="39"/>
      <c r="Q1079" s="41"/>
      <c r="R1079" s="35" t="str">
        <f aca="true">IF(OR($B1079="",$Q1079=""),"",DATEDIF($Q1079,TODAY(),"Y"))</f>
        <v/>
      </c>
      <c r="S1079" s="40" t="str">
        <f aca="false">IF($R1079="","",INDEX(usia_label,MATCH($R1079,usia_min,1)))</f>
        <v/>
      </c>
      <c r="T1079" s="36"/>
      <c r="U1079" s="41"/>
      <c r="V1079" s="36"/>
      <c r="W1079" s="36"/>
      <c r="X1079" s="40" t="str">
        <f aca="false">IF($M1079="","",$M1079&amp;"#"&amp;COUNTIF($M$4:$M1079,$M1079))</f>
        <v/>
      </c>
      <c r="Y1079" s="40" t="str">
        <f aca="false">IF($B1079="","",IF($C1079="","NIK kosong",IF(LEN($C1079)&lt;&gt;16,"NIK bukan 16 digit",IF(COUNTIF($C$4:$C$2003,$C1079&amp;"*")&gt;1,"NIK ganda",IF(AND($D1079&lt;&gt;"",LEN($D1079)&lt;&gt;16),"No. KK bukan 16 digit",IF(AND($F1079="",$I1079=""),"Alamat kosong",IF($N1079="","Jabatan kosong",IF($O1079="","No. HP kosong",IF(AND($R1079&lt;&gt;"",$R1079&lt;17),"Usia di bawah 17","")))))))))</f>
        <v/>
      </c>
      <c r="Z1079" s="40" t="str">
        <f aca="false">IF($B1079="","",IF(AND(OR(CARI!$C$5="",ISNUMBER(SEARCH(CARI!$C$5,$B1079&amp;" "&amp;$C1079&amp;" "&amp;$D1079&amp;" "&amp;$O1079&amp;" "&amp;$I1079&amp;" "&amp;$F1079&amp;" "&amp;$J1079&amp;" "&amp;$K1079&amp;" "&amp;$L1079&amp;" "&amp;$V1079))),OR(CARI!$C$6="",$F1079=CARI!$C$6),OR(CARI!$C$7="",$G1079=CARI!$C$7),OR(CARI!$C$8="",$T1079=CARI!$C$8)),MAX($Z$3:Z1078)+1,""))</f>
        <v/>
      </c>
      <c r="AA1079" s="40" t="str">
        <f aca="false">IF($Y1079="","",MAX($AA$3:AA1078)+1)</f>
        <v/>
      </c>
      <c r="AB1079" s="40" t="str">
        <f aca="false">IF($F1079="","",$F1079&amp;"#"&amp;COUNTIF($F$4:$F1079,$F1079))</f>
        <v/>
      </c>
      <c r="AC1079" s="40" t="str">
        <f aca="false">IF($B1079="","",IF(AND(OR(CETAK!$J$10="",$F1079=CETAK!$J$10),OR(CETAK!$J$11="",$G1079=CETAK!$J$11),OR(CETAK!$J$12="",$P1079=CETAK!$J$12),OR(CETAK!$J$13="",$N1079=CETAK!$J$13),OR(CETAK!$J$14="",$T1079=CETAK!$J$14)),MAX($AC$3:AC1078)+1,""))</f>
        <v/>
      </c>
      <c r="AD1079" s="40" t="str">
        <f aca="false">IF($B1079="","",IF(AND(OR(ABSENSI!$H$10="",$F1079=ABSENSI!$H$10),OR(ABSENSI!$H$11="",$G1079=ABSENSI!$H$11),OR(ABSENSI!$H$12="",$P1079=ABSENSI!$H$12)),MAX($AD$3:AD1078)+1,""))</f>
        <v/>
      </c>
      <c r="AE1079" s="40" t="str">
        <f aca="false">IF($B1079="","",IF(AND(OR(KARTU!$K$6="",$F1079=KARTU!$K$6),OR(KARTU!$K$7="",$G1079=KARTU!$K$7),OR(KARTU!$K$8="",$P1079=KARTU!$K$8)),MAX($AE$3:AE1078)+1,""))</f>
        <v/>
      </c>
    </row>
    <row r="1080" customFormat="false" ht="15" hidden="false" customHeight="false" outlineLevel="0" collapsed="false">
      <c r="A1080" s="35" t="str">
        <f aca="false">IF($B1080="","",COUNTA($B$4:$B1080))</f>
        <v/>
      </c>
      <c r="B1080" s="36"/>
      <c r="C1080" s="37"/>
      <c r="D1080" s="37"/>
      <c r="E1080" s="38"/>
      <c r="F1080" s="36"/>
      <c r="G1080" s="39"/>
      <c r="H1080" s="39"/>
      <c r="I1080" s="36"/>
      <c r="J1080" s="36"/>
      <c r="K1080" s="36"/>
      <c r="L1080" s="36"/>
      <c r="M1080" s="40" t="str">
        <f aca="false">IF($F1080="","",$F1080&amp;IF($G1080="",""," - RT "&amp;$G1080&amp;IF($H1080="","","/"&amp;$H1080)))</f>
        <v/>
      </c>
      <c r="N1080" s="36"/>
      <c r="O1080" s="37"/>
      <c r="P1080" s="39"/>
      <c r="Q1080" s="41"/>
      <c r="R1080" s="35" t="str">
        <f aca="true">IF(OR($B1080="",$Q1080=""),"",DATEDIF($Q1080,TODAY(),"Y"))</f>
        <v/>
      </c>
      <c r="S1080" s="40" t="str">
        <f aca="false">IF($R1080="","",INDEX(usia_label,MATCH($R1080,usia_min,1)))</f>
        <v/>
      </c>
      <c r="T1080" s="36"/>
      <c r="U1080" s="41"/>
      <c r="V1080" s="36"/>
      <c r="W1080" s="36"/>
      <c r="X1080" s="40" t="str">
        <f aca="false">IF($M1080="","",$M1080&amp;"#"&amp;COUNTIF($M$4:$M1080,$M1080))</f>
        <v/>
      </c>
      <c r="Y1080" s="40" t="str">
        <f aca="false">IF($B1080="","",IF($C1080="","NIK kosong",IF(LEN($C1080)&lt;&gt;16,"NIK bukan 16 digit",IF(COUNTIF($C$4:$C$2003,$C1080&amp;"*")&gt;1,"NIK ganda",IF(AND($D1080&lt;&gt;"",LEN($D1080)&lt;&gt;16),"No. KK bukan 16 digit",IF(AND($F1080="",$I1080=""),"Alamat kosong",IF($N1080="","Jabatan kosong",IF($O1080="","No. HP kosong",IF(AND($R1080&lt;&gt;"",$R1080&lt;17),"Usia di bawah 17","")))))))))</f>
        <v/>
      </c>
      <c r="Z1080" s="40" t="str">
        <f aca="false">IF($B1080="","",IF(AND(OR(CARI!$C$5="",ISNUMBER(SEARCH(CARI!$C$5,$B1080&amp;" "&amp;$C1080&amp;" "&amp;$D1080&amp;" "&amp;$O1080&amp;" "&amp;$I1080&amp;" "&amp;$F1080&amp;" "&amp;$J1080&amp;" "&amp;$K1080&amp;" "&amp;$L1080&amp;" "&amp;$V1080))),OR(CARI!$C$6="",$F1080=CARI!$C$6),OR(CARI!$C$7="",$G1080=CARI!$C$7),OR(CARI!$C$8="",$T1080=CARI!$C$8)),MAX($Z$3:Z1079)+1,""))</f>
        <v/>
      </c>
      <c r="AA1080" s="40" t="str">
        <f aca="false">IF($Y1080="","",MAX($AA$3:AA1079)+1)</f>
        <v/>
      </c>
      <c r="AB1080" s="40" t="str">
        <f aca="false">IF($F1080="","",$F1080&amp;"#"&amp;COUNTIF($F$4:$F1080,$F1080))</f>
        <v/>
      </c>
      <c r="AC1080" s="40" t="str">
        <f aca="false">IF($B1080="","",IF(AND(OR(CETAK!$J$10="",$F1080=CETAK!$J$10),OR(CETAK!$J$11="",$G1080=CETAK!$J$11),OR(CETAK!$J$12="",$P1080=CETAK!$J$12),OR(CETAK!$J$13="",$N1080=CETAK!$J$13),OR(CETAK!$J$14="",$T1080=CETAK!$J$14)),MAX($AC$3:AC1079)+1,""))</f>
        <v/>
      </c>
      <c r="AD1080" s="40" t="str">
        <f aca="false">IF($B1080="","",IF(AND(OR(ABSENSI!$H$10="",$F1080=ABSENSI!$H$10),OR(ABSENSI!$H$11="",$G1080=ABSENSI!$H$11),OR(ABSENSI!$H$12="",$P1080=ABSENSI!$H$12)),MAX($AD$3:AD1079)+1,""))</f>
        <v/>
      </c>
      <c r="AE1080" s="40" t="str">
        <f aca="false">IF($B1080="","",IF(AND(OR(KARTU!$K$6="",$F1080=KARTU!$K$6),OR(KARTU!$K$7="",$G1080=KARTU!$K$7),OR(KARTU!$K$8="",$P1080=KARTU!$K$8)),MAX($AE$3:AE1079)+1,""))</f>
        <v/>
      </c>
    </row>
    <row r="1081" customFormat="false" ht="15" hidden="false" customHeight="false" outlineLevel="0" collapsed="false">
      <c r="A1081" s="35" t="str">
        <f aca="false">IF($B1081="","",COUNTA($B$4:$B1081))</f>
        <v/>
      </c>
      <c r="B1081" s="36"/>
      <c r="C1081" s="37"/>
      <c r="D1081" s="37"/>
      <c r="E1081" s="38"/>
      <c r="F1081" s="36"/>
      <c r="G1081" s="39"/>
      <c r="H1081" s="39"/>
      <c r="I1081" s="36"/>
      <c r="J1081" s="36"/>
      <c r="K1081" s="36"/>
      <c r="L1081" s="36"/>
      <c r="M1081" s="40" t="str">
        <f aca="false">IF($F1081="","",$F1081&amp;IF($G1081="",""," - RT "&amp;$G1081&amp;IF($H1081="","","/"&amp;$H1081)))</f>
        <v/>
      </c>
      <c r="N1081" s="36"/>
      <c r="O1081" s="37"/>
      <c r="P1081" s="39"/>
      <c r="Q1081" s="41"/>
      <c r="R1081" s="35" t="str">
        <f aca="true">IF(OR($B1081="",$Q1081=""),"",DATEDIF($Q1081,TODAY(),"Y"))</f>
        <v/>
      </c>
      <c r="S1081" s="40" t="str">
        <f aca="false">IF($R1081="","",INDEX(usia_label,MATCH($R1081,usia_min,1)))</f>
        <v/>
      </c>
      <c r="T1081" s="36"/>
      <c r="U1081" s="41"/>
      <c r="V1081" s="36"/>
      <c r="W1081" s="36"/>
      <c r="X1081" s="40" t="str">
        <f aca="false">IF($M1081="","",$M1081&amp;"#"&amp;COUNTIF($M$4:$M1081,$M1081))</f>
        <v/>
      </c>
      <c r="Y1081" s="40" t="str">
        <f aca="false">IF($B1081="","",IF($C1081="","NIK kosong",IF(LEN($C1081)&lt;&gt;16,"NIK bukan 16 digit",IF(COUNTIF($C$4:$C$2003,$C1081&amp;"*")&gt;1,"NIK ganda",IF(AND($D1081&lt;&gt;"",LEN($D1081)&lt;&gt;16),"No. KK bukan 16 digit",IF(AND($F1081="",$I1081=""),"Alamat kosong",IF($N1081="","Jabatan kosong",IF($O1081="","No. HP kosong",IF(AND($R1081&lt;&gt;"",$R1081&lt;17),"Usia di bawah 17","")))))))))</f>
        <v/>
      </c>
      <c r="Z1081" s="40" t="str">
        <f aca="false">IF($B1081="","",IF(AND(OR(CARI!$C$5="",ISNUMBER(SEARCH(CARI!$C$5,$B1081&amp;" "&amp;$C1081&amp;" "&amp;$D1081&amp;" "&amp;$O1081&amp;" "&amp;$I1081&amp;" "&amp;$F1081&amp;" "&amp;$J1081&amp;" "&amp;$K1081&amp;" "&amp;$L1081&amp;" "&amp;$V1081))),OR(CARI!$C$6="",$F1081=CARI!$C$6),OR(CARI!$C$7="",$G1081=CARI!$C$7),OR(CARI!$C$8="",$T1081=CARI!$C$8)),MAX($Z$3:Z1080)+1,""))</f>
        <v/>
      </c>
      <c r="AA1081" s="40" t="str">
        <f aca="false">IF($Y1081="","",MAX($AA$3:AA1080)+1)</f>
        <v/>
      </c>
      <c r="AB1081" s="40" t="str">
        <f aca="false">IF($F1081="","",$F1081&amp;"#"&amp;COUNTIF($F$4:$F1081,$F1081))</f>
        <v/>
      </c>
      <c r="AC1081" s="40" t="str">
        <f aca="false">IF($B1081="","",IF(AND(OR(CETAK!$J$10="",$F1081=CETAK!$J$10),OR(CETAK!$J$11="",$G1081=CETAK!$J$11),OR(CETAK!$J$12="",$P1081=CETAK!$J$12),OR(CETAK!$J$13="",$N1081=CETAK!$J$13),OR(CETAK!$J$14="",$T1081=CETAK!$J$14)),MAX($AC$3:AC1080)+1,""))</f>
        <v/>
      </c>
      <c r="AD1081" s="40" t="str">
        <f aca="false">IF($B1081="","",IF(AND(OR(ABSENSI!$H$10="",$F1081=ABSENSI!$H$10),OR(ABSENSI!$H$11="",$G1081=ABSENSI!$H$11),OR(ABSENSI!$H$12="",$P1081=ABSENSI!$H$12)),MAX($AD$3:AD1080)+1,""))</f>
        <v/>
      </c>
      <c r="AE1081" s="40" t="str">
        <f aca="false">IF($B1081="","",IF(AND(OR(KARTU!$K$6="",$F1081=KARTU!$K$6),OR(KARTU!$K$7="",$G1081=KARTU!$K$7),OR(KARTU!$K$8="",$P1081=KARTU!$K$8)),MAX($AE$3:AE1080)+1,""))</f>
        <v/>
      </c>
    </row>
    <row r="1082" customFormat="false" ht="15" hidden="false" customHeight="false" outlineLevel="0" collapsed="false">
      <c r="A1082" s="35" t="str">
        <f aca="false">IF($B1082="","",COUNTA($B$4:$B1082))</f>
        <v/>
      </c>
      <c r="B1082" s="36"/>
      <c r="C1082" s="37"/>
      <c r="D1082" s="37"/>
      <c r="E1082" s="38"/>
      <c r="F1082" s="36"/>
      <c r="G1082" s="39"/>
      <c r="H1082" s="39"/>
      <c r="I1082" s="36"/>
      <c r="J1082" s="36"/>
      <c r="K1082" s="36"/>
      <c r="L1082" s="36"/>
      <c r="M1082" s="40" t="str">
        <f aca="false">IF($F1082="","",$F1082&amp;IF($G1082="",""," - RT "&amp;$G1082&amp;IF($H1082="","","/"&amp;$H1082)))</f>
        <v/>
      </c>
      <c r="N1082" s="36"/>
      <c r="O1082" s="37"/>
      <c r="P1082" s="39"/>
      <c r="Q1082" s="41"/>
      <c r="R1082" s="35" t="str">
        <f aca="true">IF(OR($B1082="",$Q1082=""),"",DATEDIF($Q1082,TODAY(),"Y"))</f>
        <v/>
      </c>
      <c r="S1082" s="40" t="str">
        <f aca="false">IF($R1082="","",INDEX(usia_label,MATCH($R1082,usia_min,1)))</f>
        <v/>
      </c>
      <c r="T1082" s="36"/>
      <c r="U1082" s="41"/>
      <c r="V1082" s="36"/>
      <c r="W1082" s="36"/>
      <c r="X1082" s="40" t="str">
        <f aca="false">IF($M1082="","",$M1082&amp;"#"&amp;COUNTIF($M$4:$M1082,$M1082))</f>
        <v/>
      </c>
      <c r="Y1082" s="40" t="str">
        <f aca="false">IF($B1082="","",IF($C1082="","NIK kosong",IF(LEN($C1082)&lt;&gt;16,"NIK bukan 16 digit",IF(COUNTIF($C$4:$C$2003,$C1082&amp;"*")&gt;1,"NIK ganda",IF(AND($D1082&lt;&gt;"",LEN($D1082)&lt;&gt;16),"No. KK bukan 16 digit",IF(AND($F1082="",$I1082=""),"Alamat kosong",IF($N1082="","Jabatan kosong",IF($O1082="","No. HP kosong",IF(AND($R1082&lt;&gt;"",$R1082&lt;17),"Usia di bawah 17","")))))))))</f>
        <v/>
      </c>
      <c r="Z1082" s="40" t="str">
        <f aca="false">IF($B1082="","",IF(AND(OR(CARI!$C$5="",ISNUMBER(SEARCH(CARI!$C$5,$B1082&amp;" "&amp;$C1082&amp;" "&amp;$D1082&amp;" "&amp;$O1082&amp;" "&amp;$I1082&amp;" "&amp;$F1082&amp;" "&amp;$J1082&amp;" "&amp;$K1082&amp;" "&amp;$L1082&amp;" "&amp;$V1082))),OR(CARI!$C$6="",$F1082=CARI!$C$6),OR(CARI!$C$7="",$G1082=CARI!$C$7),OR(CARI!$C$8="",$T1082=CARI!$C$8)),MAX($Z$3:Z1081)+1,""))</f>
        <v/>
      </c>
      <c r="AA1082" s="40" t="str">
        <f aca="false">IF($Y1082="","",MAX($AA$3:AA1081)+1)</f>
        <v/>
      </c>
      <c r="AB1082" s="40" t="str">
        <f aca="false">IF($F1082="","",$F1082&amp;"#"&amp;COUNTIF($F$4:$F1082,$F1082))</f>
        <v/>
      </c>
      <c r="AC1082" s="40" t="str">
        <f aca="false">IF($B1082="","",IF(AND(OR(CETAK!$J$10="",$F1082=CETAK!$J$10),OR(CETAK!$J$11="",$G1082=CETAK!$J$11),OR(CETAK!$J$12="",$P1082=CETAK!$J$12),OR(CETAK!$J$13="",$N1082=CETAK!$J$13),OR(CETAK!$J$14="",$T1082=CETAK!$J$14)),MAX($AC$3:AC1081)+1,""))</f>
        <v/>
      </c>
      <c r="AD1082" s="40" t="str">
        <f aca="false">IF($B1082="","",IF(AND(OR(ABSENSI!$H$10="",$F1082=ABSENSI!$H$10),OR(ABSENSI!$H$11="",$G1082=ABSENSI!$H$11),OR(ABSENSI!$H$12="",$P1082=ABSENSI!$H$12)),MAX($AD$3:AD1081)+1,""))</f>
        <v/>
      </c>
      <c r="AE1082" s="40" t="str">
        <f aca="false">IF($B1082="","",IF(AND(OR(KARTU!$K$6="",$F1082=KARTU!$K$6),OR(KARTU!$K$7="",$G1082=KARTU!$K$7),OR(KARTU!$K$8="",$P1082=KARTU!$K$8)),MAX($AE$3:AE1081)+1,""))</f>
        <v/>
      </c>
    </row>
    <row r="1083" customFormat="false" ht="15" hidden="false" customHeight="false" outlineLevel="0" collapsed="false">
      <c r="A1083" s="35" t="str">
        <f aca="false">IF($B1083="","",COUNTA($B$4:$B1083))</f>
        <v/>
      </c>
      <c r="B1083" s="36"/>
      <c r="C1083" s="37"/>
      <c r="D1083" s="37"/>
      <c r="E1083" s="38"/>
      <c r="F1083" s="36"/>
      <c r="G1083" s="39"/>
      <c r="H1083" s="39"/>
      <c r="I1083" s="36"/>
      <c r="J1083" s="36"/>
      <c r="K1083" s="36"/>
      <c r="L1083" s="36"/>
      <c r="M1083" s="40" t="str">
        <f aca="false">IF($F1083="","",$F1083&amp;IF($G1083="",""," - RT "&amp;$G1083&amp;IF($H1083="","","/"&amp;$H1083)))</f>
        <v/>
      </c>
      <c r="N1083" s="36"/>
      <c r="O1083" s="37"/>
      <c r="P1083" s="39"/>
      <c r="Q1083" s="41"/>
      <c r="R1083" s="35" t="str">
        <f aca="true">IF(OR($B1083="",$Q1083=""),"",DATEDIF($Q1083,TODAY(),"Y"))</f>
        <v/>
      </c>
      <c r="S1083" s="40" t="str">
        <f aca="false">IF($R1083="","",INDEX(usia_label,MATCH($R1083,usia_min,1)))</f>
        <v/>
      </c>
      <c r="T1083" s="36"/>
      <c r="U1083" s="41"/>
      <c r="V1083" s="36"/>
      <c r="W1083" s="36"/>
      <c r="X1083" s="40" t="str">
        <f aca="false">IF($M1083="","",$M1083&amp;"#"&amp;COUNTIF($M$4:$M1083,$M1083))</f>
        <v/>
      </c>
      <c r="Y1083" s="40" t="str">
        <f aca="false">IF($B1083="","",IF($C1083="","NIK kosong",IF(LEN($C1083)&lt;&gt;16,"NIK bukan 16 digit",IF(COUNTIF($C$4:$C$2003,$C1083&amp;"*")&gt;1,"NIK ganda",IF(AND($D1083&lt;&gt;"",LEN($D1083)&lt;&gt;16),"No. KK bukan 16 digit",IF(AND($F1083="",$I1083=""),"Alamat kosong",IF($N1083="","Jabatan kosong",IF($O1083="","No. HP kosong",IF(AND($R1083&lt;&gt;"",$R1083&lt;17),"Usia di bawah 17","")))))))))</f>
        <v/>
      </c>
      <c r="Z1083" s="40" t="str">
        <f aca="false">IF($B1083="","",IF(AND(OR(CARI!$C$5="",ISNUMBER(SEARCH(CARI!$C$5,$B1083&amp;" "&amp;$C1083&amp;" "&amp;$D1083&amp;" "&amp;$O1083&amp;" "&amp;$I1083&amp;" "&amp;$F1083&amp;" "&amp;$J1083&amp;" "&amp;$K1083&amp;" "&amp;$L1083&amp;" "&amp;$V1083))),OR(CARI!$C$6="",$F1083=CARI!$C$6),OR(CARI!$C$7="",$G1083=CARI!$C$7),OR(CARI!$C$8="",$T1083=CARI!$C$8)),MAX($Z$3:Z1082)+1,""))</f>
        <v/>
      </c>
      <c r="AA1083" s="40" t="str">
        <f aca="false">IF($Y1083="","",MAX($AA$3:AA1082)+1)</f>
        <v/>
      </c>
      <c r="AB1083" s="40" t="str">
        <f aca="false">IF($F1083="","",$F1083&amp;"#"&amp;COUNTIF($F$4:$F1083,$F1083))</f>
        <v/>
      </c>
      <c r="AC1083" s="40" t="str">
        <f aca="false">IF($B1083="","",IF(AND(OR(CETAK!$J$10="",$F1083=CETAK!$J$10),OR(CETAK!$J$11="",$G1083=CETAK!$J$11),OR(CETAK!$J$12="",$P1083=CETAK!$J$12),OR(CETAK!$J$13="",$N1083=CETAK!$J$13),OR(CETAK!$J$14="",$T1083=CETAK!$J$14)),MAX($AC$3:AC1082)+1,""))</f>
        <v/>
      </c>
      <c r="AD1083" s="40" t="str">
        <f aca="false">IF($B1083="","",IF(AND(OR(ABSENSI!$H$10="",$F1083=ABSENSI!$H$10),OR(ABSENSI!$H$11="",$G1083=ABSENSI!$H$11),OR(ABSENSI!$H$12="",$P1083=ABSENSI!$H$12)),MAX($AD$3:AD1082)+1,""))</f>
        <v/>
      </c>
      <c r="AE1083" s="40" t="str">
        <f aca="false">IF($B1083="","",IF(AND(OR(KARTU!$K$6="",$F1083=KARTU!$K$6),OR(KARTU!$K$7="",$G1083=KARTU!$K$7),OR(KARTU!$K$8="",$P1083=KARTU!$K$8)),MAX($AE$3:AE1082)+1,""))</f>
        <v/>
      </c>
    </row>
    <row r="1084" customFormat="false" ht="15" hidden="false" customHeight="false" outlineLevel="0" collapsed="false">
      <c r="A1084" s="35" t="str">
        <f aca="false">IF($B1084="","",COUNTA($B$4:$B1084))</f>
        <v/>
      </c>
      <c r="B1084" s="36"/>
      <c r="C1084" s="37"/>
      <c r="D1084" s="37"/>
      <c r="E1084" s="38"/>
      <c r="F1084" s="36"/>
      <c r="G1084" s="39"/>
      <c r="H1084" s="39"/>
      <c r="I1084" s="36"/>
      <c r="J1084" s="36"/>
      <c r="K1084" s="36"/>
      <c r="L1084" s="36"/>
      <c r="M1084" s="40" t="str">
        <f aca="false">IF($F1084="","",$F1084&amp;IF($G1084="",""," - RT "&amp;$G1084&amp;IF($H1084="","","/"&amp;$H1084)))</f>
        <v/>
      </c>
      <c r="N1084" s="36"/>
      <c r="O1084" s="37"/>
      <c r="P1084" s="39"/>
      <c r="Q1084" s="41"/>
      <c r="R1084" s="35" t="str">
        <f aca="true">IF(OR($B1084="",$Q1084=""),"",DATEDIF($Q1084,TODAY(),"Y"))</f>
        <v/>
      </c>
      <c r="S1084" s="40" t="str">
        <f aca="false">IF($R1084="","",INDEX(usia_label,MATCH($R1084,usia_min,1)))</f>
        <v/>
      </c>
      <c r="T1084" s="36"/>
      <c r="U1084" s="41"/>
      <c r="V1084" s="36"/>
      <c r="W1084" s="36"/>
      <c r="X1084" s="40" t="str">
        <f aca="false">IF($M1084="","",$M1084&amp;"#"&amp;COUNTIF($M$4:$M1084,$M1084))</f>
        <v/>
      </c>
      <c r="Y1084" s="40" t="str">
        <f aca="false">IF($B1084="","",IF($C1084="","NIK kosong",IF(LEN($C1084)&lt;&gt;16,"NIK bukan 16 digit",IF(COUNTIF($C$4:$C$2003,$C1084&amp;"*")&gt;1,"NIK ganda",IF(AND($D1084&lt;&gt;"",LEN($D1084)&lt;&gt;16),"No. KK bukan 16 digit",IF(AND($F1084="",$I1084=""),"Alamat kosong",IF($N1084="","Jabatan kosong",IF($O1084="","No. HP kosong",IF(AND($R1084&lt;&gt;"",$R1084&lt;17),"Usia di bawah 17","")))))))))</f>
        <v/>
      </c>
      <c r="Z1084" s="40" t="str">
        <f aca="false">IF($B1084="","",IF(AND(OR(CARI!$C$5="",ISNUMBER(SEARCH(CARI!$C$5,$B1084&amp;" "&amp;$C1084&amp;" "&amp;$D1084&amp;" "&amp;$O1084&amp;" "&amp;$I1084&amp;" "&amp;$F1084&amp;" "&amp;$J1084&amp;" "&amp;$K1084&amp;" "&amp;$L1084&amp;" "&amp;$V1084))),OR(CARI!$C$6="",$F1084=CARI!$C$6),OR(CARI!$C$7="",$G1084=CARI!$C$7),OR(CARI!$C$8="",$T1084=CARI!$C$8)),MAX($Z$3:Z1083)+1,""))</f>
        <v/>
      </c>
      <c r="AA1084" s="40" t="str">
        <f aca="false">IF($Y1084="","",MAX($AA$3:AA1083)+1)</f>
        <v/>
      </c>
      <c r="AB1084" s="40" t="str">
        <f aca="false">IF($F1084="","",$F1084&amp;"#"&amp;COUNTIF($F$4:$F1084,$F1084))</f>
        <v/>
      </c>
      <c r="AC1084" s="40" t="str">
        <f aca="false">IF($B1084="","",IF(AND(OR(CETAK!$J$10="",$F1084=CETAK!$J$10),OR(CETAK!$J$11="",$G1084=CETAK!$J$11),OR(CETAK!$J$12="",$P1084=CETAK!$J$12),OR(CETAK!$J$13="",$N1084=CETAK!$J$13),OR(CETAK!$J$14="",$T1084=CETAK!$J$14)),MAX($AC$3:AC1083)+1,""))</f>
        <v/>
      </c>
      <c r="AD1084" s="40" t="str">
        <f aca="false">IF($B1084="","",IF(AND(OR(ABSENSI!$H$10="",$F1084=ABSENSI!$H$10),OR(ABSENSI!$H$11="",$G1084=ABSENSI!$H$11),OR(ABSENSI!$H$12="",$P1084=ABSENSI!$H$12)),MAX($AD$3:AD1083)+1,""))</f>
        <v/>
      </c>
      <c r="AE1084" s="40" t="str">
        <f aca="false">IF($B1084="","",IF(AND(OR(KARTU!$K$6="",$F1084=KARTU!$K$6),OR(KARTU!$K$7="",$G1084=KARTU!$K$7),OR(KARTU!$K$8="",$P1084=KARTU!$K$8)),MAX($AE$3:AE1083)+1,""))</f>
        <v/>
      </c>
    </row>
    <row r="1085" customFormat="false" ht="15" hidden="false" customHeight="false" outlineLevel="0" collapsed="false">
      <c r="A1085" s="35" t="str">
        <f aca="false">IF($B1085="","",COUNTA($B$4:$B1085))</f>
        <v/>
      </c>
      <c r="B1085" s="36"/>
      <c r="C1085" s="37"/>
      <c r="D1085" s="37"/>
      <c r="E1085" s="38"/>
      <c r="F1085" s="36"/>
      <c r="G1085" s="39"/>
      <c r="H1085" s="39"/>
      <c r="I1085" s="36"/>
      <c r="J1085" s="36"/>
      <c r="K1085" s="36"/>
      <c r="L1085" s="36"/>
      <c r="M1085" s="40" t="str">
        <f aca="false">IF($F1085="","",$F1085&amp;IF($G1085="",""," - RT "&amp;$G1085&amp;IF($H1085="","","/"&amp;$H1085)))</f>
        <v/>
      </c>
      <c r="N1085" s="36"/>
      <c r="O1085" s="37"/>
      <c r="P1085" s="39"/>
      <c r="Q1085" s="41"/>
      <c r="R1085" s="35" t="str">
        <f aca="true">IF(OR($B1085="",$Q1085=""),"",DATEDIF($Q1085,TODAY(),"Y"))</f>
        <v/>
      </c>
      <c r="S1085" s="40" t="str">
        <f aca="false">IF($R1085="","",INDEX(usia_label,MATCH($R1085,usia_min,1)))</f>
        <v/>
      </c>
      <c r="T1085" s="36"/>
      <c r="U1085" s="41"/>
      <c r="V1085" s="36"/>
      <c r="W1085" s="36"/>
      <c r="X1085" s="40" t="str">
        <f aca="false">IF($M1085="","",$M1085&amp;"#"&amp;COUNTIF($M$4:$M1085,$M1085))</f>
        <v/>
      </c>
      <c r="Y1085" s="40" t="str">
        <f aca="false">IF($B1085="","",IF($C1085="","NIK kosong",IF(LEN($C1085)&lt;&gt;16,"NIK bukan 16 digit",IF(COUNTIF($C$4:$C$2003,$C1085&amp;"*")&gt;1,"NIK ganda",IF(AND($D1085&lt;&gt;"",LEN($D1085)&lt;&gt;16),"No. KK bukan 16 digit",IF(AND($F1085="",$I1085=""),"Alamat kosong",IF($N1085="","Jabatan kosong",IF($O1085="","No. HP kosong",IF(AND($R1085&lt;&gt;"",$R1085&lt;17),"Usia di bawah 17","")))))))))</f>
        <v/>
      </c>
      <c r="Z1085" s="40" t="str">
        <f aca="false">IF($B1085="","",IF(AND(OR(CARI!$C$5="",ISNUMBER(SEARCH(CARI!$C$5,$B1085&amp;" "&amp;$C1085&amp;" "&amp;$D1085&amp;" "&amp;$O1085&amp;" "&amp;$I1085&amp;" "&amp;$F1085&amp;" "&amp;$J1085&amp;" "&amp;$K1085&amp;" "&amp;$L1085&amp;" "&amp;$V1085))),OR(CARI!$C$6="",$F1085=CARI!$C$6),OR(CARI!$C$7="",$G1085=CARI!$C$7),OR(CARI!$C$8="",$T1085=CARI!$C$8)),MAX($Z$3:Z1084)+1,""))</f>
        <v/>
      </c>
      <c r="AA1085" s="40" t="str">
        <f aca="false">IF($Y1085="","",MAX($AA$3:AA1084)+1)</f>
        <v/>
      </c>
      <c r="AB1085" s="40" t="str">
        <f aca="false">IF($F1085="","",$F1085&amp;"#"&amp;COUNTIF($F$4:$F1085,$F1085))</f>
        <v/>
      </c>
      <c r="AC1085" s="40" t="str">
        <f aca="false">IF($B1085="","",IF(AND(OR(CETAK!$J$10="",$F1085=CETAK!$J$10),OR(CETAK!$J$11="",$G1085=CETAK!$J$11),OR(CETAK!$J$12="",$P1085=CETAK!$J$12),OR(CETAK!$J$13="",$N1085=CETAK!$J$13),OR(CETAK!$J$14="",$T1085=CETAK!$J$14)),MAX($AC$3:AC1084)+1,""))</f>
        <v/>
      </c>
      <c r="AD1085" s="40" t="str">
        <f aca="false">IF($B1085="","",IF(AND(OR(ABSENSI!$H$10="",$F1085=ABSENSI!$H$10),OR(ABSENSI!$H$11="",$G1085=ABSENSI!$H$11),OR(ABSENSI!$H$12="",$P1085=ABSENSI!$H$12)),MAX($AD$3:AD1084)+1,""))</f>
        <v/>
      </c>
      <c r="AE1085" s="40" t="str">
        <f aca="false">IF($B1085="","",IF(AND(OR(KARTU!$K$6="",$F1085=KARTU!$K$6),OR(KARTU!$K$7="",$G1085=KARTU!$K$7),OR(KARTU!$K$8="",$P1085=KARTU!$K$8)),MAX($AE$3:AE1084)+1,""))</f>
        <v/>
      </c>
    </row>
    <row r="1086" customFormat="false" ht="15" hidden="false" customHeight="false" outlineLevel="0" collapsed="false">
      <c r="A1086" s="35" t="str">
        <f aca="false">IF($B1086="","",COUNTA($B$4:$B1086))</f>
        <v/>
      </c>
      <c r="B1086" s="36"/>
      <c r="C1086" s="37"/>
      <c r="D1086" s="37"/>
      <c r="E1086" s="38"/>
      <c r="F1086" s="36"/>
      <c r="G1086" s="39"/>
      <c r="H1086" s="39"/>
      <c r="I1086" s="36"/>
      <c r="J1086" s="36"/>
      <c r="K1086" s="36"/>
      <c r="L1086" s="36"/>
      <c r="M1086" s="40" t="str">
        <f aca="false">IF($F1086="","",$F1086&amp;IF($G1086="",""," - RT "&amp;$G1086&amp;IF($H1086="","","/"&amp;$H1086)))</f>
        <v/>
      </c>
      <c r="N1086" s="36"/>
      <c r="O1086" s="37"/>
      <c r="P1086" s="39"/>
      <c r="Q1086" s="41"/>
      <c r="R1086" s="35" t="str">
        <f aca="true">IF(OR($B1086="",$Q1086=""),"",DATEDIF($Q1086,TODAY(),"Y"))</f>
        <v/>
      </c>
      <c r="S1086" s="40" t="str">
        <f aca="false">IF($R1086="","",INDEX(usia_label,MATCH($R1086,usia_min,1)))</f>
        <v/>
      </c>
      <c r="T1086" s="36"/>
      <c r="U1086" s="41"/>
      <c r="V1086" s="36"/>
      <c r="W1086" s="36"/>
      <c r="X1086" s="40" t="str">
        <f aca="false">IF($M1086="","",$M1086&amp;"#"&amp;COUNTIF($M$4:$M1086,$M1086))</f>
        <v/>
      </c>
      <c r="Y1086" s="40" t="str">
        <f aca="false">IF($B1086="","",IF($C1086="","NIK kosong",IF(LEN($C1086)&lt;&gt;16,"NIK bukan 16 digit",IF(COUNTIF($C$4:$C$2003,$C1086&amp;"*")&gt;1,"NIK ganda",IF(AND($D1086&lt;&gt;"",LEN($D1086)&lt;&gt;16),"No. KK bukan 16 digit",IF(AND($F1086="",$I1086=""),"Alamat kosong",IF($N1086="","Jabatan kosong",IF($O1086="","No. HP kosong",IF(AND($R1086&lt;&gt;"",$R1086&lt;17),"Usia di bawah 17","")))))))))</f>
        <v/>
      </c>
      <c r="Z1086" s="40" t="str">
        <f aca="false">IF($B1086="","",IF(AND(OR(CARI!$C$5="",ISNUMBER(SEARCH(CARI!$C$5,$B1086&amp;" "&amp;$C1086&amp;" "&amp;$D1086&amp;" "&amp;$O1086&amp;" "&amp;$I1086&amp;" "&amp;$F1086&amp;" "&amp;$J1086&amp;" "&amp;$K1086&amp;" "&amp;$L1086&amp;" "&amp;$V1086))),OR(CARI!$C$6="",$F1086=CARI!$C$6),OR(CARI!$C$7="",$G1086=CARI!$C$7),OR(CARI!$C$8="",$T1086=CARI!$C$8)),MAX($Z$3:Z1085)+1,""))</f>
        <v/>
      </c>
      <c r="AA1086" s="40" t="str">
        <f aca="false">IF($Y1086="","",MAX($AA$3:AA1085)+1)</f>
        <v/>
      </c>
      <c r="AB1086" s="40" t="str">
        <f aca="false">IF($F1086="","",$F1086&amp;"#"&amp;COUNTIF($F$4:$F1086,$F1086))</f>
        <v/>
      </c>
      <c r="AC1086" s="40" t="str">
        <f aca="false">IF($B1086="","",IF(AND(OR(CETAK!$J$10="",$F1086=CETAK!$J$10),OR(CETAK!$J$11="",$G1086=CETAK!$J$11),OR(CETAK!$J$12="",$P1086=CETAK!$J$12),OR(CETAK!$J$13="",$N1086=CETAK!$J$13),OR(CETAK!$J$14="",$T1086=CETAK!$J$14)),MAX($AC$3:AC1085)+1,""))</f>
        <v/>
      </c>
      <c r="AD1086" s="40" t="str">
        <f aca="false">IF($B1086="","",IF(AND(OR(ABSENSI!$H$10="",$F1086=ABSENSI!$H$10),OR(ABSENSI!$H$11="",$G1086=ABSENSI!$H$11),OR(ABSENSI!$H$12="",$P1086=ABSENSI!$H$12)),MAX($AD$3:AD1085)+1,""))</f>
        <v/>
      </c>
      <c r="AE1086" s="40" t="str">
        <f aca="false">IF($B1086="","",IF(AND(OR(KARTU!$K$6="",$F1086=KARTU!$K$6),OR(KARTU!$K$7="",$G1086=KARTU!$K$7),OR(KARTU!$K$8="",$P1086=KARTU!$K$8)),MAX($AE$3:AE1085)+1,""))</f>
        <v/>
      </c>
    </row>
    <row r="1087" customFormat="false" ht="15" hidden="false" customHeight="false" outlineLevel="0" collapsed="false">
      <c r="A1087" s="35" t="str">
        <f aca="false">IF($B1087="","",COUNTA($B$4:$B1087))</f>
        <v/>
      </c>
      <c r="B1087" s="36"/>
      <c r="C1087" s="37"/>
      <c r="D1087" s="37"/>
      <c r="E1087" s="38"/>
      <c r="F1087" s="36"/>
      <c r="G1087" s="39"/>
      <c r="H1087" s="39"/>
      <c r="I1087" s="36"/>
      <c r="J1087" s="36"/>
      <c r="K1087" s="36"/>
      <c r="L1087" s="36"/>
      <c r="M1087" s="40" t="str">
        <f aca="false">IF($F1087="","",$F1087&amp;IF($G1087="",""," - RT "&amp;$G1087&amp;IF($H1087="","","/"&amp;$H1087)))</f>
        <v/>
      </c>
      <c r="N1087" s="36"/>
      <c r="O1087" s="37"/>
      <c r="P1087" s="39"/>
      <c r="Q1087" s="41"/>
      <c r="R1087" s="35" t="str">
        <f aca="true">IF(OR($B1087="",$Q1087=""),"",DATEDIF($Q1087,TODAY(),"Y"))</f>
        <v/>
      </c>
      <c r="S1087" s="40" t="str">
        <f aca="false">IF($R1087="","",INDEX(usia_label,MATCH($R1087,usia_min,1)))</f>
        <v/>
      </c>
      <c r="T1087" s="36"/>
      <c r="U1087" s="41"/>
      <c r="V1087" s="36"/>
      <c r="W1087" s="36"/>
      <c r="X1087" s="40" t="str">
        <f aca="false">IF($M1087="","",$M1087&amp;"#"&amp;COUNTIF($M$4:$M1087,$M1087))</f>
        <v/>
      </c>
      <c r="Y1087" s="40" t="str">
        <f aca="false">IF($B1087="","",IF($C1087="","NIK kosong",IF(LEN($C1087)&lt;&gt;16,"NIK bukan 16 digit",IF(COUNTIF($C$4:$C$2003,$C1087&amp;"*")&gt;1,"NIK ganda",IF(AND($D1087&lt;&gt;"",LEN($D1087)&lt;&gt;16),"No. KK bukan 16 digit",IF(AND($F1087="",$I1087=""),"Alamat kosong",IF($N1087="","Jabatan kosong",IF($O1087="","No. HP kosong",IF(AND($R1087&lt;&gt;"",$R1087&lt;17),"Usia di bawah 17","")))))))))</f>
        <v/>
      </c>
      <c r="Z1087" s="40" t="str">
        <f aca="false">IF($B1087="","",IF(AND(OR(CARI!$C$5="",ISNUMBER(SEARCH(CARI!$C$5,$B1087&amp;" "&amp;$C1087&amp;" "&amp;$D1087&amp;" "&amp;$O1087&amp;" "&amp;$I1087&amp;" "&amp;$F1087&amp;" "&amp;$J1087&amp;" "&amp;$K1087&amp;" "&amp;$L1087&amp;" "&amp;$V1087))),OR(CARI!$C$6="",$F1087=CARI!$C$6),OR(CARI!$C$7="",$G1087=CARI!$C$7),OR(CARI!$C$8="",$T1087=CARI!$C$8)),MAX($Z$3:Z1086)+1,""))</f>
        <v/>
      </c>
      <c r="AA1087" s="40" t="str">
        <f aca="false">IF($Y1087="","",MAX($AA$3:AA1086)+1)</f>
        <v/>
      </c>
      <c r="AB1087" s="40" t="str">
        <f aca="false">IF($F1087="","",$F1087&amp;"#"&amp;COUNTIF($F$4:$F1087,$F1087))</f>
        <v/>
      </c>
      <c r="AC1087" s="40" t="str">
        <f aca="false">IF($B1087="","",IF(AND(OR(CETAK!$J$10="",$F1087=CETAK!$J$10),OR(CETAK!$J$11="",$G1087=CETAK!$J$11),OR(CETAK!$J$12="",$P1087=CETAK!$J$12),OR(CETAK!$J$13="",$N1087=CETAK!$J$13),OR(CETAK!$J$14="",$T1087=CETAK!$J$14)),MAX($AC$3:AC1086)+1,""))</f>
        <v/>
      </c>
      <c r="AD1087" s="40" t="str">
        <f aca="false">IF($B1087="","",IF(AND(OR(ABSENSI!$H$10="",$F1087=ABSENSI!$H$10),OR(ABSENSI!$H$11="",$G1087=ABSENSI!$H$11),OR(ABSENSI!$H$12="",$P1087=ABSENSI!$H$12)),MAX($AD$3:AD1086)+1,""))</f>
        <v/>
      </c>
      <c r="AE1087" s="40" t="str">
        <f aca="false">IF($B1087="","",IF(AND(OR(KARTU!$K$6="",$F1087=KARTU!$K$6),OR(KARTU!$K$7="",$G1087=KARTU!$K$7),OR(KARTU!$K$8="",$P1087=KARTU!$K$8)),MAX($AE$3:AE1086)+1,""))</f>
        <v/>
      </c>
    </row>
    <row r="1088" customFormat="false" ht="15" hidden="false" customHeight="false" outlineLevel="0" collapsed="false">
      <c r="A1088" s="35" t="str">
        <f aca="false">IF($B1088="","",COUNTA($B$4:$B1088))</f>
        <v/>
      </c>
      <c r="B1088" s="36"/>
      <c r="C1088" s="37"/>
      <c r="D1088" s="37"/>
      <c r="E1088" s="38"/>
      <c r="F1088" s="36"/>
      <c r="G1088" s="39"/>
      <c r="H1088" s="39"/>
      <c r="I1088" s="36"/>
      <c r="J1088" s="36"/>
      <c r="K1088" s="36"/>
      <c r="L1088" s="36"/>
      <c r="M1088" s="40" t="str">
        <f aca="false">IF($F1088="","",$F1088&amp;IF($G1088="",""," - RT "&amp;$G1088&amp;IF($H1088="","","/"&amp;$H1088)))</f>
        <v/>
      </c>
      <c r="N1088" s="36"/>
      <c r="O1088" s="37"/>
      <c r="P1088" s="39"/>
      <c r="Q1088" s="41"/>
      <c r="R1088" s="35" t="str">
        <f aca="true">IF(OR($B1088="",$Q1088=""),"",DATEDIF($Q1088,TODAY(),"Y"))</f>
        <v/>
      </c>
      <c r="S1088" s="40" t="str">
        <f aca="false">IF($R1088="","",INDEX(usia_label,MATCH($R1088,usia_min,1)))</f>
        <v/>
      </c>
      <c r="T1088" s="36"/>
      <c r="U1088" s="41"/>
      <c r="V1088" s="36"/>
      <c r="W1088" s="36"/>
      <c r="X1088" s="40" t="str">
        <f aca="false">IF($M1088="","",$M1088&amp;"#"&amp;COUNTIF($M$4:$M1088,$M1088))</f>
        <v/>
      </c>
      <c r="Y1088" s="40" t="str">
        <f aca="false">IF($B1088="","",IF($C1088="","NIK kosong",IF(LEN($C1088)&lt;&gt;16,"NIK bukan 16 digit",IF(COUNTIF($C$4:$C$2003,$C1088&amp;"*")&gt;1,"NIK ganda",IF(AND($D1088&lt;&gt;"",LEN($D1088)&lt;&gt;16),"No. KK bukan 16 digit",IF(AND($F1088="",$I1088=""),"Alamat kosong",IF($N1088="","Jabatan kosong",IF($O1088="","No. HP kosong",IF(AND($R1088&lt;&gt;"",$R1088&lt;17),"Usia di bawah 17","")))))))))</f>
        <v/>
      </c>
      <c r="Z1088" s="40" t="str">
        <f aca="false">IF($B1088="","",IF(AND(OR(CARI!$C$5="",ISNUMBER(SEARCH(CARI!$C$5,$B1088&amp;" "&amp;$C1088&amp;" "&amp;$D1088&amp;" "&amp;$O1088&amp;" "&amp;$I1088&amp;" "&amp;$F1088&amp;" "&amp;$J1088&amp;" "&amp;$K1088&amp;" "&amp;$L1088&amp;" "&amp;$V1088))),OR(CARI!$C$6="",$F1088=CARI!$C$6),OR(CARI!$C$7="",$G1088=CARI!$C$7),OR(CARI!$C$8="",$T1088=CARI!$C$8)),MAX($Z$3:Z1087)+1,""))</f>
        <v/>
      </c>
      <c r="AA1088" s="40" t="str">
        <f aca="false">IF($Y1088="","",MAX($AA$3:AA1087)+1)</f>
        <v/>
      </c>
      <c r="AB1088" s="40" t="str">
        <f aca="false">IF($F1088="","",$F1088&amp;"#"&amp;COUNTIF($F$4:$F1088,$F1088))</f>
        <v/>
      </c>
      <c r="AC1088" s="40" t="str">
        <f aca="false">IF($B1088="","",IF(AND(OR(CETAK!$J$10="",$F1088=CETAK!$J$10),OR(CETAK!$J$11="",$G1088=CETAK!$J$11),OR(CETAK!$J$12="",$P1088=CETAK!$J$12),OR(CETAK!$J$13="",$N1088=CETAK!$J$13),OR(CETAK!$J$14="",$T1088=CETAK!$J$14)),MAX($AC$3:AC1087)+1,""))</f>
        <v/>
      </c>
      <c r="AD1088" s="40" t="str">
        <f aca="false">IF($B1088="","",IF(AND(OR(ABSENSI!$H$10="",$F1088=ABSENSI!$H$10),OR(ABSENSI!$H$11="",$G1088=ABSENSI!$H$11),OR(ABSENSI!$H$12="",$P1088=ABSENSI!$H$12)),MAX($AD$3:AD1087)+1,""))</f>
        <v/>
      </c>
      <c r="AE1088" s="40" t="str">
        <f aca="false">IF($B1088="","",IF(AND(OR(KARTU!$K$6="",$F1088=KARTU!$K$6),OR(KARTU!$K$7="",$G1088=KARTU!$K$7),OR(KARTU!$K$8="",$P1088=KARTU!$K$8)),MAX($AE$3:AE1087)+1,""))</f>
        <v/>
      </c>
    </row>
    <row r="1089" customFormat="false" ht="15" hidden="false" customHeight="false" outlineLevel="0" collapsed="false">
      <c r="A1089" s="35" t="str">
        <f aca="false">IF($B1089="","",COUNTA($B$4:$B1089))</f>
        <v/>
      </c>
      <c r="B1089" s="36"/>
      <c r="C1089" s="37"/>
      <c r="D1089" s="37"/>
      <c r="E1089" s="38"/>
      <c r="F1089" s="36"/>
      <c r="G1089" s="39"/>
      <c r="H1089" s="39"/>
      <c r="I1089" s="36"/>
      <c r="J1089" s="36"/>
      <c r="K1089" s="36"/>
      <c r="L1089" s="36"/>
      <c r="M1089" s="40" t="str">
        <f aca="false">IF($F1089="","",$F1089&amp;IF($G1089="",""," - RT "&amp;$G1089&amp;IF($H1089="","","/"&amp;$H1089)))</f>
        <v/>
      </c>
      <c r="N1089" s="36"/>
      <c r="O1089" s="37"/>
      <c r="P1089" s="39"/>
      <c r="Q1089" s="41"/>
      <c r="R1089" s="35" t="str">
        <f aca="true">IF(OR($B1089="",$Q1089=""),"",DATEDIF($Q1089,TODAY(),"Y"))</f>
        <v/>
      </c>
      <c r="S1089" s="40" t="str">
        <f aca="false">IF($R1089="","",INDEX(usia_label,MATCH($R1089,usia_min,1)))</f>
        <v/>
      </c>
      <c r="T1089" s="36"/>
      <c r="U1089" s="41"/>
      <c r="V1089" s="36"/>
      <c r="W1089" s="36"/>
      <c r="X1089" s="40" t="str">
        <f aca="false">IF($M1089="","",$M1089&amp;"#"&amp;COUNTIF($M$4:$M1089,$M1089))</f>
        <v/>
      </c>
      <c r="Y1089" s="40" t="str">
        <f aca="false">IF($B1089="","",IF($C1089="","NIK kosong",IF(LEN($C1089)&lt;&gt;16,"NIK bukan 16 digit",IF(COUNTIF($C$4:$C$2003,$C1089&amp;"*")&gt;1,"NIK ganda",IF(AND($D1089&lt;&gt;"",LEN($D1089)&lt;&gt;16),"No. KK bukan 16 digit",IF(AND($F1089="",$I1089=""),"Alamat kosong",IF($N1089="","Jabatan kosong",IF($O1089="","No. HP kosong",IF(AND($R1089&lt;&gt;"",$R1089&lt;17),"Usia di bawah 17","")))))))))</f>
        <v/>
      </c>
      <c r="Z1089" s="40" t="str">
        <f aca="false">IF($B1089="","",IF(AND(OR(CARI!$C$5="",ISNUMBER(SEARCH(CARI!$C$5,$B1089&amp;" "&amp;$C1089&amp;" "&amp;$D1089&amp;" "&amp;$O1089&amp;" "&amp;$I1089&amp;" "&amp;$F1089&amp;" "&amp;$J1089&amp;" "&amp;$K1089&amp;" "&amp;$L1089&amp;" "&amp;$V1089))),OR(CARI!$C$6="",$F1089=CARI!$C$6),OR(CARI!$C$7="",$G1089=CARI!$C$7),OR(CARI!$C$8="",$T1089=CARI!$C$8)),MAX($Z$3:Z1088)+1,""))</f>
        <v/>
      </c>
      <c r="AA1089" s="40" t="str">
        <f aca="false">IF($Y1089="","",MAX($AA$3:AA1088)+1)</f>
        <v/>
      </c>
      <c r="AB1089" s="40" t="str">
        <f aca="false">IF($F1089="","",$F1089&amp;"#"&amp;COUNTIF($F$4:$F1089,$F1089))</f>
        <v/>
      </c>
      <c r="AC1089" s="40" t="str">
        <f aca="false">IF($B1089="","",IF(AND(OR(CETAK!$J$10="",$F1089=CETAK!$J$10),OR(CETAK!$J$11="",$G1089=CETAK!$J$11),OR(CETAK!$J$12="",$P1089=CETAK!$J$12),OR(CETAK!$J$13="",$N1089=CETAK!$J$13),OR(CETAK!$J$14="",$T1089=CETAK!$J$14)),MAX($AC$3:AC1088)+1,""))</f>
        <v/>
      </c>
      <c r="AD1089" s="40" t="str">
        <f aca="false">IF($B1089="","",IF(AND(OR(ABSENSI!$H$10="",$F1089=ABSENSI!$H$10),OR(ABSENSI!$H$11="",$G1089=ABSENSI!$H$11),OR(ABSENSI!$H$12="",$P1089=ABSENSI!$H$12)),MAX($AD$3:AD1088)+1,""))</f>
        <v/>
      </c>
      <c r="AE1089" s="40" t="str">
        <f aca="false">IF($B1089="","",IF(AND(OR(KARTU!$K$6="",$F1089=KARTU!$K$6),OR(KARTU!$K$7="",$G1089=KARTU!$K$7),OR(KARTU!$K$8="",$P1089=KARTU!$K$8)),MAX($AE$3:AE1088)+1,""))</f>
        <v/>
      </c>
    </row>
    <row r="1090" customFormat="false" ht="15" hidden="false" customHeight="false" outlineLevel="0" collapsed="false">
      <c r="A1090" s="35" t="str">
        <f aca="false">IF($B1090="","",COUNTA($B$4:$B1090))</f>
        <v/>
      </c>
      <c r="B1090" s="36"/>
      <c r="C1090" s="37"/>
      <c r="D1090" s="37"/>
      <c r="E1090" s="38"/>
      <c r="F1090" s="36"/>
      <c r="G1090" s="39"/>
      <c r="H1090" s="39"/>
      <c r="I1090" s="36"/>
      <c r="J1090" s="36"/>
      <c r="K1090" s="36"/>
      <c r="L1090" s="36"/>
      <c r="M1090" s="40" t="str">
        <f aca="false">IF($F1090="","",$F1090&amp;IF($G1090="",""," - RT "&amp;$G1090&amp;IF($H1090="","","/"&amp;$H1090)))</f>
        <v/>
      </c>
      <c r="N1090" s="36"/>
      <c r="O1090" s="37"/>
      <c r="P1090" s="39"/>
      <c r="Q1090" s="41"/>
      <c r="R1090" s="35" t="str">
        <f aca="true">IF(OR($B1090="",$Q1090=""),"",DATEDIF($Q1090,TODAY(),"Y"))</f>
        <v/>
      </c>
      <c r="S1090" s="40" t="str">
        <f aca="false">IF($R1090="","",INDEX(usia_label,MATCH($R1090,usia_min,1)))</f>
        <v/>
      </c>
      <c r="T1090" s="36"/>
      <c r="U1090" s="41"/>
      <c r="V1090" s="36"/>
      <c r="W1090" s="36"/>
      <c r="X1090" s="40" t="str">
        <f aca="false">IF($M1090="","",$M1090&amp;"#"&amp;COUNTIF($M$4:$M1090,$M1090))</f>
        <v/>
      </c>
      <c r="Y1090" s="40" t="str">
        <f aca="false">IF($B1090="","",IF($C1090="","NIK kosong",IF(LEN($C1090)&lt;&gt;16,"NIK bukan 16 digit",IF(COUNTIF($C$4:$C$2003,$C1090&amp;"*")&gt;1,"NIK ganda",IF(AND($D1090&lt;&gt;"",LEN($D1090)&lt;&gt;16),"No. KK bukan 16 digit",IF(AND($F1090="",$I1090=""),"Alamat kosong",IF($N1090="","Jabatan kosong",IF($O1090="","No. HP kosong",IF(AND($R1090&lt;&gt;"",$R1090&lt;17),"Usia di bawah 17","")))))))))</f>
        <v/>
      </c>
      <c r="Z1090" s="40" t="str">
        <f aca="false">IF($B1090="","",IF(AND(OR(CARI!$C$5="",ISNUMBER(SEARCH(CARI!$C$5,$B1090&amp;" "&amp;$C1090&amp;" "&amp;$D1090&amp;" "&amp;$O1090&amp;" "&amp;$I1090&amp;" "&amp;$F1090&amp;" "&amp;$J1090&amp;" "&amp;$K1090&amp;" "&amp;$L1090&amp;" "&amp;$V1090))),OR(CARI!$C$6="",$F1090=CARI!$C$6),OR(CARI!$C$7="",$G1090=CARI!$C$7),OR(CARI!$C$8="",$T1090=CARI!$C$8)),MAX($Z$3:Z1089)+1,""))</f>
        <v/>
      </c>
      <c r="AA1090" s="40" t="str">
        <f aca="false">IF($Y1090="","",MAX($AA$3:AA1089)+1)</f>
        <v/>
      </c>
      <c r="AB1090" s="40" t="str">
        <f aca="false">IF($F1090="","",$F1090&amp;"#"&amp;COUNTIF($F$4:$F1090,$F1090))</f>
        <v/>
      </c>
      <c r="AC1090" s="40" t="str">
        <f aca="false">IF($B1090="","",IF(AND(OR(CETAK!$J$10="",$F1090=CETAK!$J$10),OR(CETAK!$J$11="",$G1090=CETAK!$J$11),OR(CETAK!$J$12="",$P1090=CETAK!$J$12),OR(CETAK!$J$13="",$N1090=CETAK!$J$13),OR(CETAK!$J$14="",$T1090=CETAK!$J$14)),MAX($AC$3:AC1089)+1,""))</f>
        <v/>
      </c>
      <c r="AD1090" s="40" t="str">
        <f aca="false">IF($B1090="","",IF(AND(OR(ABSENSI!$H$10="",$F1090=ABSENSI!$H$10),OR(ABSENSI!$H$11="",$G1090=ABSENSI!$H$11),OR(ABSENSI!$H$12="",$P1090=ABSENSI!$H$12)),MAX($AD$3:AD1089)+1,""))</f>
        <v/>
      </c>
      <c r="AE1090" s="40" t="str">
        <f aca="false">IF($B1090="","",IF(AND(OR(KARTU!$K$6="",$F1090=KARTU!$K$6),OR(KARTU!$K$7="",$G1090=KARTU!$K$7),OR(KARTU!$K$8="",$P1090=KARTU!$K$8)),MAX($AE$3:AE1089)+1,""))</f>
        <v/>
      </c>
    </row>
    <row r="1091" customFormat="false" ht="15" hidden="false" customHeight="false" outlineLevel="0" collapsed="false">
      <c r="A1091" s="35" t="str">
        <f aca="false">IF($B1091="","",COUNTA($B$4:$B1091))</f>
        <v/>
      </c>
      <c r="B1091" s="36"/>
      <c r="C1091" s="37"/>
      <c r="D1091" s="37"/>
      <c r="E1091" s="38"/>
      <c r="F1091" s="36"/>
      <c r="G1091" s="39"/>
      <c r="H1091" s="39"/>
      <c r="I1091" s="36"/>
      <c r="J1091" s="36"/>
      <c r="K1091" s="36"/>
      <c r="L1091" s="36"/>
      <c r="M1091" s="40" t="str">
        <f aca="false">IF($F1091="","",$F1091&amp;IF($G1091="",""," - RT "&amp;$G1091&amp;IF($H1091="","","/"&amp;$H1091)))</f>
        <v/>
      </c>
      <c r="N1091" s="36"/>
      <c r="O1091" s="37"/>
      <c r="P1091" s="39"/>
      <c r="Q1091" s="41"/>
      <c r="R1091" s="35" t="str">
        <f aca="true">IF(OR($B1091="",$Q1091=""),"",DATEDIF($Q1091,TODAY(),"Y"))</f>
        <v/>
      </c>
      <c r="S1091" s="40" t="str">
        <f aca="false">IF($R1091="","",INDEX(usia_label,MATCH($R1091,usia_min,1)))</f>
        <v/>
      </c>
      <c r="T1091" s="36"/>
      <c r="U1091" s="41"/>
      <c r="V1091" s="36"/>
      <c r="W1091" s="36"/>
      <c r="X1091" s="40" t="str">
        <f aca="false">IF($M1091="","",$M1091&amp;"#"&amp;COUNTIF($M$4:$M1091,$M1091))</f>
        <v/>
      </c>
      <c r="Y1091" s="40" t="str">
        <f aca="false">IF($B1091="","",IF($C1091="","NIK kosong",IF(LEN($C1091)&lt;&gt;16,"NIK bukan 16 digit",IF(COUNTIF($C$4:$C$2003,$C1091&amp;"*")&gt;1,"NIK ganda",IF(AND($D1091&lt;&gt;"",LEN($D1091)&lt;&gt;16),"No. KK bukan 16 digit",IF(AND($F1091="",$I1091=""),"Alamat kosong",IF($N1091="","Jabatan kosong",IF($O1091="","No. HP kosong",IF(AND($R1091&lt;&gt;"",$R1091&lt;17),"Usia di bawah 17","")))))))))</f>
        <v/>
      </c>
      <c r="Z1091" s="40" t="str">
        <f aca="false">IF($B1091="","",IF(AND(OR(CARI!$C$5="",ISNUMBER(SEARCH(CARI!$C$5,$B1091&amp;" "&amp;$C1091&amp;" "&amp;$D1091&amp;" "&amp;$O1091&amp;" "&amp;$I1091&amp;" "&amp;$F1091&amp;" "&amp;$J1091&amp;" "&amp;$K1091&amp;" "&amp;$L1091&amp;" "&amp;$V1091))),OR(CARI!$C$6="",$F1091=CARI!$C$6),OR(CARI!$C$7="",$G1091=CARI!$C$7),OR(CARI!$C$8="",$T1091=CARI!$C$8)),MAX($Z$3:Z1090)+1,""))</f>
        <v/>
      </c>
      <c r="AA1091" s="40" t="str">
        <f aca="false">IF($Y1091="","",MAX($AA$3:AA1090)+1)</f>
        <v/>
      </c>
      <c r="AB1091" s="40" t="str">
        <f aca="false">IF($F1091="","",$F1091&amp;"#"&amp;COUNTIF($F$4:$F1091,$F1091))</f>
        <v/>
      </c>
      <c r="AC1091" s="40" t="str">
        <f aca="false">IF($B1091="","",IF(AND(OR(CETAK!$J$10="",$F1091=CETAK!$J$10),OR(CETAK!$J$11="",$G1091=CETAK!$J$11),OR(CETAK!$J$12="",$P1091=CETAK!$J$12),OR(CETAK!$J$13="",$N1091=CETAK!$J$13),OR(CETAK!$J$14="",$T1091=CETAK!$J$14)),MAX($AC$3:AC1090)+1,""))</f>
        <v/>
      </c>
      <c r="AD1091" s="40" t="str">
        <f aca="false">IF($B1091="","",IF(AND(OR(ABSENSI!$H$10="",$F1091=ABSENSI!$H$10),OR(ABSENSI!$H$11="",$G1091=ABSENSI!$H$11),OR(ABSENSI!$H$12="",$P1091=ABSENSI!$H$12)),MAX($AD$3:AD1090)+1,""))</f>
        <v/>
      </c>
      <c r="AE1091" s="40" t="str">
        <f aca="false">IF($B1091="","",IF(AND(OR(KARTU!$K$6="",$F1091=KARTU!$K$6),OR(KARTU!$K$7="",$G1091=KARTU!$K$7),OR(KARTU!$K$8="",$P1091=KARTU!$K$8)),MAX($AE$3:AE1090)+1,""))</f>
        <v/>
      </c>
    </row>
    <row r="1092" customFormat="false" ht="15" hidden="false" customHeight="false" outlineLevel="0" collapsed="false">
      <c r="A1092" s="35" t="str">
        <f aca="false">IF($B1092="","",COUNTA($B$4:$B1092))</f>
        <v/>
      </c>
      <c r="B1092" s="36"/>
      <c r="C1092" s="37"/>
      <c r="D1092" s="37"/>
      <c r="E1092" s="38"/>
      <c r="F1092" s="36"/>
      <c r="G1092" s="39"/>
      <c r="H1092" s="39"/>
      <c r="I1092" s="36"/>
      <c r="J1092" s="36"/>
      <c r="K1092" s="36"/>
      <c r="L1092" s="36"/>
      <c r="M1092" s="40" t="str">
        <f aca="false">IF($F1092="","",$F1092&amp;IF($G1092="",""," - RT "&amp;$G1092&amp;IF($H1092="","","/"&amp;$H1092)))</f>
        <v/>
      </c>
      <c r="N1092" s="36"/>
      <c r="O1092" s="37"/>
      <c r="P1092" s="39"/>
      <c r="Q1092" s="41"/>
      <c r="R1092" s="35" t="str">
        <f aca="true">IF(OR($B1092="",$Q1092=""),"",DATEDIF($Q1092,TODAY(),"Y"))</f>
        <v/>
      </c>
      <c r="S1092" s="40" t="str">
        <f aca="false">IF($R1092="","",INDEX(usia_label,MATCH($R1092,usia_min,1)))</f>
        <v/>
      </c>
      <c r="T1092" s="36"/>
      <c r="U1092" s="41"/>
      <c r="V1092" s="36"/>
      <c r="W1092" s="36"/>
      <c r="X1092" s="40" t="str">
        <f aca="false">IF($M1092="","",$M1092&amp;"#"&amp;COUNTIF($M$4:$M1092,$M1092))</f>
        <v/>
      </c>
      <c r="Y1092" s="40" t="str">
        <f aca="false">IF($B1092="","",IF($C1092="","NIK kosong",IF(LEN($C1092)&lt;&gt;16,"NIK bukan 16 digit",IF(COUNTIF($C$4:$C$2003,$C1092&amp;"*")&gt;1,"NIK ganda",IF(AND($D1092&lt;&gt;"",LEN($D1092)&lt;&gt;16),"No. KK bukan 16 digit",IF(AND($F1092="",$I1092=""),"Alamat kosong",IF($N1092="","Jabatan kosong",IF($O1092="","No. HP kosong",IF(AND($R1092&lt;&gt;"",$R1092&lt;17),"Usia di bawah 17","")))))))))</f>
        <v/>
      </c>
      <c r="Z1092" s="40" t="str">
        <f aca="false">IF($B1092="","",IF(AND(OR(CARI!$C$5="",ISNUMBER(SEARCH(CARI!$C$5,$B1092&amp;" "&amp;$C1092&amp;" "&amp;$D1092&amp;" "&amp;$O1092&amp;" "&amp;$I1092&amp;" "&amp;$F1092&amp;" "&amp;$J1092&amp;" "&amp;$K1092&amp;" "&amp;$L1092&amp;" "&amp;$V1092))),OR(CARI!$C$6="",$F1092=CARI!$C$6),OR(CARI!$C$7="",$G1092=CARI!$C$7),OR(CARI!$C$8="",$T1092=CARI!$C$8)),MAX($Z$3:Z1091)+1,""))</f>
        <v/>
      </c>
      <c r="AA1092" s="40" t="str">
        <f aca="false">IF($Y1092="","",MAX($AA$3:AA1091)+1)</f>
        <v/>
      </c>
      <c r="AB1092" s="40" t="str">
        <f aca="false">IF($F1092="","",$F1092&amp;"#"&amp;COUNTIF($F$4:$F1092,$F1092))</f>
        <v/>
      </c>
      <c r="AC1092" s="40" t="str">
        <f aca="false">IF($B1092="","",IF(AND(OR(CETAK!$J$10="",$F1092=CETAK!$J$10),OR(CETAK!$J$11="",$G1092=CETAK!$J$11),OR(CETAK!$J$12="",$P1092=CETAK!$J$12),OR(CETAK!$J$13="",$N1092=CETAK!$J$13),OR(CETAK!$J$14="",$T1092=CETAK!$J$14)),MAX($AC$3:AC1091)+1,""))</f>
        <v/>
      </c>
      <c r="AD1092" s="40" t="str">
        <f aca="false">IF($B1092="","",IF(AND(OR(ABSENSI!$H$10="",$F1092=ABSENSI!$H$10),OR(ABSENSI!$H$11="",$G1092=ABSENSI!$H$11),OR(ABSENSI!$H$12="",$P1092=ABSENSI!$H$12)),MAX($AD$3:AD1091)+1,""))</f>
        <v/>
      </c>
      <c r="AE1092" s="40" t="str">
        <f aca="false">IF($B1092="","",IF(AND(OR(KARTU!$K$6="",$F1092=KARTU!$K$6),OR(KARTU!$K$7="",$G1092=KARTU!$K$7),OR(KARTU!$K$8="",$P1092=KARTU!$K$8)),MAX($AE$3:AE1091)+1,""))</f>
        <v/>
      </c>
    </row>
    <row r="1093" customFormat="false" ht="15" hidden="false" customHeight="false" outlineLevel="0" collapsed="false">
      <c r="A1093" s="35" t="str">
        <f aca="false">IF($B1093="","",COUNTA($B$4:$B1093))</f>
        <v/>
      </c>
      <c r="B1093" s="36"/>
      <c r="C1093" s="37"/>
      <c r="D1093" s="37"/>
      <c r="E1093" s="38"/>
      <c r="F1093" s="36"/>
      <c r="G1093" s="39"/>
      <c r="H1093" s="39"/>
      <c r="I1093" s="36"/>
      <c r="J1093" s="36"/>
      <c r="K1093" s="36"/>
      <c r="L1093" s="36"/>
      <c r="M1093" s="40" t="str">
        <f aca="false">IF($F1093="","",$F1093&amp;IF($G1093="",""," - RT "&amp;$G1093&amp;IF($H1093="","","/"&amp;$H1093)))</f>
        <v/>
      </c>
      <c r="N1093" s="36"/>
      <c r="O1093" s="37"/>
      <c r="P1093" s="39"/>
      <c r="Q1093" s="41"/>
      <c r="R1093" s="35" t="str">
        <f aca="true">IF(OR($B1093="",$Q1093=""),"",DATEDIF($Q1093,TODAY(),"Y"))</f>
        <v/>
      </c>
      <c r="S1093" s="40" t="str">
        <f aca="false">IF($R1093="","",INDEX(usia_label,MATCH($R1093,usia_min,1)))</f>
        <v/>
      </c>
      <c r="T1093" s="36"/>
      <c r="U1093" s="41"/>
      <c r="V1093" s="36"/>
      <c r="W1093" s="36"/>
      <c r="X1093" s="40" t="str">
        <f aca="false">IF($M1093="","",$M1093&amp;"#"&amp;COUNTIF($M$4:$M1093,$M1093))</f>
        <v/>
      </c>
      <c r="Y1093" s="40" t="str">
        <f aca="false">IF($B1093="","",IF($C1093="","NIK kosong",IF(LEN($C1093)&lt;&gt;16,"NIK bukan 16 digit",IF(COUNTIF($C$4:$C$2003,$C1093&amp;"*")&gt;1,"NIK ganda",IF(AND($D1093&lt;&gt;"",LEN($D1093)&lt;&gt;16),"No. KK bukan 16 digit",IF(AND($F1093="",$I1093=""),"Alamat kosong",IF($N1093="","Jabatan kosong",IF($O1093="","No. HP kosong",IF(AND($R1093&lt;&gt;"",$R1093&lt;17),"Usia di bawah 17","")))))))))</f>
        <v/>
      </c>
      <c r="Z1093" s="40" t="str">
        <f aca="false">IF($B1093="","",IF(AND(OR(CARI!$C$5="",ISNUMBER(SEARCH(CARI!$C$5,$B1093&amp;" "&amp;$C1093&amp;" "&amp;$D1093&amp;" "&amp;$O1093&amp;" "&amp;$I1093&amp;" "&amp;$F1093&amp;" "&amp;$J1093&amp;" "&amp;$K1093&amp;" "&amp;$L1093&amp;" "&amp;$V1093))),OR(CARI!$C$6="",$F1093=CARI!$C$6),OR(CARI!$C$7="",$G1093=CARI!$C$7),OR(CARI!$C$8="",$T1093=CARI!$C$8)),MAX($Z$3:Z1092)+1,""))</f>
        <v/>
      </c>
      <c r="AA1093" s="40" t="str">
        <f aca="false">IF($Y1093="","",MAX($AA$3:AA1092)+1)</f>
        <v/>
      </c>
      <c r="AB1093" s="40" t="str">
        <f aca="false">IF($F1093="","",$F1093&amp;"#"&amp;COUNTIF($F$4:$F1093,$F1093))</f>
        <v/>
      </c>
      <c r="AC1093" s="40" t="str">
        <f aca="false">IF($B1093="","",IF(AND(OR(CETAK!$J$10="",$F1093=CETAK!$J$10),OR(CETAK!$J$11="",$G1093=CETAK!$J$11),OR(CETAK!$J$12="",$P1093=CETAK!$J$12),OR(CETAK!$J$13="",$N1093=CETAK!$J$13),OR(CETAK!$J$14="",$T1093=CETAK!$J$14)),MAX($AC$3:AC1092)+1,""))</f>
        <v/>
      </c>
      <c r="AD1093" s="40" t="str">
        <f aca="false">IF($B1093="","",IF(AND(OR(ABSENSI!$H$10="",$F1093=ABSENSI!$H$10),OR(ABSENSI!$H$11="",$G1093=ABSENSI!$H$11),OR(ABSENSI!$H$12="",$P1093=ABSENSI!$H$12)),MAX($AD$3:AD1092)+1,""))</f>
        <v/>
      </c>
      <c r="AE1093" s="40" t="str">
        <f aca="false">IF($B1093="","",IF(AND(OR(KARTU!$K$6="",$F1093=KARTU!$K$6),OR(KARTU!$K$7="",$G1093=KARTU!$K$7),OR(KARTU!$K$8="",$P1093=KARTU!$K$8)),MAX($AE$3:AE1092)+1,""))</f>
        <v/>
      </c>
    </row>
    <row r="1094" customFormat="false" ht="15" hidden="false" customHeight="false" outlineLevel="0" collapsed="false">
      <c r="A1094" s="35" t="str">
        <f aca="false">IF($B1094="","",COUNTA($B$4:$B1094))</f>
        <v/>
      </c>
      <c r="B1094" s="36"/>
      <c r="C1094" s="37"/>
      <c r="D1094" s="37"/>
      <c r="E1094" s="38"/>
      <c r="F1094" s="36"/>
      <c r="G1094" s="39"/>
      <c r="H1094" s="39"/>
      <c r="I1094" s="36"/>
      <c r="J1094" s="36"/>
      <c r="K1094" s="36"/>
      <c r="L1094" s="36"/>
      <c r="M1094" s="40" t="str">
        <f aca="false">IF($F1094="","",$F1094&amp;IF($G1094="",""," - RT "&amp;$G1094&amp;IF($H1094="","","/"&amp;$H1094)))</f>
        <v/>
      </c>
      <c r="N1094" s="36"/>
      <c r="O1094" s="37"/>
      <c r="P1094" s="39"/>
      <c r="Q1094" s="41"/>
      <c r="R1094" s="35" t="str">
        <f aca="true">IF(OR($B1094="",$Q1094=""),"",DATEDIF($Q1094,TODAY(),"Y"))</f>
        <v/>
      </c>
      <c r="S1094" s="40" t="str">
        <f aca="false">IF($R1094="","",INDEX(usia_label,MATCH($R1094,usia_min,1)))</f>
        <v/>
      </c>
      <c r="T1094" s="36"/>
      <c r="U1094" s="41"/>
      <c r="V1094" s="36"/>
      <c r="W1094" s="36"/>
      <c r="X1094" s="40" t="str">
        <f aca="false">IF($M1094="","",$M1094&amp;"#"&amp;COUNTIF($M$4:$M1094,$M1094))</f>
        <v/>
      </c>
      <c r="Y1094" s="40" t="str">
        <f aca="false">IF($B1094="","",IF($C1094="","NIK kosong",IF(LEN($C1094)&lt;&gt;16,"NIK bukan 16 digit",IF(COUNTIF($C$4:$C$2003,$C1094&amp;"*")&gt;1,"NIK ganda",IF(AND($D1094&lt;&gt;"",LEN($D1094)&lt;&gt;16),"No. KK bukan 16 digit",IF(AND($F1094="",$I1094=""),"Alamat kosong",IF($N1094="","Jabatan kosong",IF($O1094="","No. HP kosong",IF(AND($R1094&lt;&gt;"",$R1094&lt;17),"Usia di bawah 17","")))))))))</f>
        <v/>
      </c>
      <c r="Z1094" s="40" t="str">
        <f aca="false">IF($B1094="","",IF(AND(OR(CARI!$C$5="",ISNUMBER(SEARCH(CARI!$C$5,$B1094&amp;" "&amp;$C1094&amp;" "&amp;$D1094&amp;" "&amp;$O1094&amp;" "&amp;$I1094&amp;" "&amp;$F1094&amp;" "&amp;$J1094&amp;" "&amp;$K1094&amp;" "&amp;$L1094&amp;" "&amp;$V1094))),OR(CARI!$C$6="",$F1094=CARI!$C$6),OR(CARI!$C$7="",$G1094=CARI!$C$7),OR(CARI!$C$8="",$T1094=CARI!$C$8)),MAX($Z$3:Z1093)+1,""))</f>
        <v/>
      </c>
      <c r="AA1094" s="40" t="str">
        <f aca="false">IF($Y1094="","",MAX($AA$3:AA1093)+1)</f>
        <v/>
      </c>
      <c r="AB1094" s="40" t="str">
        <f aca="false">IF($F1094="","",$F1094&amp;"#"&amp;COUNTIF($F$4:$F1094,$F1094))</f>
        <v/>
      </c>
      <c r="AC1094" s="40" t="str">
        <f aca="false">IF($B1094="","",IF(AND(OR(CETAK!$J$10="",$F1094=CETAK!$J$10),OR(CETAK!$J$11="",$G1094=CETAK!$J$11),OR(CETAK!$J$12="",$P1094=CETAK!$J$12),OR(CETAK!$J$13="",$N1094=CETAK!$J$13),OR(CETAK!$J$14="",$T1094=CETAK!$J$14)),MAX($AC$3:AC1093)+1,""))</f>
        <v/>
      </c>
      <c r="AD1094" s="40" t="str">
        <f aca="false">IF($B1094="","",IF(AND(OR(ABSENSI!$H$10="",$F1094=ABSENSI!$H$10),OR(ABSENSI!$H$11="",$G1094=ABSENSI!$H$11),OR(ABSENSI!$H$12="",$P1094=ABSENSI!$H$12)),MAX($AD$3:AD1093)+1,""))</f>
        <v/>
      </c>
      <c r="AE1094" s="40" t="str">
        <f aca="false">IF($B1094="","",IF(AND(OR(KARTU!$K$6="",$F1094=KARTU!$K$6),OR(KARTU!$K$7="",$G1094=KARTU!$K$7),OR(KARTU!$K$8="",$P1094=KARTU!$K$8)),MAX($AE$3:AE1093)+1,""))</f>
        <v/>
      </c>
    </row>
    <row r="1095" customFormat="false" ht="15" hidden="false" customHeight="false" outlineLevel="0" collapsed="false">
      <c r="A1095" s="35" t="str">
        <f aca="false">IF($B1095="","",COUNTA($B$4:$B1095))</f>
        <v/>
      </c>
      <c r="B1095" s="36"/>
      <c r="C1095" s="37"/>
      <c r="D1095" s="37"/>
      <c r="E1095" s="38"/>
      <c r="F1095" s="36"/>
      <c r="G1095" s="39"/>
      <c r="H1095" s="39"/>
      <c r="I1095" s="36"/>
      <c r="J1095" s="36"/>
      <c r="K1095" s="36"/>
      <c r="L1095" s="36"/>
      <c r="M1095" s="40" t="str">
        <f aca="false">IF($F1095="","",$F1095&amp;IF($G1095="",""," - RT "&amp;$G1095&amp;IF($H1095="","","/"&amp;$H1095)))</f>
        <v/>
      </c>
      <c r="N1095" s="36"/>
      <c r="O1095" s="37"/>
      <c r="P1095" s="39"/>
      <c r="Q1095" s="41"/>
      <c r="R1095" s="35" t="str">
        <f aca="true">IF(OR($B1095="",$Q1095=""),"",DATEDIF($Q1095,TODAY(),"Y"))</f>
        <v/>
      </c>
      <c r="S1095" s="40" t="str">
        <f aca="false">IF($R1095="","",INDEX(usia_label,MATCH($R1095,usia_min,1)))</f>
        <v/>
      </c>
      <c r="T1095" s="36"/>
      <c r="U1095" s="41"/>
      <c r="V1095" s="36"/>
      <c r="W1095" s="36"/>
      <c r="X1095" s="40" t="str">
        <f aca="false">IF($M1095="","",$M1095&amp;"#"&amp;COUNTIF($M$4:$M1095,$M1095))</f>
        <v/>
      </c>
      <c r="Y1095" s="40" t="str">
        <f aca="false">IF($B1095="","",IF($C1095="","NIK kosong",IF(LEN($C1095)&lt;&gt;16,"NIK bukan 16 digit",IF(COUNTIF($C$4:$C$2003,$C1095&amp;"*")&gt;1,"NIK ganda",IF(AND($D1095&lt;&gt;"",LEN($D1095)&lt;&gt;16),"No. KK bukan 16 digit",IF(AND($F1095="",$I1095=""),"Alamat kosong",IF($N1095="","Jabatan kosong",IF($O1095="","No. HP kosong",IF(AND($R1095&lt;&gt;"",$R1095&lt;17),"Usia di bawah 17","")))))))))</f>
        <v/>
      </c>
      <c r="Z1095" s="40" t="str">
        <f aca="false">IF($B1095="","",IF(AND(OR(CARI!$C$5="",ISNUMBER(SEARCH(CARI!$C$5,$B1095&amp;" "&amp;$C1095&amp;" "&amp;$D1095&amp;" "&amp;$O1095&amp;" "&amp;$I1095&amp;" "&amp;$F1095&amp;" "&amp;$J1095&amp;" "&amp;$K1095&amp;" "&amp;$L1095&amp;" "&amp;$V1095))),OR(CARI!$C$6="",$F1095=CARI!$C$6),OR(CARI!$C$7="",$G1095=CARI!$C$7),OR(CARI!$C$8="",$T1095=CARI!$C$8)),MAX($Z$3:Z1094)+1,""))</f>
        <v/>
      </c>
      <c r="AA1095" s="40" t="str">
        <f aca="false">IF($Y1095="","",MAX($AA$3:AA1094)+1)</f>
        <v/>
      </c>
      <c r="AB1095" s="40" t="str">
        <f aca="false">IF($F1095="","",$F1095&amp;"#"&amp;COUNTIF($F$4:$F1095,$F1095))</f>
        <v/>
      </c>
      <c r="AC1095" s="40" t="str">
        <f aca="false">IF($B1095="","",IF(AND(OR(CETAK!$J$10="",$F1095=CETAK!$J$10),OR(CETAK!$J$11="",$G1095=CETAK!$J$11),OR(CETAK!$J$12="",$P1095=CETAK!$J$12),OR(CETAK!$J$13="",$N1095=CETAK!$J$13),OR(CETAK!$J$14="",$T1095=CETAK!$J$14)),MAX($AC$3:AC1094)+1,""))</f>
        <v/>
      </c>
      <c r="AD1095" s="40" t="str">
        <f aca="false">IF($B1095="","",IF(AND(OR(ABSENSI!$H$10="",$F1095=ABSENSI!$H$10),OR(ABSENSI!$H$11="",$G1095=ABSENSI!$H$11),OR(ABSENSI!$H$12="",$P1095=ABSENSI!$H$12)),MAX($AD$3:AD1094)+1,""))</f>
        <v/>
      </c>
      <c r="AE1095" s="40" t="str">
        <f aca="false">IF($B1095="","",IF(AND(OR(KARTU!$K$6="",$F1095=KARTU!$K$6),OR(KARTU!$K$7="",$G1095=KARTU!$K$7),OR(KARTU!$K$8="",$P1095=KARTU!$K$8)),MAX($AE$3:AE1094)+1,""))</f>
        <v/>
      </c>
    </row>
    <row r="1096" customFormat="false" ht="15" hidden="false" customHeight="false" outlineLevel="0" collapsed="false">
      <c r="A1096" s="35" t="str">
        <f aca="false">IF($B1096="","",COUNTA($B$4:$B1096))</f>
        <v/>
      </c>
      <c r="B1096" s="36"/>
      <c r="C1096" s="37"/>
      <c r="D1096" s="37"/>
      <c r="E1096" s="38"/>
      <c r="F1096" s="36"/>
      <c r="G1096" s="39"/>
      <c r="H1096" s="39"/>
      <c r="I1096" s="36"/>
      <c r="J1096" s="36"/>
      <c r="K1096" s="36"/>
      <c r="L1096" s="36"/>
      <c r="M1096" s="40" t="str">
        <f aca="false">IF($F1096="","",$F1096&amp;IF($G1096="",""," - RT "&amp;$G1096&amp;IF($H1096="","","/"&amp;$H1096)))</f>
        <v/>
      </c>
      <c r="N1096" s="36"/>
      <c r="O1096" s="37"/>
      <c r="P1096" s="39"/>
      <c r="Q1096" s="41"/>
      <c r="R1096" s="35" t="str">
        <f aca="true">IF(OR($B1096="",$Q1096=""),"",DATEDIF($Q1096,TODAY(),"Y"))</f>
        <v/>
      </c>
      <c r="S1096" s="40" t="str">
        <f aca="false">IF($R1096="","",INDEX(usia_label,MATCH($R1096,usia_min,1)))</f>
        <v/>
      </c>
      <c r="T1096" s="36"/>
      <c r="U1096" s="41"/>
      <c r="V1096" s="36"/>
      <c r="W1096" s="36"/>
      <c r="X1096" s="40" t="str">
        <f aca="false">IF($M1096="","",$M1096&amp;"#"&amp;COUNTIF($M$4:$M1096,$M1096))</f>
        <v/>
      </c>
      <c r="Y1096" s="40" t="str">
        <f aca="false">IF($B1096="","",IF($C1096="","NIK kosong",IF(LEN($C1096)&lt;&gt;16,"NIK bukan 16 digit",IF(COUNTIF($C$4:$C$2003,$C1096&amp;"*")&gt;1,"NIK ganda",IF(AND($D1096&lt;&gt;"",LEN($D1096)&lt;&gt;16),"No. KK bukan 16 digit",IF(AND($F1096="",$I1096=""),"Alamat kosong",IF($N1096="","Jabatan kosong",IF($O1096="","No. HP kosong",IF(AND($R1096&lt;&gt;"",$R1096&lt;17),"Usia di bawah 17","")))))))))</f>
        <v/>
      </c>
      <c r="Z1096" s="40" t="str">
        <f aca="false">IF($B1096="","",IF(AND(OR(CARI!$C$5="",ISNUMBER(SEARCH(CARI!$C$5,$B1096&amp;" "&amp;$C1096&amp;" "&amp;$D1096&amp;" "&amp;$O1096&amp;" "&amp;$I1096&amp;" "&amp;$F1096&amp;" "&amp;$J1096&amp;" "&amp;$K1096&amp;" "&amp;$L1096&amp;" "&amp;$V1096))),OR(CARI!$C$6="",$F1096=CARI!$C$6),OR(CARI!$C$7="",$G1096=CARI!$C$7),OR(CARI!$C$8="",$T1096=CARI!$C$8)),MAX($Z$3:Z1095)+1,""))</f>
        <v/>
      </c>
      <c r="AA1096" s="40" t="str">
        <f aca="false">IF($Y1096="","",MAX($AA$3:AA1095)+1)</f>
        <v/>
      </c>
      <c r="AB1096" s="40" t="str">
        <f aca="false">IF($F1096="","",$F1096&amp;"#"&amp;COUNTIF($F$4:$F1096,$F1096))</f>
        <v/>
      </c>
      <c r="AC1096" s="40" t="str">
        <f aca="false">IF($B1096="","",IF(AND(OR(CETAK!$J$10="",$F1096=CETAK!$J$10),OR(CETAK!$J$11="",$G1096=CETAK!$J$11),OR(CETAK!$J$12="",$P1096=CETAK!$J$12),OR(CETAK!$J$13="",$N1096=CETAK!$J$13),OR(CETAK!$J$14="",$T1096=CETAK!$J$14)),MAX($AC$3:AC1095)+1,""))</f>
        <v/>
      </c>
      <c r="AD1096" s="40" t="str">
        <f aca="false">IF($B1096="","",IF(AND(OR(ABSENSI!$H$10="",$F1096=ABSENSI!$H$10),OR(ABSENSI!$H$11="",$G1096=ABSENSI!$H$11),OR(ABSENSI!$H$12="",$P1096=ABSENSI!$H$12)),MAX($AD$3:AD1095)+1,""))</f>
        <v/>
      </c>
      <c r="AE1096" s="40" t="str">
        <f aca="false">IF($B1096="","",IF(AND(OR(KARTU!$K$6="",$F1096=KARTU!$K$6),OR(KARTU!$K$7="",$G1096=KARTU!$K$7),OR(KARTU!$K$8="",$P1096=KARTU!$K$8)),MAX($AE$3:AE1095)+1,""))</f>
        <v/>
      </c>
    </row>
    <row r="1097" customFormat="false" ht="15" hidden="false" customHeight="false" outlineLevel="0" collapsed="false">
      <c r="A1097" s="35" t="str">
        <f aca="false">IF($B1097="","",COUNTA($B$4:$B1097))</f>
        <v/>
      </c>
      <c r="B1097" s="36"/>
      <c r="C1097" s="37"/>
      <c r="D1097" s="37"/>
      <c r="E1097" s="38"/>
      <c r="F1097" s="36"/>
      <c r="G1097" s="39"/>
      <c r="H1097" s="39"/>
      <c r="I1097" s="36"/>
      <c r="J1097" s="36"/>
      <c r="K1097" s="36"/>
      <c r="L1097" s="36"/>
      <c r="M1097" s="40" t="str">
        <f aca="false">IF($F1097="","",$F1097&amp;IF($G1097="",""," - RT "&amp;$G1097&amp;IF($H1097="","","/"&amp;$H1097)))</f>
        <v/>
      </c>
      <c r="N1097" s="36"/>
      <c r="O1097" s="37"/>
      <c r="P1097" s="39"/>
      <c r="Q1097" s="41"/>
      <c r="R1097" s="35" t="str">
        <f aca="true">IF(OR($B1097="",$Q1097=""),"",DATEDIF($Q1097,TODAY(),"Y"))</f>
        <v/>
      </c>
      <c r="S1097" s="40" t="str">
        <f aca="false">IF($R1097="","",INDEX(usia_label,MATCH($R1097,usia_min,1)))</f>
        <v/>
      </c>
      <c r="T1097" s="36"/>
      <c r="U1097" s="41"/>
      <c r="V1097" s="36"/>
      <c r="W1097" s="36"/>
      <c r="X1097" s="40" t="str">
        <f aca="false">IF($M1097="","",$M1097&amp;"#"&amp;COUNTIF($M$4:$M1097,$M1097))</f>
        <v/>
      </c>
      <c r="Y1097" s="40" t="str">
        <f aca="false">IF($B1097="","",IF($C1097="","NIK kosong",IF(LEN($C1097)&lt;&gt;16,"NIK bukan 16 digit",IF(COUNTIF($C$4:$C$2003,$C1097&amp;"*")&gt;1,"NIK ganda",IF(AND($D1097&lt;&gt;"",LEN($D1097)&lt;&gt;16),"No. KK bukan 16 digit",IF(AND($F1097="",$I1097=""),"Alamat kosong",IF($N1097="","Jabatan kosong",IF($O1097="","No. HP kosong",IF(AND($R1097&lt;&gt;"",$R1097&lt;17),"Usia di bawah 17","")))))))))</f>
        <v/>
      </c>
      <c r="Z1097" s="40" t="str">
        <f aca="false">IF($B1097="","",IF(AND(OR(CARI!$C$5="",ISNUMBER(SEARCH(CARI!$C$5,$B1097&amp;" "&amp;$C1097&amp;" "&amp;$D1097&amp;" "&amp;$O1097&amp;" "&amp;$I1097&amp;" "&amp;$F1097&amp;" "&amp;$J1097&amp;" "&amp;$K1097&amp;" "&amp;$L1097&amp;" "&amp;$V1097))),OR(CARI!$C$6="",$F1097=CARI!$C$6),OR(CARI!$C$7="",$G1097=CARI!$C$7),OR(CARI!$C$8="",$T1097=CARI!$C$8)),MAX($Z$3:Z1096)+1,""))</f>
        <v/>
      </c>
      <c r="AA1097" s="40" t="str">
        <f aca="false">IF($Y1097="","",MAX($AA$3:AA1096)+1)</f>
        <v/>
      </c>
      <c r="AB1097" s="40" t="str">
        <f aca="false">IF($F1097="","",$F1097&amp;"#"&amp;COUNTIF($F$4:$F1097,$F1097))</f>
        <v/>
      </c>
      <c r="AC1097" s="40" t="str">
        <f aca="false">IF($B1097="","",IF(AND(OR(CETAK!$J$10="",$F1097=CETAK!$J$10),OR(CETAK!$J$11="",$G1097=CETAK!$J$11),OR(CETAK!$J$12="",$P1097=CETAK!$J$12),OR(CETAK!$J$13="",$N1097=CETAK!$J$13),OR(CETAK!$J$14="",$T1097=CETAK!$J$14)),MAX($AC$3:AC1096)+1,""))</f>
        <v/>
      </c>
      <c r="AD1097" s="40" t="str">
        <f aca="false">IF($B1097="","",IF(AND(OR(ABSENSI!$H$10="",$F1097=ABSENSI!$H$10),OR(ABSENSI!$H$11="",$G1097=ABSENSI!$H$11),OR(ABSENSI!$H$12="",$P1097=ABSENSI!$H$12)),MAX($AD$3:AD1096)+1,""))</f>
        <v/>
      </c>
      <c r="AE1097" s="40" t="str">
        <f aca="false">IF($B1097="","",IF(AND(OR(KARTU!$K$6="",$F1097=KARTU!$K$6),OR(KARTU!$K$7="",$G1097=KARTU!$K$7),OR(KARTU!$K$8="",$P1097=KARTU!$K$8)),MAX($AE$3:AE1096)+1,""))</f>
        <v/>
      </c>
    </row>
    <row r="1098" customFormat="false" ht="15" hidden="false" customHeight="false" outlineLevel="0" collapsed="false">
      <c r="A1098" s="35" t="str">
        <f aca="false">IF($B1098="","",COUNTA($B$4:$B1098))</f>
        <v/>
      </c>
      <c r="B1098" s="36"/>
      <c r="C1098" s="37"/>
      <c r="D1098" s="37"/>
      <c r="E1098" s="38"/>
      <c r="F1098" s="36"/>
      <c r="G1098" s="39"/>
      <c r="H1098" s="39"/>
      <c r="I1098" s="36"/>
      <c r="J1098" s="36"/>
      <c r="K1098" s="36"/>
      <c r="L1098" s="36"/>
      <c r="M1098" s="40" t="str">
        <f aca="false">IF($F1098="","",$F1098&amp;IF($G1098="",""," - RT "&amp;$G1098&amp;IF($H1098="","","/"&amp;$H1098)))</f>
        <v/>
      </c>
      <c r="N1098" s="36"/>
      <c r="O1098" s="37"/>
      <c r="P1098" s="39"/>
      <c r="Q1098" s="41"/>
      <c r="R1098" s="35" t="str">
        <f aca="true">IF(OR($B1098="",$Q1098=""),"",DATEDIF($Q1098,TODAY(),"Y"))</f>
        <v/>
      </c>
      <c r="S1098" s="40" t="str">
        <f aca="false">IF($R1098="","",INDEX(usia_label,MATCH($R1098,usia_min,1)))</f>
        <v/>
      </c>
      <c r="T1098" s="36"/>
      <c r="U1098" s="41"/>
      <c r="V1098" s="36"/>
      <c r="W1098" s="36"/>
      <c r="X1098" s="40" t="str">
        <f aca="false">IF($M1098="","",$M1098&amp;"#"&amp;COUNTIF($M$4:$M1098,$M1098))</f>
        <v/>
      </c>
      <c r="Y1098" s="40" t="str">
        <f aca="false">IF($B1098="","",IF($C1098="","NIK kosong",IF(LEN($C1098)&lt;&gt;16,"NIK bukan 16 digit",IF(COUNTIF($C$4:$C$2003,$C1098&amp;"*")&gt;1,"NIK ganda",IF(AND($D1098&lt;&gt;"",LEN($D1098)&lt;&gt;16),"No. KK bukan 16 digit",IF(AND($F1098="",$I1098=""),"Alamat kosong",IF($N1098="","Jabatan kosong",IF($O1098="","No. HP kosong",IF(AND($R1098&lt;&gt;"",$R1098&lt;17),"Usia di bawah 17","")))))))))</f>
        <v/>
      </c>
      <c r="Z1098" s="40" t="str">
        <f aca="false">IF($B1098="","",IF(AND(OR(CARI!$C$5="",ISNUMBER(SEARCH(CARI!$C$5,$B1098&amp;" "&amp;$C1098&amp;" "&amp;$D1098&amp;" "&amp;$O1098&amp;" "&amp;$I1098&amp;" "&amp;$F1098&amp;" "&amp;$J1098&amp;" "&amp;$K1098&amp;" "&amp;$L1098&amp;" "&amp;$V1098))),OR(CARI!$C$6="",$F1098=CARI!$C$6),OR(CARI!$C$7="",$G1098=CARI!$C$7),OR(CARI!$C$8="",$T1098=CARI!$C$8)),MAX($Z$3:Z1097)+1,""))</f>
        <v/>
      </c>
      <c r="AA1098" s="40" t="str">
        <f aca="false">IF($Y1098="","",MAX($AA$3:AA1097)+1)</f>
        <v/>
      </c>
      <c r="AB1098" s="40" t="str">
        <f aca="false">IF($F1098="","",$F1098&amp;"#"&amp;COUNTIF($F$4:$F1098,$F1098))</f>
        <v/>
      </c>
      <c r="AC1098" s="40" t="str">
        <f aca="false">IF($B1098="","",IF(AND(OR(CETAK!$J$10="",$F1098=CETAK!$J$10),OR(CETAK!$J$11="",$G1098=CETAK!$J$11),OR(CETAK!$J$12="",$P1098=CETAK!$J$12),OR(CETAK!$J$13="",$N1098=CETAK!$J$13),OR(CETAK!$J$14="",$T1098=CETAK!$J$14)),MAX($AC$3:AC1097)+1,""))</f>
        <v/>
      </c>
      <c r="AD1098" s="40" t="str">
        <f aca="false">IF($B1098="","",IF(AND(OR(ABSENSI!$H$10="",$F1098=ABSENSI!$H$10),OR(ABSENSI!$H$11="",$G1098=ABSENSI!$H$11),OR(ABSENSI!$H$12="",$P1098=ABSENSI!$H$12)),MAX($AD$3:AD1097)+1,""))</f>
        <v/>
      </c>
      <c r="AE1098" s="40" t="str">
        <f aca="false">IF($B1098="","",IF(AND(OR(KARTU!$K$6="",$F1098=KARTU!$K$6),OR(KARTU!$K$7="",$G1098=KARTU!$K$7),OR(KARTU!$K$8="",$P1098=KARTU!$K$8)),MAX($AE$3:AE1097)+1,""))</f>
        <v/>
      </c>
    </row>
    <row r="1099" customFormat="false" ht="15" hidden="false" customHeight="false" outlineLevel="0" collapsed="false">
      <c r="A1099" s="35" t="str">
        <f aca="false">IF($B1099="","",COUNTA($B$4:$B1099))</f>
        <v/>
      </c>
      <c r="B1099" s="36"/>
      <c r="C1099" s="37"/>
      <c r="D1099" s="37"/>
      <c r="E1099" s="38"/>
      <c r="F1099" s="36"/>
      <c r="G1099" s="39"/>
      <c r="H1099" s="39"/>
      <c r="I1099" s="36"/>
      <c r="J1099" s="36"/>
      <c r="K1099" s="36"/>
      <c r="L1099" s="36"/>
      <c r="M1099" s="40" t="str">
        <f aca="false">IF($F1099="","",$F1099&amp;IF($G1099="",""," - RT "&amp;$G1099&amp;IF($H1099="","","/"&amp;$H1099)))</f>
        <v/>
      </c>
      <c r="N1099" s="36"/>
      <c r="O1099" s="37"/>
      <c r="P1099" s="39"/>
      <c r="Q1099" s="41"/>
      <c r="R1099" s="35" t="str">
        <f aca="true">IF(OR($B1099="",$Q1099=""),"",DATEDIF($Q1099,TODAY(),"Y"))</f>
        <v/>
      </c>
      <c r="S1099" s="40" t="str">
        <f aca="false">IF($R1099="","",INDEX(usia_label,MATCH($R1099,usia_min,1)))</f>
        <v/>
      </c>
      <c r="T1099" s="36"/>
      <c r="U1099" s="41"/>
      <c r="V1099" s="36"/>
      <c r="W1099" s="36"/>
      <c r="X1099" s="40" t="str">
        <f aca="false">IF($M1099="","",$M1099&amp;"#"&amp;COUNTIF($M$4:$M1099,$M1099))</f>
        <v/>
      </c>
      <c r="Y1099" s="40" t="str">
        <f aca="false">IF($B1099="","",IF($C1099="","NIK kosong",IF(LEN($C1099)&lt;&gt;16,"NIK bukan 16 digit",IF(COUNTIF($C$4:$C$2003,$C1099&amp;"*")&gt;1,"NIK ganda",IF(AND($D1099&lt;&gt;"",LEN($D1099)&lt;&gt;16),"No. KK bukan 16 digit",IF(AND($F1099="",$I1099=""),"Alamat kosong",IF($N1099="","Jabatan kosong",IF($O1099="","No. HP kosong",IF(AND($R1099&lt;&gt;"",$R1099&lt;17),"Usia di bawah 17","")))))))))</f>
        <v/>
      </c>
      <c r="Z1099" s="40" t="str">
        <f aca="false">IF($B1099="","",IF(AND(OR(CARI!$C$5="",ISNUMBER(SEARCH(CARI!$C$5,$B1099&amp;" "&amp;$C1099&amp;" "&amp;$D1099&amp;" "&amp;$O1099&amp;" "&amp;$I1099&amp;" "&amp;$F1099&amp;" "&amp;$J1099&amp;" "&amp;$K1099&amp;" "&amp;$L1099&amp;" "&amp;$V1099))),OR(CARI!$C$6="",$F1099=CARI!$C$6),OR(CARI!$C$7="",$G1099=CARI!$C$7),OR(CARI!$C$8="",$T1099=CARI!$C$8)),MAX($Z$3:Z1098)+1,""))</f>
        <v/>
      </c>
      <c r="AA1099" s="40" t="str">
        <f aca="false">IF($Y1099="","",MAX($AA$3:AA1098)+1)</f>
        <v/>
      </c>
      <c r="AB1099" s="40" t="str">
        <f aca="false">IF($F1099="","",$F1099&amp;"#"&amp;COUNTIF($F$4:$F1099,$F1099))</f>
        <v/>
      </c>
      <c r="AC1099" s="40" t="str">
        <f aca="false">IF($B1099="","",IF(AND(OR(CETAK!$J$10="",$F1099=CETAK!$J$10),OR(CETAK!$J$11="",$G1099=CETAK!$J$11),OR(CETAK!$J$12="",$P1099=CETAK!$J$12),OR(CETAK!$J$13="",$N1099=CETAK!$J$13),OR(CETAK!$J$14="",$T1099=CETAK!$J$14)),MAX($AC$3:AC1098)+1,""))</f>
        <v/>
      </c>
      <c r="AD1099" s="40" t="str">
        <f aca="false">IF($B1099="","",IF(AND(OR(ABSENSI!$H$10="",$F1099=ABSENSI!$H$10),OR(ABSENSI!$H$11="",$G1099=ABSENSI!$H$11),OR(ABSENSI!$H$12="",$P1099=ABSENSI!$H$12)),MAX($AD$3:AD1098)+1,""))</f>
        <v/>
      </c>
      <c r="AE1099" s="40" t="str">
        <f aca="false">IF($B1099="","",IF(AND(OR(KARTU!$K$6="",$F1099=KARTU!$K$6),OR(KARTU!$K$7="",$G1099=KARTU!$K$7),OR(KARTU!$K$8="",$P1099=KARTU!$K$8)),MAX($AE$3:AE1098)+1,""))</f>
        <v/>
      </c>
    </row>
    <row r="1100" customFormat="false" ht="15" hidden="false" customHeight="false" outlineLevel="0" collapsed="false">
      <c r="A1100" s="35" t="str">
        <f aca="false">IF($B1100="","",COUNTA($B$4:$B1100))</f>
        <v/>
      </c>
      <c r="B1100" s="36"/>
      <c r="C1100" s="37"/>
      <c r="D1100" s="37"/>
      <c r="E1100" s="38"/>
      <c r="F1100" s="36"/>
      <c r="G1100" s="39"/>
      <c r="H1100" s="39"/>
      <c r="I1100" s="36"/>
      <c r="J1100" s="36"/>
      <c r="K1100" s="36"/>
      <c r="L1100" s="36"/>
      <c r="M1100" s="40" t="str">
        <f aca="false">IF($F1100="","",$F1100&amp;IF($G1100="",""," - RT "&amp;$G1100&amp;IF($H1100="","","/"&amp;$H1100)))</f>
        <v/>
      </c>
      <c r="N1100" s="36"/>
      <c r="O1100" s="37"/>
      <c r="P1100" s="39"/>
      <c r="Q1100" s="41"/>
      <c r="R1100" s="35" t="str">
        <f aca="true">IF(OR($B1100="",$Q1100=""),"",DATEDIF($Q1100,TODAY(),"Y"))</f>
        <v/>
      </c>
      <c r="S1100" s="40" t="str">
        <f aca="false">IF($R1100="","",INDEX(usia_label,MATCH($R1100,usia_min,1)))</f>
        <v/>
      </c>
      <c r="T1100" s="36"/>
      <c r="U1100" s="41"/>
      <c r="V1100" s="36"/>
      <c r="W1100" s="36"/>
      <c r="X1100" s="40" t="str">
        <f aca="false">IF($M1100="","",$M1100&amp;"#"&amp;COUNTIF($M$4:$M1100,$M1100))</f>
        <v/>
      </c>
      <c r="Y1100" s="40" t="str">
        <f aca="false">IF($B1100="","",IF($C1100="","NIK kosong",IF(LEN($C1100)&lt;&gt;16,"NIK bukan 16 digit",IF(COUNTIF($C$4:$C$2003,$C1100&amp;"*")&gt;1,"NIK ganda",IF(AND($D1100&lt;&gt;"",LEN($D1100)&lt;&gt;16),"No. KK bukan 16 digit",IF(AND($F1100="",$I1100=""),"Alamat kosong",IF($N1100="","Jabatan kosong",IF($O1100="","No. HP kosong",IF(AND($R1100&lt;&gt;"",$R1100&lt;17),"Usia di bawah 17","")))))))))</f>
        <v/>
      </c>
      <c r="Z1100" s="40" t="str">
        <f aca="false">IF($B1100="","",IF(AND(OR(CARI!$C$5="",ISNUMBER(SEARCH(CARI!$C$5,$B1100&amp;" "&amp;$C1100&amp;" "&amp;$D1100&amp;" "&amp;$O1100&amp;" "&amp;$I1100&amp;" "&amp;$F1100&amp;" "&amp;$J1100&amp;" "&amp;$K1100&amp;" "&amp;$L1100&amp;" "&amp;$V1100))),OR(CARI!$C$6="",$F1100=CARI!$C$6),OR(CARI!$C$7="",$G1100=CARI!$C$7),OR(CARI!$C$8="",$T1100=CARI!$C$8)),MAX($Z$3:Z1099)+1,""))</f>
        <v/>
      </c>
      <c r="AA1100" s="40" t="str">
        <f aca="false">IF($Y1100="","",MAX($AA$3:AA1099)+1)</f>
        <v/>
      </c>
      <c r="AB1100" s="40" t="str">
        <f aca="false">IF($F1100="","",$F1100&amp;"#"&amp;COUNTIF($F$4:$F1100,$F1100))</f>
        <v/>
      </c>
      <c r="AC1100" s="40" t="str">
        <f aca="false">IF($B1100="","",IF(AND(OR(CETAK!$J$10="",$F1100=CETAK!$J$10),OR(CETAK!$J$11="",$G1100=CETAK!$J$11),OR(CETAK!$J$12="",$P1100=CETAK!$J$12),OR(CETAK!$J$13="",$N1100=CETAK!$J$13),OR(CETAK!$J$14="",$T1100=CETAK!$J$14)),MAX($AC$3:AC1099)+1,""))</f>
        <v/>
      </c>
      <c r="AD1100" s="40" t="str">
        <f aca="false">IF($B1100="","",IF(AND(OR(ABSENSI!$H$10="",$F1100=ABSENSI!$H$10),OR(ABSENSI!$H$11="",$G1100=ABSENSI!$H$11),OR(ABSENSI!$H$12="",$P1100=ABSENSI!$H$12)),MAX($AD$3:AD1099)+1,""))</f>
        <v/>
      </c>
      <c r="AE1100" s="40" t="str">
        <f aca="false">IF($B1100="","",IF(AND(OR(KARTU!$K$6="",$F1100=KARTU!$K$6),OR(KARTU!$K$7="",$G1100=KARTU!$K$7),OR(KARTU!$K$8="",$P1100=KARTU!$K$8)),MAX($AE$3:AE1099)+1,""))</f>
        <v/>
      </c>
    </row>
    <row r="1101" customFormat="false" ht="15" hidden="false" customHeight="false" outlineLevel="0" collapsed="false">
      <c r="A1101" s="35" t="str">
        <f aca="false">IF($B1101="","",COUNTA($B$4:$B1101))</f>
        <v/>
      </c>
      <c r="B1101" s="36"/>
      <c r="C1101" s="37"/>
      <c r="D1101" s="37"/>
      <c r="E1101" s="38"/>
      <c r="F1101" s="36"/>
      <c r="G1101" s="39"/>
      <c r="H1101" s="39"/>
      <c r="I1101" s="36"/>
      <c r="J1101" s="36"/>
      <c r="K1101" s="36"/>
      <c r="L1101" s="36"/>
      <c r="M1101" s="40" t="str">
        <f aca="false">IF($F1101="","",$F1101&amp;IF($G1101="",""," - RT "&amp;$G1101&amp;IF($H1101="","","/"&amp;$H1101)))</f>
        <v/>
      </c>
      <c r="N1101" s="36"/>
      <c r="O1101" s="37"/>
      <c r="P1101" s="39"/>
      <c r="Q1101" s="41"/>
      <c r="R1101" s="35" t="str">
        <f aca="true">IF(OR($B1101="",$Q1101=""),"",DATEDIF($Q1101,TODAY(),"Y"))</f>
        <v/>
      </c>
      <c r="S1101" s="40" t="str">
        <f aca="false">IF($R1101="","",INDEX(usia_label,MATCH($R1101,usia_min,1)))</f>
        <v/>
      </c>
      <c r="T1101" s="36"/>
      <c r="U1101" s="41"/>
      <c r="V1101" s="36"/>
      <c r="W1101" s="36"/>
      <c r="X1101" s="40" t="str">
        <f aca="false">IF($M1101="","",$M1101&amp;"#"&amp;COUNTIF($M$4:$M1101,$M1101))</f>
        <v/>
      </c>
      <c r="Y1101" s="40" t="str">
        <f aca="false">IF($B1101="","",IF($C1101="","NIK kosong",IF(LEN($C1101)&lt;&gt;16,"NIK bukan 16 digit",IF(COUNTIF($C$4:$C$2003,$C1101&amp;"*")&gt;1,"NIK ganda",IF(AND($D1101&lt;&gt;"",LEN($D1101)&lt;&gt;16),"No. KK bukan 16 digit",IF(AND($F1101="",$I1101=""),"Alamat kosong",IF($N1101="","Jabatan kosong",IF($O1101="","No. HP kosong",IF(AND($R1101&lt;&gt;"",$R1101&lt;17),"Usia di bawah 17","")))))))))</f>
        <v/>
      </c>
      <c r="Z1101" s="40" t="str">
        <f aca="false">IF($B1101="","",IF(AND(OR(CARI!$C$5="",ISNUMBER(SEARCH(CARI!$C$5,$B1101&amp;" "&amp;$C1101&amp;" "&amp;$D1101&amp;" "&amp;$O1101&amp;" "&amp;$I1101&amp;" "&amp;$F1101&amp;" "&amp;$J1101&amp;" "&amp;$K1101&amp;" "&amp;$L1101&amp;" "&amp;$V1101))),OR(CARI!$C$6="",$F1101=CARI!$C$6),OR(CARI!$C$7="",$G1101=CARI!$C$7),OR(CARI!$C$8="",$T1101=CARI!$C$8)),MAX($Z$3:Z1100)+1,""))</f>
        <v/>
      </c>
      <c r="AA1101" s="40" t="str">
        <f aca="false">IF($Y1101="","",MAX($AA$3:AA1100)+1)</f>
        <v/>
      </c>
      <c r="AB1101" s="40" t="str">
        <f aca="false">IF($F1101="","",$F1101&amp;"#"&amp;COUNTIF($F$4:$F1101,$F1101))</f>
        <v/>
      </c>
      <c r="AC1101" s="40" t="str">
        <f aca="false">IF($B1101="","",IF(AND(OR(CETAK!$J$10="",$F1101=CETAK!$J$10),OR(CETAK!$J$11="",$G1101=CETAK!$J$11),OR(CETAK!$J$12="",$P1101=CETAK!$J$12),OR(CETAK!$J$13="",$N1101=CETAK!$J$13),OR(CETAK!$J$14="",$T1101=CETAK!$J$14)),MAX($AC$3:AC1100)+1,""))</f>
        <v/>
      </c>
      <c r="AD1101" s="40" t="str">
        <f aca="false">IF($B1101="","",IF(AND(OR(ABSENSI!$H$10="",$F1101=ABSENSI!$H$10),OR(ABSENSI!$H$11="",$G1101=ABSENSI!$H$11),OR(ABSENSI!$H$12="",$P1101=ABSENSI!$H$12)),MAX($AD$3:AD1100)+1,""))</f>
        <v/>
      </c>
      <c r="AE1101" s="40" t="str">
        <f aca="false">IF($B1101="","",IF(AND(OR(KARTU!$K$6="",$F1101=KARTU!$K$6),OR(KARTU!$K$7="",$G1101=KARTU!$K$7),OR(KARTU!$K$8="",$P1101=KARTU!$K$8)),MAX($AE$3:AE1100)+1,""))</f>
        <v/>
      </c>
    </row>
    <row r="1102" customFormat="false" ht="15" hidden="false" customHeight="false" outlineLevel="0" collapsed="false">
      <c r="A1102" s="35" t="str">
        <f aca="false">IF($B1102="","",COUNTA($B$4:$B1102))</f>
        <v/>
      </c>
      <c r="B1102" s="36"/>
      <c r="C1102" s="37"/>
      <c r="D1102" s="37"/>
      <c r="E1102" s="38"/>
      <c r="F1102" s="36"/>
      <c r="G1102" s="39"/>
      <c r="H1102" s="39"/>
      <c r="I1102" s="36"/>
      <c r="J1102" s="36"/>
      <c r="K1102" s="36"/>
      <c r="L1102" s="36"/>
      <c r="M1102" s="40" t="str">
        <f aca="false">IF($F1102="","",$F1102&amp;IF($G1102="",""," - RT "&amp;$G1102&amp;IF($H1102="","","/"&amp;$H1102)))</f>
        <v/>
      </c>
      <c r="N1102" s="36"/>
      <c r="O1102" s="37"/>
      <c r="P1102" s="39"/>
      <c r="Q1102" s="41"/>
      <c r="R1102" s="35" t="str">
        <f aca="true">IF(OR($B1102="",$Q1102=""),"",DATEDIF($Q1102,TODAY(),"Y"))</f>
        <v/>
      </c>
      <c r="S1102" s="40" t="str">
        <f aca="false">IF($R1102="","",INDEX(usia_label,MATCH($R1102,usia_min,1)))</f>
        <v/>
      </c>
      <c r="T1102" s="36"/>
      <c r="U1102" s="41"/>
      <c r="V1102" s="36"/>
      <c r="W1102" s="36"/>
      <c r="X1102" s="40" t="str">
        <f aca="false">IF($M1102="","",$M1102&amp;"#"&amp;COUNTIF($M$4:$M1102,$M1102))</f>
        <v/>
      </c>
      <c r="Y1102" s="40" t="str">
        <f aca="false">IF($B1102="","",IF($C1102="","NIK kosong",IF(LEN($C1102)&lt;&gt;16,"NIK bukan 16 digit",IF(COUNTIF($C$4:$C$2003,$C1102&amp;"*")&gt;1,"NIK ganda",IF(AND($D1102&lt;&gt;"",LEN($D1102)&lt;&gt;16),"No. KK bukan 16 digit",IF(AND($F1102="",$I1102=""),"Alamat kosong",IF($N1102="","Jabatan kosong",IF($O1102="","No. HP kosong",IF(AND($R1102&lt;&gt;"",$R1102&lt;17),"Usia di bawah 17","")))))))))</f>
        <v/>
      </c>
      <c r="Z1102" s="40" t="str">
        <f aca="false">IF($B1102="","",IF(AND(OR(CARI!$C$5="",ISNUMBER(SEARCH(CARI!$C$5,$B1102&amp;" "&amp;$C1102&amp;" "&amp;$D1102&amp;" "&amp;$O1102&amp;" "&amp;$I1102&amp;" "&amp;$F1102&amp;" "&amp;$J1102&amp;" "&amp;$K1102&amp;" "&amp;$L1102&amp;" "&amp;$V1102))),OR(CARI!$C$6="",$F1102=CARI!$C$6),OR(CARI!$C$7="",$G1102=CARI!$C$7),OR(CARI!$C$8="",$T1102=CARI!$C$8)),MAX($Z$3:Z1101)+1,""))</f>
        <v/>
      </c>
      <c r="AA1102" s="40" t="str">
        <f aca="false">IF($Y1102="","",MAX($AA$3:AA1101)+1)</f>
        <v/>
      </c>
      <c r="AB1102" s="40" t="str">
        <f aca="false">IF($F1102="","",$F1102&amp;"#"&amp;COUNTIF($F$4:$F1102,$F1102))</f>
        <v/>
      </c>
      <c r="AC1102" s="40" t="str">
        <f aca="false">IF($B1102="","",IF(AND(OR(CETAK!$J$10="",$F1102=CETAK!$J$10),OR(CETAK!$J$11="",$G1102=CETAK!$J$11),OR(CETAK!$J$12="",$P1102=CETAK!$J$12),OR(CETAK!$J$13="",$N1102=CETAK!$J$13),OR(CETAK!$J$14="",$T1102=CETAK!$J$14)),MAX($AC$3:AC1101)+1,""))</f>
        <v/>
      </c>
      <c r="AD1102" s="40" t="str">
        <f aca="false">IF($B1102="","",IF(AND(OR(ABSENSI!$H$10="",$F1102=ABSENSI!$H$10),OR(ABSENSI!$H$11="",$G1102=ABSENSI!$H$11),OR(ABSENSI!$H$12="",$P1102=ABSENSI!$H$12)),MAX($AD$3:AD1101)+1,""))</f>
        <v/>
      </c>
      <c r="AE1102" s="40" t="str">
        <f aca="false">IF($B1102="","",IF(AND(OR(KARTU!$K$6="",$F1102=KARTU!$K$6),OR(KARTU!$K$7="",$G1102=KARTU!$K$7),OR(KARTU!$K$8="",$P1102=KARTU!$K$8)),MAX($AE$3:AE1101)+1,""))</f>
        <v/>
      </c>
    </row>
    <row r="1103" customFormat="false" ht="15" hidden="false" customHeight="false" outlineLevel="0" collapsed="false">
      <c r="A1103" s="35" t="str">
        <f aca="false">IF($B1103="","",COUNTA($B$4:$B1103))</f>
        <v/>
      </c>
      <c r="B1103" s="36"/>
      <c r="C1103" s="37"/>
      <c r="D1103" s="37"/>
      <c r="E1103" s="38"/>
      <c r="F1103" s="36"/>
      <c r="G1103" s="39"/>
      <c r="H1103" s="39"/>
      <c r="I1103" s="36"/>
      <c r="J1103" s="36"/>
      <c r="K1103" s="36"/>
      <c r="L1103" s="36"/>
      <c r="M1103" s="40" t="str">
        <f aca="false">IF($F1103="","",$F1103&amp;IF($G1103="",""," - RT "&amp;$G1103&amp;IF($H1103="","","/"&amp;$H1103)))</f>
        <v/>
      </c>
      <c r="N1103" s="36"/>
      <c r="O1103" s="37"/>
      <c r="P1103" s="39"/>
      <c r="Q1103" s="41"/>
      <c r="R1103" s="35" t="str">
        <f aca="true">IF(OR($B1103="",$Q1103=""),"",DATEDIF($Q1103,TODAY(),"Y"))</f>
        <v/>
      </c>
      <c r="S1103" s="40" t="str">
        <f aca="false">IF($R1103="","",INDEX(usia_label,MATCH($R1103,usia_min,1)))</f>
        <v/>
      </c>
      <c r="T1103" s="36"/>
      <c r="U1103" s="41"/>
      <c r="V1103" s="36"/>
      <c r="W1103" s="36"/>
      <c r="X1103" s="40" t="str">
        <f aca="false">IF($M1103="","",$M1103&amp;"#"&amp;COUNTIF($M$4:$M1103,$M1103))</f>
        <v/>
      </c>
      <c r="Y1103" s="40" t="str">
        <f aca="false">IF($B1103="","",IF($C1103="","NIK kosong",IF(LEN($C1103)&lt;&gt;16,"NIK bukan 16 digit",IF(COUNTIF($C$4:$C$2003,$C1103&amp;"*")&gt;1,"NIK ganda",IF(AND($D1103&lt;&gt;"",LEN($D1103)&lt;&gt;16),"No. KK bukan 16 digit",IF(AND($F1103="",$I1103=""),"Alamat kosong",IF($N1103="","Jabatan kosong",IF($O1103="","No. HP kosong",IF(AND($R1103&lt;&gt;"",$R1103&lt;17),"Usia di bawah 17","")))))))))</f>
        <v/>
      </c>
      <c r="Z1103" s="40" t="str">
        <f aca="false">IF($B1103="","",IF(AND(OR(CARI!$C$5="",ISNUMBER(SEARCH(CARI!$C$5,$B1103&amp;" "&amp;$C1103&amp;" "&amp;$D1103&amp;" "&amp;$O1103&amp;" "&amp;$I1103&amp;" "&amp;$F1103&amp;" "&amp;$J1103&amp;" "&amp;$K1103&amp;" "&amp;$L1103&amp;" "&amp;$V1103))),OR(CARI!$C$6="",$F1103=CARI!$C$6),OR(CARI!$C$7="",$G1103=CARI!$C$7),OR(CARI!$C$8="",$T1103=CARI!$C$8)),MAX($Z$3:Z1102)+1,""))</f>
        <v/>
      </c>
      <c r="AA1103" s="40" t="str">
        <f aca="false">IF($Y1103="","",MAX($AA$3:AA1102)+1)</f>
        <v/>
      </c>
      <c r="AB1103" s="40" t="str">
        <f aca="false">IF($F1103="","",$F1103&amp;"#"&amp;COUNTIF($F$4:$F1103,$F1103))</f>
        <v/>
      </c>
      <c r="AC1103" s="40" t="str">
        <f aca="false">IF($B1103="","",IF(AND(OR(CETAK!$J$10="",$F1103=CETAK!$J$10),OR(CETAK!$J$11="",$G1103=CETAK!$J$11),OR(CETAK!$J$12="",$P1103=CETAK!$J$12),OR(CETAK!$J$13="",$N1103=CETAK!$J$13),OR(CETAK!$J$14="",$T1103=CETAK!$J$14)),MAX($AC$3:AC1102)+1,""))</f>
        <v/>
      </c>
      <c r="AD1103" s="40" t="str">
        <f aca="false">IF($B1103="","",IF(AND(OR(ABSENSI!$H$10="",$F1103=ABSENSI!$H$10),OR(ABSENSI!$H$11="",$G1103=ABSENSI!$H$11),OR(ABSENSI!$H$12="",$P1103=ABSENSI!$H$12)),MAX($AD$3:AD1102)+1,""))</f>
        <v/>
      </c>
      <c r="AE1103" s="40" t="str">
        <f aca="false">IF($B1103="","",IF(AND(OR(KARTU!$K$6="",$F1103=KARTU!$K$6),OR(KARTU!$K$7="",$G1103=KARTU!$K$7),OR(KARTU!$K$8="",$P1103=KARTU!$K$8)),MAX($AE$3:AE1102)+1,""))</f>
        <v/>
      </c>
    </row>
    <row r="1104" customFormat="false" ht="15" hidden="false" customHeight="false" outlineLevel="0" collapsed="false">
      <c r="A1104" s="35" t="str">
        <f aca="false">IF($B1104="","",COUNTA($B$4:$B1104))</f>
        <v/>
      </c>
      <c r="B1104" s="36"/>
      <c r="C1104" s="37"/>
      <c r="D1104" s="37"/>
      <c r="E1104" s="38"/>
      <c r="F1104" s="36"/>
      <c r="G1104" s="39"/>
      <c r="H1104" s="39"/>
      <c r="I1104" s="36"/>
      <c r="J1104" s="36"/>
      <c r="K1104" s="36"/>
      <c r="L1104" s="36"/>
      <c r="M1104" s="40" t="str">
        <f aca="false">IF($F1104="","",$F1104&amp;IF($G1104="",""," - RT "&amp;$G1104&amp;IF($H1104="","","/"&amp;$H1104)))</f>
        <v/>
      </c>
      <c r="N1104" s="36"/>
      <c r="O1104" s="37"/>
      <c r="P1104" s="39"/>
      <c r="Q1104" s="41"/>
      <c r="R1104" s="35" t="str">
        <f aca="true">IF(OR($B1104="",$Q1104=""),"",DATEDIF($Q1104,TODAY(),"Y"))</f>
        <v/>
      </c>
      <c r="S1104" s="40" t="str">
        <f aca="false">IF($R1104="","",INDEX(usia_label,MATCH($R1104,usia_min,1)))</f>
        <v/>
      </c>
      <c r="T1104" s="36"/>
      <c r="U1104" s="41"/>
      <c r="V1104" s="36"/>
      <c r="W1104" s="36"/>
      <c r="X1104" s="40" t="str">
        <f aca="false">IF($M1104="","",$M1104&amp;"#"&amp;COUNTIF($M$4:$M1104,$M1104))</f>
        <v/>
      </c>
      <c r="Y1104" s="40" t="str">
        <f aca="false">IF($B1104="","",IF($C1104="","NIK kosong",IF(LEN($C1104)&lt;&gt;16,"NIK bukan 16 digit",IF(COUNTIF($C$4:$C$2003,$C1104&amp;"*")&gt;1,"NIK ganda",IF(AND($D1104&lt;&gt;"",LEN($D1104)&lt;&gt;16),"No. KK bukan 16 digit",IF(AND($F1104="",$I1104=""),"Alamat kosong",IF($N1104="","Jabatan kosong",IF($O1104="","No. HP kosong",IF(AND($R1104&lt;&gt;"",$R1104&lt;17),"Usia di bawah 17","")))))))))</f>
        <v/>
      </c>
      <c r="Z1104" s="40" t="str">
        <f aca="false">IF($B1104="","",IF(AND(OR(CARI!$C$5="",ISNUMBER(SEARCH(CARI!$C$5,$B1104&amp;" "&amp;$C1104&amp;" "&amp;$D1104&amp;" "&amp;$O1104&amp;" "&amp;$I1104&amp;" "&amp;$F1104&amp;" "&amp;$J1104&amp;" "&amp;$K1104&amp;" "&amp;$L1104&amp;" "&amp;$V1104))),OR(CARI!$C$6="",$F1104=CARI!$C$6),OR(CARI!$C$7="",$G1104=CARI!$C$7),OR(CARI!$C$8="",$T1104=CARI!$C$8)),MAX($Z$3:Z1103)+1,""))</f>
        <v/>
      </c>
      <c r="AA1104" s="40" t="str">
        <f aca="false">IF($Y1104="","",MAX($AA$3:AA1103)+1)</f>
        <v/>
      </c>
      <c r="AB1104" s="40" t="str">
        <f aca="false">IF($F1104="","",$F1104&amp;"#"&amp;COUNTIF($F$4:$F1104,$F1104))</f>
        <v/>
      </c>
      <c r="AC1104" s="40" t="str">
        <f aca="false">IF($B1104="","",IF(AND(OR(CETAK!$J$10="",$F1104=CETAK!$J$10),OR(CETAK!$J$11="",$G1104=CETAK!$J$11),OR(CETAK!$J$12="",$P1104=CETAK!$J$12),OR(CETAK!$J$13="",$N1104=CETAK!$J$13),OR(CETAK!$J$14="",$T1104=CETAK!$J$14)),MAX($AC$3:AC1103)+1,""))</f>
        <v/>
      </c>
      <c r="AD1104" s="40" t="str">
        <f aca="false">IF($B1104="","",IF(AND(OR(ABSENSI!$H$10="",$F1104=ABSENSI!$H$10),OR(ABSENSI!$H$11="",$G1104=ABSENSI!$H$11),OR(ABSENSI!$H$12="",$P1104=ABSENSI!$H$12)),MAX($AD$3:AD1103)+1,""))</f>
        <v/>
      </c>
      <c r="AE1104" s="40" t="str">
        <f aca="false">IF($B1104="","",IF(AND(OR(KARTU!$K$6="",$F1104=KARTU!$K$6),OR(KARTU!$K$7="",$G1104=KARTU!$K$7),OR(KARTU!$K$8="",$P1104=KARTU!$K$8)),MAX($AE$3:AE1103)+1,""))</f>
        <v/>
      </c>
    </row>
    <row r="1105" customFormat="false" ht="15" hidden="false" customHeight="false" outlineLevel="0" collapsed="false">
      <c r="A1105" s="35" t="str">
        <f aca="false">IF($B1105="","",COUNTA($B$4:$B1105))</f>
        <v/>
      </c>
      <c r="B1105" s="36"/>
      <c r="C1105" s="37"/>
      <c r="D1105" s="37"/>
      <c r="E1105" s="38"/>
      <c r="F1105" s="36"/>
      <c r="G1105" s="39"/>
      <c r="H1105" s="39"/>
      <c r="I1105" s="36"/>
      <c r="J1105" s="36"/>
      <c r="K1105" s="36"/>
      <c r="L1105" s="36"/>
      <c r="M1105" s="40" t="str">
        <f aca="false">IF($F1105="","",$F1105&amp;IF($G1105="",""," - RT "&amp;$G1105&amp;IF($H1105="","","/"&amp;$H1105)))</f>
        <v/>
      </c>
      <c r="N1105" s="36"/>
      <c r="O1105" s="37"/>
      <c r="P1105" s="39"/>
      <c r="Q1105" s="41"/>
      <c r="R1105" s="35" t="str">
        <f aca="true">IF(OR($B1105="",$Q1105=""),"",DATEDIF($Q1105,TODAY(),"Y"))</f>
        <v/>
      </c>
      <c r="S1105" s="40" t="str">
        <f aca="false">IF($R1105="","",INDEX(usia_label,MATCH($R1105,usia_min,1)))</f>
        <v/>
      </c>
      <c r="T1105" s="36"/>
      <c r="U1105" s="41"/>
      <c r="V1105" s="36"/>
      <c r="W1105" s="36"/>
      <c r="X1105" s="40" t="str">
        <f aca="false">IF($M1105="","",$M1105&amp;"#"&amp;COUNTIF($M$4:$M1105,$M1105))</f>
        <v/>
      </c>
      <c r="Y1105" s="40" t="str">
        <f aca="false">IF($B1105="","",IF($C1105="","NIK kosong",IF(LEN($C1105)&lt;&gt;16,"NIK bukan 16 digit",IF(COUNTIF($C$4:$C$2003,$C1105&amp;"*")&gt;1,"NIK ganda",IF(AND($D1105&lt;&gt;"",LEN($D1105)&lt;&gt;16),"No. KK bukan 16 digit",IF(AND($F1105="",$I1105=""),"Alamat kosong",IF($N1105="","Jabatan kosong",IF($O1105="","No. HP kosong",IF(AND($R1105&lt;&gt;"",$R1105&lt;17),"Usia di bawah 17","")))))))))</f>
        <v/>
      </c>
      <c r="Z1105" s="40" t="str">
        <f aca="false">IF($B1105="","",IF(AND(OR(CARI!$C$5="",ISNUMBER(SEARCH(CARI!$C$5,$B1105&amp;" "&amp;$C1105&amp;" "&amp;$D1105&amp;" "&amp;$O1105&amp;" "&amp;$I1105&amp;" "&amp;$F1105&amp;" "&amp;$J1105&amp;" "&amp;$K1105&amp;" "&amp;$L1105&amp;" "&amp;$V1105))),OR(CARI!$C$6="",$F1105=CARI!$C$6),OR(CARI!$C$7="",$G1105=CARI!$C$7),OR(CARI!$C$8="",$T1105=CARI!$C$8)),MAX($Z$3:Z1104)+1,""))</f>
        <v/>
      </c>
      <c r="AA1105" s="40" t="str">
        <f aca="false">IF($Y1105="","",MAX($AA$3:AA1104)+1)</f>
        <v/>
      </c>
      <c r="AB1105" s="40" t="str">
        <f aca="false">IF($F1105="","",$F1105&amp;"#"&amp;COUNTIF($F$4:$F1105,$F1105))</f>
        <v/>
      </c>
      <c r="AC1105" s="40" t="str">
        <f aca="false">IF($B1105="","",IF(AND(OR(CETAK!$J$10="",$F1105=CETAK!$J$10),OR(CETAK!$J$11="",$G1105=CETAK!$J$11),OR(CETAK!$J$12="",$P1105=CETAK!$J$12),OR(CETAK!$J$13="",$N1105=CETAK!$J$13),OR(CETAK!$J$14="",$T1105=CETAK!$J$14)),MAX($AC$3:AC1104)+1,""))</f>
        <v/>
      </c>
      <c r="AD1105" s="40" t="str">
        <f aca="false">IF($B1105="","",IF(AND(OR(ABSENSI!$H$10="",$F1105=ABSENSI!$H$10),OR(ABSENSI!$H$11="",$G1105=ABSENSI!$H$11),OR(ABSENSI!$H$12="",$P1105=ABSENSI!$H$12)),MAX($AD$3:AD1104)+1,""))</f>
        <v/>
      </c>
      <c r="AE1105" s="40" t="str">
        <f aca="false">IF($B1105="","",IF(AND(OR(KARTU!$K$6="",$F1105=KARTU!$K$6),OR(KARTU!$K$7="",$G1105=KARTU!$K$7),OR(KARTU!$K$8="",$P1105=KARTU!$K$8)),MAX($AE$3:AE1104)+1,""))</f>
        <v/>
      </c>
    </row>
    <row r="1106" customFormat="false" ht="15" hidden="false" customHeight="false" outlineLevel="0" collapsed="false">
      <c r="A1106" s="35" t="str">
        <f aca="false">IF($B1106="","",COUNTA($B$4:$B1106))</f>
        <v/>
      </c>
      <c r="B1106" s="36"/>
      <c r="C1106" s="37"/>
      <c r="D1106" s="37"/>
      <c r="E1106" s="38"/>
      <c r="F1106" s="36"/>
      <c r="G1106" s="39"/>
      <c r="H1106" s="39"/>
      <c r="I1106" s="36"/>
      <c r="J1106" s="36"/>
      <c r="K1106" s="36"/>
      <c r="L1106" s="36"/>
      <c r="M1106" s="40" t="str">
        <f aca="false">IF($F1106="","",$F1106&amp;IF($G1106="",""," - RT "&amp;$G1106&amp;IF($H1106="","","/"&amp;$H1106)))</f>
        <v/>
      </c>
      <c r="N1106" s="36"/>
      <c r="O1106" s="37"/>
      <c r="P1106" s="39"/>
      <c r="Q1106" s="41"/>
      <c r="R1106" s="35" t="str">
        <f aca="true">IF(OR($B1106="",$Q1106=""),"",DATEDIF($Q1106,TODAY(),"Y"))</f>
        <v/>
      </c>
      <c r="S1106" s="40" t="str">
        <f aca="false">IF($R1106="","",INDEX(usia_label,MATCH($R1106,usia_min,1)))</f>
        <v/>
      </c>
      <c r="T1106" s="36"/>
      <c r="U1106" s="41"/>
      <c r="V1106" s="36"/>
      <c r="W1106" s="36"/>
      <c r="X1106" s="40" t="str">
        <f aca="false">IF($M1106="","",$M1106&amp;"#"&amp;COUNTIF($M$4:$M1106,$M1106))</f>
        <v/>
      </c>
      <c r="Y1106" s="40" t="str">
        <f aca="false">IF($B1106="","",IF($C1106="","NIK kosong",IF(LEN($C1106)&lt;&gt;16,"NIK bukan 16 digit",IF(COUNTIF($C$4:$C$2003,$C1106&amp;"*")&gt;1,"NIK ganda",IF(AND($D1106&lt;&gt;"",LEN($D1106)&lt;&gt;16),"No. KK bukan 16 digit",IF(AND($F1106="",$I1106=""),"Alamat kosong",IF($N1106="","Jabatan kosong",IF($O1106="","No. HP kosong",IF(AND($R1106&lt;&gt;"",$R1106&lt;17),"Usia di bawah 17","")))))))))</f>
        <v/>
      </c>
      <c r="Z1106" s="40" t="str">
        <f aca="false">IF($B1106="","",IF(AND(OR(CARI!$C$5="",ISNUMBER(SEARCH(CARI!$C$5,$B1106&amp;" "&amp;$C1106&amp;" "&amp;$D1106&amp;" "&amp;$O1106&amp;" "&amp;$I1106&amp;" "&amp;$F1106&amp;" "&amp;$J1106&amp;" "&amp;$K1106&amp;" "&amp;$L1106&amp;" "&amp;$V1106))),OR(CARI!$C$6="",$F1106=CARI!$C$6),OR(CARI!$C$7="",$G1106=CARI!$C$7),OR(CARI!$C$8="",$T1106=CARI!$C$8)),MAX($Z$3:Z1105)+1,""))</f>
        <v/>
      </c>
      <c r="AA1106" s="40" t="str">
        <f aca="false">IF($Y1106="","",MAX($AA$3:AA1105)+1)</f>
        <v/>
      </c>
      <c r="AB1106" s="40" t="str">
        <f aca="false">IF($F1106="","",$F1106&amp;"#"&amp;COUNTIF($F$4:$F1106,$F1106))</f>
        <v/>
      </c>
      <c r="AC1106" s="40" t="str">
        <f aca="false">IF($B1106="","",IF(AND(OR(CETAK!$J$10="",$F1106=CETAK!$J$10),OR(CETAK!$J$11="",$G1106=CETAK!$J$11),OR(CETAK!$J$12="",$P1106=CETAK!$J$12),OR(CETAK!$J$13="",$N1106=CETAK!$J$13),OR(CETAK!$J$14="",$T1106=CETAK!$J$14)),MAX($AC$3:AC1105)+1,""))</f>
        <v/>
      </c>
      <c r="AD1106" s="40" t="str">
        <f aca="false">IF($B1106="","",IF(AND(OR(ABSENSI!$H$10="",$F1106=ABSENSI!$H$10),OR(ABSENSI!$H$11="",$G1106=ABSENSI!$H$11),OR(ABSENSI!$H$12="",$P1106=ABSENSI!$H$12)),MAX($AD$3:AD1105)+1,""))</f>
        <v/>
      </c>
      <c r="AE1106" s="40" t="str">
        <f aca="false">IF($B1106="","",IF(AND(OR(KARTU!$K$6="",$F1106=KARTU!$K$6),OR(KARTU!$K$7="",$G1106=KARTU!$K$7),OR(KARTU!$K$8="",$P1106=KARTU!$K$8)),MAX($AE$3:AE1105)+1,""))</f>
        <v/>
      </c>
    </row>
    <row r="1107" customFormat="false" ht="15" hidden="false" customHeight="false" outlineLevel="0" collapsed="false">
      <c r="A1107" s="35" t="str">
        <f aca="false">IF($B1107="","",COUNTA($B$4:$B1107))</f>
        <v/>
      </c>
      <c r="B1107" s="36"/>
      <c r="C1107" s="37"/>
      <c r="D1107" s="37"/>
      <c r="E1107" s="38"/>
      <c r="F1107" s="36"/>
      <c r="G1107" s="39"/>
      <c r="H1107" s="39"/>
      <c r="I1107" s="36"/>
      <c r="J1107" s="36"/>
      <c r="K1107" s="36"/>
      <c r="L1107" s="36"/>
      <c r="M1107" s="40" t="str">
        <f aca="false">IF($F1107="","",$F1107&amp;IF($G1107="",""," - RT "&amp;$G1107&amp;IF($H1107="","","/"&amp;$H1107)))</f>
        <v/>
      </c>
      <c r="N1107" s="36"/>
      <c r="O1107" s="37"/>
      <c r="P1107" s="39"/>
      <c r="Q1107" s="41"/>
      <c r="R1107" s="35" t="str">
        <f aca="true">IF(OR($B1107="",$Q1107=""),"",DATEDIF($Q1107,TODAY(),"Y"))</f>
        <v/>
      </c>
      <c r="S1107" s="40" t="str">
        <f aca="false">IF($R1107="","",INDEX(usia_label,MATCH($R1107,usia_min,1)))</f>
        <v/>
      </c>
      <c r="T1107" s="36"/>
      <c r="U1107" s="41"/>
      <c r="V1107" s="36"/>
      <c r="W1107" s="36"/>
      <c r="X1107" s="40" t="str">
        <f aca="false">IF($M1107="","",$M1107&amp;"#"&amp;COUNTIF($M$4:$M1107,$M1107))</f>
        <v/>
      </c>
      <c r="Y1107" s="40" t="str">
        <f aca="false">IF($B1107="","",IF($C1107="","NIK kosong",IF(LEN($C1107)&lt;&gt;16,"NIK bukan 16 digit",IF(COUNTIF($C$4:$C$2003,$C1107&amp;"*")&gt;1,"NIK ganda",IF(AND($D1107&lt;&gt;"",LEN($D1107)&lt;&gt;16),"No. KK bukan 16 digit",IF(AND($F1107="",$I1107=""),"Alamat kosong",IF($N1107="","Jabatan kosong",IF($O1107="","No. HP kosong",IF(AND($R1107&lt;&gt;"",$R1107&lt;17),"Usia di bawah 17","")))))))))</f>
        <v/>
      </c>
      <c r="Z1107" s="40" t="str">
        <f aca="false">IF($B1107="","",IF(AND(OR(CARI!$C$5="",ISNUMBER(SEARCH(CARI!$C$5,$B1107&amp;" "&amp;$C1107&amp;" "&amp;$D1107&amp;" "&amp;$O1107&amp;" "&amp;$I1107&amp;" "&amp;$F1107&amp;" "&amp;$J1107&amp;" "&amp;$K1107&amp;" "&amp;$L1107&amp;" "&amp;$V1107))),OR(CARI!$C$6="",$F1107=CARI!$C$6),OR(CARI!$C$7="",$G1107=CARI!$C$7),OR(CARI!$C$8="",$T1107=CARI!$C$8)),MAX($Z$3:Z1106)+1,""))</f>
        <v/>
      </c>
      <c r="AA1107" s="40" t="str">
        <f aca="false">IF($Y1107="","",MAX($AA$3:AA1106)+1)</f>
        <v/>
      </c>
      <c r="AB1107" s="40" t="str">
        <f aca="false">IF($F1107="","",$F1107&amp;"#"&amp;COUNTIF($F$4:$F1107,$F1107))</f>
        <v/>
      </c>
      <c r="AC1107" s="40" t="str">
        <f aca="false">IF($B1107="","",IF(AND(OR(CETAK!$J$10="",$F1107=CETAK!$J$10),OR(CETAK!$J$11="",$G1107=CETAK!$J$11),OR(CETAK!$J$12="",$P1107=CETAK!$J$12),OR(CETAK!$J$13="",$N1107=CETAK!$J$13),OR(CETAK!$J$14="",$T1107=CETAK!$J$14)),MAX($AC$3:AC1106)+1,""))</f>
        <v/>
      </c>
      <c r="AD1107" s="40" t="str">
        <f aca="false">IF($B1107="","",IF(AND(OR(ABSENSI!$H$10="",$F1107=ABSENSI!$H$10),OR(ABSENSI!$H$11="",$G1107=ABSENSI!$H$11),OR(ABSENSI!$H$12="",$P1107=ABSENSI!$H$12)),MAX($AD$3:AD1106)+1,""))</f>
        <v/>
      </c>
      <c r="AE1107" s="40" t="str">
        <f aca="false">IF($B1107="","",IF(AND(OR(KARTU!$K$6="",$F1107=KARTU!$K$6),OR(KARTU!$K$7="",$G1107=KARTU!$K$7),OR(KARTU!$K$8="",$P1107=KARTU!$K$8)),MAX($AE$3:AE1106)+1,""))</f>
        <v/>
      </c>
    </row>
    <row r="1108" customFormat="false" ht="15" hidden="false" customHeight="false" outlineLevel="0" collapsed="false">
      <c r="A1108" s="35" t="str">
        <f aca="false">IF($B1108="","",COUNTA($B$4:$B1108))</f>
        <v/>
      </c>
      <c r="B1108" s="36"/>
      <c r="C1108" s="37"/>
      <c r="D1108" s="37"/>
      <c r="E1108" s="38"/>
      <c r="F1108" s="36"/>
      <c r="G1108" s="39"/>
      <c r="H1108" s="39"/>
      <c r="I1108" s="36"/>
      <c r="J1108" s="36"/>
      <c r="K1108" s="36"/>
      <c r="L1108" s="36"/>
      <c r="M1108" s="40" t="str">
        <f aca="false">IF($F1108="","",$F1108&amp;IF($G1108="",""," - RT "&amp;$G1108&amp;IF($H1108="","","/"&amp;$H1108)))</f>
        <v/>
      </c>
      <c r="N1108" s="36"/>
      <c r="O1108" s="37"/>
      <c r="P1108" s="39"/>
      <c r="Q1108" s="41"/>
      <c r="R1108" s="35" t="str">
        <f aca="true">IF(OR($B1108="",$Q1108=""),"",DATEDIF($Q1108,TODAY(),"Y"))</f>
        <v/>
      </c>
      <c r="S1108" s="40" t="str">
        <f aca="false">IF($R1108="","",INDEX(usia_label,MATCH($R1108,usia_min,1)))</f>
        <v/>
      </c>
      <c r="T1108" s="36"/>
      <c r="U1108" s="41"/>
      <c r="V1108" s="36"/>
      <c r="W1108" s="36"/>
      <c r="X1108" s="40" t="str">
        <f aca="false">IF($M1108="","",$M1108&amp;"#"&amp;COUNTIF($M$4:$M1108,$M1108))</f>
        <v/>
      </c>
      <c r="Y1108" s="40" t="str">
        <f aca="false">IF($B1108="","",IF($C1108="","NIK kosong",IF(LEN($C1108)&lt;&gt;16,"NIK bukan 16 digit",IF(COUNTIF($C$4:$C$2003,$C1108&amp;"*")&gt;1,"NIK ganda",IF(AND($D1108&lt;&gt;"",LEN($D1108)&lt;&gt;16),"No. KK bukan 16 digit",IF(AND($F1108="",$I1108=""),"Alamat kosong",IF($N1108="","Jabatan kosong",IF($O1108="","No. HP kosong",IF(AND($R1108&lt;&gt;"",$R1108&lt;17),"Usia di bawah 17","")))))))))</f>
        <v/>
      </c>
      <c r="Z1108" s="40" t="str">
        <f aca="false">IF($B1108="","",IF(AND(OR(CARI!$C$5="",ISNUMBER(SEARCH(CARI!$C$5,$B1108&amp;" "&amp;$C1108&amp;" "&amp;$D1108&amp;" "&amp;$O1108&amp;" "&amp;$I1108&amp;" "&amp;$F1108&amp;" "&amp;$J1108&amp;" "&amp;$K1108&amp;" "&amp;$L1108&amp;" "&amp;$V1108))),OR(CARI!$C$6="",$F1108=CARI!$C$6),OR(CARI!$C$7="",$G1108=CARI!$C$7),OR(CARI!$C$8="",$T1108=CARI!$C$8)),MAX($Z$3:Z1107)+1,""))</f>
        <v/>
      </c>
      <c r="AA1108" s="40" t="str">
        <f aca="false">IF($Y1108="","",MAX($AA$3:AA1107)+1)</f>
        <v/>
      </c>
      <c r="AB1108" s="40" t="str">
        <f aca="false">IF($F1108="","",$F1108&amp;"#"&amp;COUNTIF($F$4:$F1108,$F1108))</f>
        <v/>
      </c>
      <c r="AC1108" s="40" t="str">
        <f aca="false">IF($B1108="","",IF(AND(OR(CETAK!$J$10="",$F1108=CETAK!$J$10),OR(CETAK!$J$11="",$G1108=CETAK!$J$11),OR(CETAK!$J$12="",$P1108=CETAK!$J$12),OR(CETAK!$J$13="",$N1108=CETAK!$J$13),OR(CETAK!$J$14="",$T1108=CETAK!$J$14)),MAX($AC$3:AC1107)+1,""))</f>
        <v/>
      </c>
      <c r="AD1108" s="40" t="str">
        <f aca="false">IF($B1108="","",IF(AND(OR(ABSENSI!$H$10="",$F1108=ABSENSI!$H$10),OR(ABSENSI!$H$11="",$G1108=ABSENSI!$H$11),OR(ABSENSI!$H$12="",$P1108=ABSENSI!$H$12)),MAX($AD$3:AD1107)+1,""))</f>
        <v/>
      </c>
      <c r="AE1108" s="40" t="str">
        <f aca="false">IF($B1108="","",IF(AND(OR(KARTU!$K$6="",$F1108=KARTU!$K$6),OR(KARTU!$K$7="",$G1108=KARTU!$K$7),OR(KARTU!$K$8="",$P1108=KARTU!$K$8)),MAX($AE$3:AE1107)+1,""))</f>
        <v/>
      </c>
    </row>
    <row r="1109" customFormat="false" ht="15" hidden="false" customHeight="false" outlineLevel="0" collapsed="false">
      <c r="A1109" s="35" t="str">
        <f aca="false">IF($B1109="","",COUNTA($B$4:$B1109))</f>
        <v/>
      </c>
      <c r="B1109" s="36"/>
      <c r="C1109" s="37"/>
      <c r="D1109" s="37"/>
      <c r="E1109" s="38"/>
      <c r="F1109" s="36"/>
      <c r="G1109" s="39"/>
      <c r="H1109" s="39"/>
      <c r="I1109" s="36"/>
      <c r="J1109" s="36"/>
      <c r="K1109" s="36"/>
      <c r="L1109" s="36"/>
      <c r="M1109" s="40" t="str">
        <f aca="false">IF($F1109="","",$F1109&amp;IF($G1109="",""," - RT "&amp;$G1109&amp;IF($H1109="","","/"&amp;$H1109)))</f>
        <v/>
      </c>
      <c r="N1109" s="36"/>
      <c r="O1109" s="37"/>
      <c r="P1109" s="39"/>
      <c r="Q1109" s="41"/>
      <c r="R1109" s="35" t="str">
        <f aca="true">IF(OR($B1109="",$Q1109=""),"",DATEDIF($Q1109,TODAY(),"Y"))</f>
        <v/>
      </c>
      <c r="S1109" s="40" t="str">
        <f aca="false">IF($R1109="","",INDEX(usia_label,MATCH($R1109,usia_min,1)))</f>
        <v/>
      </c>
      <c r="T1109" s="36"/>
      <c r="U1109" s="41"/>
      <c r="V1109" s="36"/>
      <c r="W1109" s="36"/>
      <c r="X1109" s="40" t="str">
        <f aca="false">IF($M1109="","",$M1109&amp;"#"&amp;COUNTIF($M$4:$M1109,$M1109))</f>
        <v/>
      </c>
      <c r="Y1109" s="40" t="str">
        <f aca="false">IF($B1109="","",IF($C1109="","NIK kosong",IF(LEN($C1109)&lt;&gt;16,"NIK bukan 16 digit",IF(COUNTIF($C$4:$C$2003,$C1109&amp;"*")&gt;1,"NIK ganda",IF(AND($D1109&lt;&gt;"",LEN($D1109)&lt;&gt;16),"No. KK bukan 16 digit",IF(AND($F1109="",$I1109=""),"Alamat kosong",IF($N1109="","Jabatan kosong",IF($O1109="","No. HP kosong",IF(AND($R1109&lt;&gt;"",$R1109&lt;17),"Usia di bawah 17","")))))))))</f>
        <v/>
      </c>
      <c r="Z1109" s="40" t="str">
        <f aca="false">IF($B1109="","",IF(AND(OR(CARI!$C$5="",ISNUMBER(SEARCH(CARI!$C$5,$B1109&amp;" "&amp;$C1109&amp;" "&amp;$D1109&amp;" "&amp;$O1109&amp;" "&amp;$I1109&amp;" "&amp;$F1109&amp;" "&amp;$J1109&amp;" "&amp;$K1109&amp;" "&amp;$L1109&amp;" "&amp;$V1109))),OR(CARI!$C$6="",$F1109=CARI!$C$6),OR(CARI!$C$7="",$G1109=CARI!$C$7),OR(CARI!$C$8="",$T1109=CARI!$C$8)),MAX($Z$3:Z1108)+1,""))</f>
        <v/>
      </c>
      <c r="AA1109" s="40" t="str">
        <f aca="false">IF($Y1109="","",MAX($AA$3:AA1108)+1)</f>
        <v/>
      </c>
      <c r="AB1109" s="40" t="str">
        <f aca="false">IF($F1109="","",$F1109&amp;"#"&amp;COUNTIF($F$4:$F1109,$F1109))</f>
        <v/>
      </c>
      <c r="AC1109" s="40" t="str">
        <f aca="false">IF($B1109="","",IF(AND(OR(CETAK!$J$10="",$F1109=CETAK!$J$10),OR(CETAK!$J$11="",$G1109=CETAK!$J$11),OR(CETAK!$J$12="",$P1109=CETAK!$J$12),OR(CETAK!$J$13="",$N1109=CETAK!$J$13),OR(CETAK!$J$14="",$T1109=CETAK!$J$14)),MAX($AC$3:AC1108)+1,""))</f>
        <v/>
      </c>
      <c r="AD1109" s="40" t="str">
        <f aca="false">IF($B1109="","",IF(AND(OR(ABSENSI!$H$10="",$F1109=ABSENSI!$H$10),OR(ABSENSI!$H$11="",$G1109=ABSENSI!$H$11),OR(ABSENSI!$H$12="",$P1109=ABSENSI!$H$12)),MAX($AD$3:AD1108)+1,""))</f>
        <v/>
      </c>
      <c r="AE1109" s="40" t="str">
        <f aca="false">IF($B1109="","",IF(AND(OR(KARTU!$K$6="",$F1109=KARTU!$K$6),OR(KARTU!$K$7="",$G1109=KARTU!$K$7),OR(KARTU!$K$8="",$P1109=KARTU!$K$8)),MAX($AE$3:AE1108)+1,""))</f>
        <v/>
      </c>
    </row>
    <row r="1110" customFormat="false" ht="15" hidden="false" customHeight="false" outlineLevel="0" collapsed="false">
      <c r="A1110" s="35" t="str">
        <f aca="false">IF($B1110="","",COUNTA($B$4:$B1110))</f>
        <v/>
      </c>
      <c r="B1110" s="36"/>
      <c r="C1110" s="37"/>
      <c r="D1110" s="37"/>
      <c r="E1110" s="38"/>
      <c r="F1110" s="36"/>
      <c r="G1110" s="39"/>
      <c r="H1110" s="39"/>
      <c r="I1110" s="36"/>
      <c r="J1110" s="36"/>
      <c r="K1110" s="36"/>
      <c r="L1110" s="36"/>
      <c r="M1110" s="40" t="str">
        <f aca="false">IF($F1110="","",$F1110&amp;IF($G1110="",""," - RT "&amp;$G1110&amp;IF($H1110="","","/"&amp;$H1110)))</f>
        <v/>
      </c>
      <c r="N1110" s="36"/>
      <c r="O1110" s="37"/>
      <c r="P1110" s="39"/>
      <c r="Q1110" s="41"/>
      <c r="R1110" s="35" t="str">
        <f aca="true">IF(OR($B1110="",$Q1110=""),"",DATEDIF($Q1110,TODAY(),"Y"))</f>
        <v/>
      </c>
      <c r="S1110" s="40" t="str">
        <f aca="false">IF($R1110="","",INDEX(usia_label,MATCH($R1110,usia_min,1)))</f>
        <v/>
      </c>
      <c r="T1110" s="36"/>
      <c r="U1110" s="41"/>
      <c r="V1110" s="36"/>
      <c r="W1110" s="36"/>
      <c r="X1110" s="40" t="str">
        <f aca="false">IF($M1110="","",$M1110&amp;"#"&amp;COUNTIF($M$4:$M1110,$M1110))</f>
        <v/>
      </c>
      <c r="Y1110" s="40" t="str">
        <f aca="false">IF($B1110="","",IF($C1110="","NIK kosong",IF(LEN($C1110)&lt;&gt;16,"NIK bukan 16 digit",IF(COUNTIF($C$4:$C$2003,$C1110&amp;"*")&gt;1,"NIK ganda",IF(AND($D1110&lt;&gt;"",LEN($D1110)&lt;&gt;16),"No. KK bukan 16 digit",IF(AND($F1110="",$I1110=""),"Alamat kosong",IF($N1110="","Jabatan kosong",IF($O1110="","No. HP kosong",IF(AND($R1110&lt;&gt;"",$R1110&lt;17),"Usia di bawah 17","")))))))))</f>
        <v/>
      </c>
      <c r="Z1110" s="40" t="str">
        <f aca="false">IF($B1110="","",IF(AND(OR(CARI!$C$5="",ISNUMBER(SEARCH(CARI!$C$5,$B1110&amp;" "&amp;$C1110&amp;" "&amp;$D1110&amp;" "&amp;$O1110&amp;" "&amp;$I1110&amp;" "&amp;$F1110&amp;" "&amp;$J1110&amp;" "&amp;$K1110&amp;" "&amp;$L1110&amp;" "&amp;$V1110))),OR(CARI!$C$6="",$F1110=CARI!$C$6),OR(CARI!$C$7="",$G1110=CARI!$C$7),OR(CARI!$C$8="",$T1110=CARI!$C$8)),MAX($Z$3:Z1109)+1,""))</f>
        <v/>
      </c>
      <c r="AA1110" s="40" t="str">
        <f aca="false">IF($Y1110="","",MAX($AA$3:AA1109)+1)</f>
        <v/>
      </c>
      <c r="AB1110" s="40" t="str">
        <f aca="false">IF($F1110="","",$F1110&amp;"#"&amp;COUNTIF($F$4:$F1110,$F1110))</f>
        <v/>
      </c>
      <c r="AC1110" s="40" t="str">
        <f aca="false">IF($B1110="","",IF(AND(OR(CETAK!$J$10="",$F1110=CETAK!$J$10),OR(CETAK!$J$11="",$G1110=CETAK!$J$11),OR(CETAK!$J$12="",$P1110=CETAK!$J$12),OR(CETAK!$J$13="",$N1110=CETAK!$J$13),OR(CETAK!$J$14="",$T1110=CETAK!$J$14)),MAX($AC$3:AC1109)+1,""))</f>
        <v/>
      </c>
      <c r="AD1110" s="40" t="str">
        <f aca="false">IF($B1110="","",IF(AND(OR(ABSENSI!$H$10="",$F1110=ABSENSI!$H$10),OR(ABSENSI!$H$11="",$G1110=ABSENSI!$H$11),OR(ABSENSI!$H$12="",$P1110=ABSENSI!$H$12)),MAX($AD$3:AD1109)+1,""))</f>
        <v/>
      </c>
      <c r="AE1110" s="40" t="str">
        <f aca="false">IF($B1110="","",IF(AND(OR(KARTU!$K$6="",$F1110=KARTU!$K$6),OR(KARTU!$K$7="",$G1110=KARTU!$K$7),OR(KARTU!$K$8="",$P1110=KARTU!$K$8)),MAX($AE$3:AE1109)+1,""))</f>
        <v/>
      </c>
    </row>
    <row r="1111" customFormat="false" ht="15" hidden="false" customHeight="false" outlineLevel="0" collapsed="false">
      <c r="A1111" s="35" t="str">
        <f aca="false">IF($B1111="","",COUNTA($B$4:$B1111))</f>
        <v/>
      </c>
      <c r="B1111" s="36"/>
      <c r="C1111" s="37"/>
      <c r="D1111" s="37"/>
      <c r="E1111" s="38"/>
      <c r="F1111" s="36"/>
      <c r="G1111" s="39"/>
      <c r="H1111" s="39"/>
      <c r="I1111" s="36"/>
      <c r="J1111" s="36"/>
      <c r="K1111" s="36"/>
      <c r="L1111" s="36"/>
      <c r="M1111" s="40" t="str">
        <f aca="false">IF($F1111="","",$F1111&amp;IF($G1111="",""," - RT "&amp;$G1111&amp;IF($H1111="","","/"&amp;$H1111)))</f>
        <v/>
      </c>
      <c r="N1111" s="36"/>
      <c r="O1111" s="37"/>
      <c r="P1111" s="39"/>
      <c r="Q1111" s="41"/>
      <c r="R1111" s="35" t="str">
        <f aca="true">IF(OR($B1111="",$Q1111=""),"",DATEDIF($Q1111,TODAY(),"Y"))</f>
        <v/>
      </c>
      <c r="S1111" s="40" t="str">
        <f aca="false">IF($R1111="","",INDEX(usia_label,MATCH($R1111,usia_min,1)))</f>
        <v/>
      </c>
      <c r="T1111" s="36"/>
      <c r="U1111" s="41"/>
      <c r="V1111" s="36"/>
      <c r="W1111" s="36"/>
      <c r="X1111" s="40" t="str">
        <f aca="false">IF($M1111="","",$M1111&amp;"#"&amp;COUNTIF($M$4:$M1111,$M1111))</f>
        <v/>
      </c>
      <c r="Y1111" s="40" t="str">
        <f aca="false">IF($B1111="","",IF($C1111="","NIK kosong",IF(LEN($C1111)&lt;&gt;16,"NIK bukan 16 digit",IF(COUNTIF($C$4:$C$2003,$C1111&amp;"*")&gt;1,"NIK ganda",IF(AND($D1111&lt;&gt;"",LEN($D1111)&lt;&gt;16),"No. KK bukan 16 digit",IF(AND($F1111="",$I1111=""),"Alamat kosong",IF($N1111="","Jabatan kosong",IF($O1111="","No. HP kosong",IF(AND($R1111&lt;&gt;"",$R1111&lt;17),"Usia di bawah 17","")))))))))</f>
        <v/>
      </c>
      <c r="Z1111" s="40" t="str">
        <f aca="false">IF($B1111="","",IF(AND(OR(CARI!$C$5="",ISNUMBER(SEARCH(CARI!$C$5,$B1111&amp;" "&amp;$C1111&amp;" "&amp;$D1111&amp;" "&amp;$O1111&amp;" "&amp;$I1111&amp;" "&amp;$F1111&amp;" "&amp;$J1111&amp;" "&amp;$K1111&amp;" "&amp;$L1111&amp;" "&amp;$V1111))),OR(CARI!$C$6="",$F1111=CARI!$C$6),OR(CARI!$C$7="",$G1111=CARI!$C$7),OR(CARI!$C$8="",$T1111=CARI!$C$8)),MAX($Z$3:Z1110)+1,""))</f>
        <v/>
      </c>
      <c r="AA1111" s="40" t="str">
        <f aca="false">IF($Y1111="","",MAX($AA$3:AA1110)+1)</f>
        <v/>
      </c>
      <c r="AB1111" s="40" t="str">
        <f aca="false">IF($F1111="","",$F1111&amp;"#"&amp;COUNTIF($F$4:$F1111,$F1111))</f>
        <v/>
      </c>
      <c r="AC1111" s="40" t="str">
        <f aca="false">IF($B1111="","",IF(AND(OR(CETAK!$J$10="",$F1111=CETAK!$J$10),OR(CETAK!$J$11="",$G1111=CETAK!$J$11),OR(CETAK!$J$12="",$P1111=CETAK!$J$12),OR(CETAK!$J$13="",$N1111=CETAK!$J$13),OR(CETAK!$J$14="",$T1111=CETAK!$J$14)),MAX($AC$3:AC1110)+1,""))</f>
        <v/>
      </c>
      <c r="AD1111" s="40" t="str">
        <f aca="false">IF($B1111="","",IF(AND(OR(ABSENSI!$H$10="",$F1111=ABSENSI!$H$10),OR(ABSENSI!$H$11="",$G1111=ABSENSI!$H$11),OR(ABSENSI!$H$12="",$P1111=ABSENSI!$H$12)),MAX($AD$3:AD1110)+1,""))</f>
        <v/>
      </c>
      <c r="AE1111" s="40" t="str">
        <f aca="false">IF($B1111="","",IF(AND(OR(KARTU!$K$6="",$F1111=KARTU!$K$6),OR(KARTU!$K$7="",$G1111=KARTU!$K$7),OR(KARTU!$K$8="",$P1111=KARTU!$K$8)),MAX($AE$3:AE1110)+1,""))</f>
        <v/>
      </c>
    </row>
    <row r="1112" customFormat="false" ht="15" hidden="false" customHeight="false" outlineLevel="0" collapsed="false">
      <c r="A1112" s="35" t="str">
        <f aca="false">IF($B1112="","",COUNTA($B$4:$B1112))</f>
        <v/>
      </c>
      <c r="B1112" s="36"/>
      <c r="C1112" s="37"/>
      <c r="D1112" s="37"/>
      <c r="E1112" s="38"/>
      <c r="F1112" s="36"/>
      <c r="G1112" s="39"/>
      <c r="H1112" s="39"/>
      <c r="I1112" s="36"/>
      <c r="J1112" s="36"/>
      <c r="K1112" s="36"/>
      <c r="L1112" s="36"/>
      <c r="M1112" s="40" t="str">
        <f aca="false">IF($F1112="","",$F1112&amp;IF($G1112="",""," - RT "&amp;$G1112&amp;IF($H1112="","","/"&amp;$H1112)))</f>
        <v/>
      </c>
      <c r="N1112" s="36"/>
      <c r="O1112" s="37"/>
      <c r="P1112" s="39"/>
      <c r="Q1112" s="41"/>
      <c r="R1112" s="35" t="str">
        <f aca="true">IF(OR($B1112="",$Q1112=""),"",DATEDIF($Q1112,TODAY(),"Y"))</f>
        <v/>
      </c>
      <c r="S1112" s="40" t="str">
        <f aca="false">IF($R1112="","",INDEX(usia_label,MATCH($R1112,usia_min,1)))</f>
        <v/>
      </c>
      <c r="T1112" s="36"/>
      <c r="U1112" s="41"/>
      <c r="V1112" s="36"/>
      <c r="W1112" s="36"/>
      <c r="X1112" s="40" t="str">
        <f aca="false">IF($M1112="","",$M1112&amp;"#"&amp;COUNTIF($M$4:$M1112,$M1112))</f>
        <v/>
      </c>
      <c r="Y1112" s="40" t="str">
        <f aca="false">IF($B1112="","",IF($C1112="","NIK kosong",IF(LEN($C1112)&lt;&gt;16,"NIK bukan 16 digit",IF(COUNTIF($C$4:$C$2003,$C1112&amp;"*")&gt;1,"NIK ganda",IF(AND($D1112&lt;&gt;"",LEN($D1112)&lt;&gt;16),"No. KK bukan 16 digit",IF(AND($F1112="",$I1112=""),"Alamat kosong",IF($N1112="","Jabatan kosong",IF($O1112="","No. HP kosong",IF(AND($R1112&lt;&gt;"",$R1112&lt;17),"Usia di bawah 17","")))))))))</f>
        <v/>
      </c>
      <c r="Z1112" s="40" t="str">
        <f aca="false">IF($B1112="","",IF(AND(OR(CARI!$C$5="",ISNUMBER(SEARCH(CARI!$C$5,$B1112&amp;" "&amp;$C1112&amp;" "&amp;$D1112&amp;" "&amp;$O1112&amp;" "&amp;$I1112&amp;" "&amp;$F1112&amp;" "&amp;$J1112&amp;" "&amp;$K1112&amp;" "&amp;$L1112&amp;" "&amp;$V1112))),OR(CARI!$C$6="",$F1112=CARI!$C$6),OR(CARI!$C$7="",$G1112=CARI!$C$7),OR(CARI!$C$8="",$T1112=CARI!$C$8)),MAX($Z$3:Z1111)+1,""))</f>
        <v/>
      </c>
      <c r="AA1112" s="40" t="str">
        <f aca="false">IF($Y1112="","",MAX($AA$3:AA1111)+1)</f>
        <v/>
      </c>
      <c r="AB1112" s="40" t="str">
        <f aca="false">IF($F1112="","",$F1112&amp;"#"&amp;COUNTIF($F$4:$F1112,$F1112))</f>
        <v/>
      </c>
      <c r="AC1112" s="40" t="str">
        <f aca="false">IF($B1112="","",IF(AND(OR(CETAK!$J$10="",$F1112=CETAK!$J$10),OR(CETAK!$J$11="",$G1112=CETAK!$J$11),OR(CETAK!$J$12="",$P1112=CETAK!$J$12),OR(CETAK!$J$13="",$N1112=CETAK!$J$13),OR(CETAK!$J$14="",$T1112=CETAK!$J$14)),MAX($AC$3:AC1111)+1,""))</f>
        <v/>
      </c>
      <c r="AD1112" s="40" t="str">
        <f aca="false">IF($B1112="","",IF(AND(OR(ABSENSI!$H$10="",$F1112=ABSENSI!$H$10),OR(ABSENSI!$H$11="",$G1112=ABSENSI!$H$11),OR(ABSENSI!$H$12="",$P1112=ABSENSI!$H$12)),MAX($AD$3:AD1111)+1,""))</f>
        <v/>
      </c>
      <c r="AE1112" s="40" t="str">
        <f aca="false">IF($B1112="","",IF(AND(OR(KARTU!$K$6="",$F1112=KARTU!$K$6),OR(KARTU!$K$7="",$G1112=KARTU!$K$7),OR(KARTU!$K$8="",$P1112=KARTU!$K$8)),MAX($AE$3:AE1111)+1,""))</f>
        <v/>
      </c>
    </row>
    <row r="1113" customFormat="false" ht="15" hidden="false" customHeight="false" outlineLevel="0" collapsed="false">
      <c r="A1113" s="35" t="str">
        <f aca="false">IF($B1113="","",COUNTA($B$4:$B1113))</f>
        <v/>
      </c>
      <c r="B1113" s="36"/>
      <c r="C1113" s="37"/>
      <c r="D1113" s="37"/>
      <c r="E1113" s="38"/>
      <c r="F1113" s="36"/>
      <c r="G1113" s="39"/>
      <c r="H1113" s="39"/>
      <c r="I1113" s="36"/>
      <c r="J1113" s="36"/>
      <c r="K1113" s="36"/>
      <c r="L1113" s="36"/>
      <c r="M1113" s="40" t="str">
        <f aca="false">IF($F1113="","",$F1113&amp;IF($G1113="",""," - RT "&amp;$G1113&amp;IF($H1113="","","/"&amp;$H1113)))</f>
        <v/>
      </c>
      <c r="N1113" s="36"/>
      <c r="O1113" s="37"/>
      <c r="P1113" s="39"/>
      <c r="Q1113" s="41"/>
      <c r="R1113" s="35" t="str">
        <f aca="true">IF(OR($B1113="",$Q1113=""),"",DATEDIF($Q1113,TODAY(),"Y"))</f>
        <v/>
      </c>
      <c r="S1113" s="40" t="str">
        <f aca="false">IF($R1113="","",INDEX(usia_label,MATCH($R1113,usia_min,1)))</f>
        <v/>
      </c>
      <c r="T1113" s="36"/>
      <c r="U1113" s="41"/>
      <c r="V1113" s="36"/>
      <c r="W1113" s="36"/>
      <c r="X1113" s="40" t="str">
        <f aca="false">IF($M1113="","",$M1113&amp;"#"&amp;COUNTIF($M$4:$M1113,$M1113))</f>
        <v/>
      </c>
      <c r="Y1113" s="40" t="str">
        <f aca="false">IF($B1113="","",IF($C1113="","NIK kosong",IF(LEN($C1113)&lt;&gt;16,"NIK bukan 16 digit",IF(COUNTIF($C$4:$C$2003,$C1113&amp;"*")&gt;1,"NIK ganda",IF(AND($D1113&lt;&gt;"",LEN($D1113)&lt;&gt;16),"No. KK bukan 16 digit",IF(AND($F1113="",$I1113=""),"Alamat kosong",IF($N1113="","Jabatan kosong",IF($O1113="","No. HP kosong",IF(AND($R1113&lt;&gt;"",$R1113&lt;17),"Usia di bawah 17","")))))))))</f>
        <v/>
      </c>
      <c r="Z1113" s="40" t="str">
        <f aca="false">IF($B1113="","",IF(AND(OR(CARI!$C$5="",ISNUMBER(SEARCH(CARI!$C$5,$B1113&amp;" "&amp;$C1113&amp;" "&amp;$D1113&amp;" "&amp;$O1113&amp;" "&amp;$I1113&amp;" "&amp;$F1113&amp;" "&amp;$J1113&amp;" "&amp;$K1113&amp;" "&amp;$L1113&amp;" "&amp;$V1113))),OR(CARI!$C$6="",$F1113=CARI!$C$6),OR(CARI!$C$7="",$G1113=CARI!$C$7),OR(CARI!$C$8="",$T1113=CARI!$C$8)),MAX($Z$3:Z1112)+1,""))</f>
        <v/>
      </c>
      <c r="AA1113" s="40" t="str">
        <f aca="false">IF($Y1113="","",MAX($AA$3:AA1112)+1)</f>
        <v/>
      </c>
      <c r="AB1113" s="40" t="str">
        <f aca="false">IF($F1113="","",$F1113&amp;"#"&amp;COUNTIF($F$4:$F1113,$F1113))</f>
        <v/>
      </c>
      <c r="AC1113" s="40" t="str">
        <f aca="false">IF($B1113="","",IF(AND(OR(CETAK!$J$10="",$F1113=CETAK!$J$10),OR(CETAK!$J$11="",$G1113=CETAK!$J$11),OR(CETAK!$J$12="",$P1113=CETAK!$J$12),OR(CETAK!$J$13="",$N1113=CETAK!$J$13),OR(CETAK!$J$14="",$T1113=CETAK!$J$14)),MAX($AC$3:AC1112)+1,""))</f>
        <v/>
      </c>
      <c r="AD1113" s="40" t="str">
        <f aca="false">IF($B1113="","",IF(AND(OR(ABSENSI!$H$10="",$F1113=ABSENSI!$H$10),OR(ABSENSI!$H$11="",$G1113=ABSENSI!$H$11),OR(ABSENSI!$H$12="",$P1113=ABSENSI!$H$12)),MAX($AD$3:AD1112)+1,""))</f>
        <v/>
      </c>
      <c r="AE1113" s="40" t="str">
        <f aca="false">IF($B1113="","",IF(AND(OR(KARTU!$K$6="",$F1113=KARTU!$K$6),OR(KARTU!$K$7="",$G1113=KARTU!$K$7),OR(KARTU!$K$8="",$P1113=KARTU!$K$8)),MAX($AE$3:AE1112)+1,""))</f>
        <v/>
      </c>
    </row>
    <row r="1114" customFormat="false" ht="15" hidden="false" customHeight="false" outlineLevel="0" collapsed="false">
      <c r="A1114" s="35" t="str">
        <f aca="false">IF($B1114="","",COUNTA($B$4:$B1114))</f>
        <v/>
      </c>
      <c r="B1114" s="36"/>
      <c r="C1114" s="37"/>
      <c r="D1114" s="37"/>
      <c r="E1114" s="38"/>
      <c r="F1114" s="36"/>
      <c r="G1114" s="39"/>
      <c r="H1114" s="39"/>
      <c r="I1114" s="36"/>
      <c r="J1114" s="36"/>
      <c r="K1114" s="36"/>
      <c r="L1114" s="36"/>
      <c r="M1114" s="40" t="str">
        <f aca="false">IF($F1114="","",$F1114&amp;IF($G1114="",""," - RT "&amp;$G1114&amp;IF($H1114="","","/"&amp;$H1114)))</f>
        <v/>
      </c>
      <c r="N1114" s="36"/>
      <c r="O1114" s="37"/>
      <c r="P1114" s="39"/>
      <c r="Q1114" s="41"/>
      <c r="R1114" s="35" t="str">
        <f aca="true">IF(OR($B1114="",$Q1114=""),"",DATEDIF($Q1114,TODAY(),"Y"))</f>
        <v/>
      </c>
      <c r="S1114" s="40" t="str">
        <f aca="false">IF($R1114="","",INDEX(usia_label,MATCH($R1114,usia_min,1)))</f>
        <v/>
      </c>
      <c r="T1114" s="36"/>
      <c r="U1114" s="41"/>
      <c r="V1114" s="36"/>
      <c r="W1114" s="36"/>
      <c r="X1114" s="40" t="str">
        <f aca="false">IF($M1114="","",$M1114&amp;"#"&amp;COUNTIF($M$4:$M1114,$M1114))</f>
        <v/>
      </c>
      <c r="Y1114" s="40" t="str">
        <f aca="false">IF($B1114="","",IF($C1114="","NIK kosong",IF(LEN($C1114)&lt;&gt;16,"NIK bukan 16 digit",IF(COUNTIF($C$4:$C$2003,$C1114&amp;"*")&gt;1,"NIK ganda",IF(AND($D1114&lt;&gt;"",LEN($D1114)&lt;&gt;16),"No. KK bukan 16 digit",IF(AND($F1114="",$I1114=""),"Alamat kosong",IF($N1114="","Jabatan kosong",IF($O1114="","No. HP kosong",IF(AND($R1114&lt;&gt;"",$R1114&lt;17),"Usia di bawah 17","")))))))))</f>
        <v/>
      </c>
      <c r="Z1114" s="40" t="str">
        <f aca="false">IF($B1114="","",IF(AND(OR(CARI!$C$5="",ISNUMBER(SEARCH(CARI!$C$5,$B1114&amp;" "&amp;$C1114&amp;" "&amp;$D1114&amp;" "&amp;$O1114&amp;" "&amp;$I1114&amp;" "&amp;$F1114&amp;" "&amp;$J1114&amp;" "&amp;$K1114&amp;" "&amp;$L1114&amp;" "&amp;$V1114))),OR(CARI!$C$6="",$F1114=CARI!$C$6),OR(CARI!$C$7="",$G1114=CARI!$C$7),OR(CARI!$C$8="",$T1114=CARI!$C$8)),MAX($Z$3:Z1113)+1,""))</f>
        <v/>
      </c>
      <c r="AA1114" s="40" t="str">
        <f aca="false">IF($Y1114="","",MAX($AA$3:AA1113)+1)</f>
        <v/>
      </c>
      <c r="AB1114" s="40" t="str">
        <f aca="false">IF($F1114="","",$F1114&amp;"#"&amp;COUNTIF($F$4:$F1114,$F1114))</f>
        <v/>
      </c>
      <c r="AC1114" s="40" t="str">
        <f aca="false">IF($B1114="","",IF(AND(OR(CETAK!$J$10="",$F1114=CETAK!$J$10),OR(CETAK!$J$11="",$G1114=CETAK!$J$11),OR(CETAK!$J$12="",$P1114=CETAK!$J$12),OR(CETAK!$J$13="",$N1114=CETAK!$J$13),OR(CETAK!$J$14="",$T1114=CETAK!$J$14)),MAX($AC$3:AC1113)+1,""))</f>
        <v/>
      </c>
      <c r="AD1114" s="40" t="str">
        <f aca="false">IF($B1114="","",IF(AND(OR(ABSENSI!$H$10="",$F1114=ABSENSI!$H$10),OR(ABSENSI!$H$11="",$G1114=ABSENSI!$H$11),OR(ABSENSI!$H$12="",$P1114=ABSENSI!$H$12)),MAX($AD$3:AD1113)+1,""))</f>
        <v/>
      </c>
      <c r="AE1114" s="40" t="str">
        <f aca="false">IF($B1114="","",IF(AND(OR(KARTU!$K$6="",$F1114=KARTU!$K$6),OR(KARTU!$K$7="",$G1114=KARTU!$K$7),OR(KARTU!$K$8="",$P1114=KARTU!$K$8)),MAX($AE$3:AE1113)+1,""))</f>
        <v/>
      </c>
    </row>
    <row r="1115" customFormat="false" ht="15" hidden="false" customHeight="false" outlineLevel="0" collapsed="false">
      <c r="A1115" s="35" t="str">
        <f aca="false">IF($B1115="","",COUNTA($B$4:$B1115))</f>
        <v/>
      </c>
      <c r="B1115" s="36"/>
      <c r="C1115" s="37"/>
      <c r="D1115" s="37"/>
      <c r="E1115" s="38"/>
      <c r="F1115" s="36"/>
      <c r="G1115" s="39"/>
      <c r="H1115" s="39"/>
      <c r="I1115" s="36"/>
      <c r="J1115" s="36"/>
      <c r="K1115" s="36"/>
      <c r="L1115" s="36"/>
      <c r="M1115" s="40" t="str">
        <f aca="false">IF($F1115="","",$F1115&amp;IF($G1115="",""," - RT "&amp;$G1115&amp;IF($H1115="","","/"&amp;$H1115)))</f>
        <v/>
      </c>
      <c r="N1115" s="36"/>
      <c r="O1115" s="37"/>
      <c r="P1115" s="39"/>
      <c r="Q1115" s="41"/>
      <c r="R1115" s="35" t="str">
        <f aca="true">IF(OR($B1115="",$Q1115=""),"",DATEDIF($Q1115,TODAY(),"Y"))</f>
        <v/>
      </c>
      <c r="S1115" s="40" t="str">
        <f aca="false">IF($R1115="","",INDEX(usia_label,MATCH($R1115,usia_min,1)))</f>
        <v/>
      </c>
      <c r="T1115" s="36"/>
      <c r="U1115" s="41"/>
      <c r="V1115" s="36"/>
      <c r="W1115" s="36"/>
      <c r="X1115" s="40" t="str">
        <f aca="false">IF($M1115="","",$M1115&amp;"#"&amp;COUNTIF($M$4:$M1115,$M1115))</f>
        <v/>
      </c>
      <c r="Y1115" s="40" t="str">
        <f aca="false">IF($B1115="","",IF($C1115="","NIK kosong",IF(LEN($C1115)&lt;&gt;16,"NIK bukan 16 digit",IF(COUNTIF($C$4:$C$2003,$C1115&amp;"*")&gt;1,"NIK ganda",IF(AND($D1115&lt;&gt;"",LEN($D1115)&lt;&gt;16),"No. KK bukan 16 digit",IF(AND($F1115="",$I1115=""),"Alamat kosong",IF($N1115="","Jabatan kosong",IF($O1115="","No. HP kosong",IF(AND($R1115&lt;&gt;"",$R1115&lt;17),"Usia di bawah 17","")))))))))</f>
        <v/>
      </c>
      <c r="Z1115" s="40" t="str">
        <f aca="false">IF($B1115="","",IF(AND(OR(CARI!$C$5="",ISNUMBER(SEARCH(CARI!$C$5,$B1115&amp;" "&amp;$C1115&amp;" "&amp;$D1115&amp;" "&amp;$O1115&amp;" "&amp;$I1115&amp;" "&amp;$F1115&amp;" "&amp;$J1115&amp;" "&amp;$K1115&amp;" "&amp;$L1115&amp;" "&amp;$V1115))),OR(CARI!$C$6="",$F1115=CARI!$C$6),OR(CARI!$C$7="",$G1115=CARI!$C$7),OR(CARI!$C$8="",$T1115=CARI!$C$8)),MAX($Z$3:Z1114)+1,""))</f>
        <v/>
      </c>
      <c r="AA1115" s="40" t="str">
        <f aca="false">IF($Y1115="","",MAX($AA$3:AA1114)+1)</f>
        <v/>
      </c>
      <c r="AB1115" s="40" t="str">
        <f aca="false">IF($F1115="","",$F1115&amp;"#"&amp;COUNTIF($F$4:$F1115,$F1115))</f>
        <v/>
      </c>
      <c r="AC1115" s="40" t="str">
        <f aca="false">IF($B1115="","",IF(AND(OR(CETAK!$J$10="",$F1115=CETAK!$J$10),OR(CETAK!$J$11="",$G1115=CETAK!$J$11),OR(CETAK!$J$12="",$P1115=CETAK!$J$12),OR(CETAK!$J$13="",$N1115=CETAK!$J$13),OR(CETAK!$J$14="",$T1115=CETAK!$J$14)),MAX($AC$3:AC1114)+1,""))</f>
        <v/>
      </c>
      <c r="AD1115" s="40" t="str">
        <f aca="false">IF($B1115="","",IF(AND(OR(ABSENSI!$H$10="",$F1115=ABSENSI!$H$10),OR(ABSENSI!$H$11="",$G1115=ABSENSI!$H$11),OR(ABSENSI!$H$12="",$P1115=ABSENSI!$H$12)),MAX($AD$3:AD1114)+1,""))</f>
        <v/>
      </c>
      <c r="AE1115" s="40" t="str">
        <f aca="false">IF($B1115="","",IF(AND(OR(KARTU!$K$6="",$F1115=KARTU!$K$6),OR(KARTU!$K$7="",$G1115=KARTU!$K$7),OR(KARTU!$K$8="",$P1115=KARTU!$K$8)),MAX($AE$3:AE1114)+1,""))</f>
        <v/>
      </c>
    </row>
    <row r="1116" customFormat="false" ht="15" hidden="false" customHeight="false" outlineLevel="0" collapsed="false">
      <c r="A1116" s="35" t="str">
        <f aca="false">IF($B1116="","",COUNTA($B$4:$B1116))</f>
        <v/>
      </c>
      <c r="B1116" s="36"/>
      <c r="C1116" s="37"/>
      <c r="D1116" s="37"/>
      <c r="E1116" s="38"/>
      <c r="F1116" s="36"/>
      <c r="G1116" s="39"/>
      <c r="H1116" s="39"/>
      <c r="I1116" s="36"/>
      <c r="J1116" s="36"/>
      <c r="K1116" s="36"/>
      <c r="L1116" s="36"/>
      <c r="M1116" s="40" t="str">
        <f aca="false">IF($F1116="","",$F1116&amp;IF($G1116="",""," - RT "&amp;$G1116&amp;IF($H1116="","","/"&amp;$H1116)))</f>
        <v/>
      </c>
      <c r="N1116" s="36"/>
      <c r="O1116" s="37"/>
      <c r="P1116" s="39"/>
      <c r="Q1116" s="41"/>
      <c r="R1116" s="35" t="str">
        <f aca="true">IF(OR($B1116="",$Q1116=""),"",DATEDIF($Q1116,TODAY(),"Y"))</f>
        <v/>
      </c>
      <c r="S1116" s="40" t="str">
        <f aca="false">IF($R1116="","",INDEX(usia_label,MATCH($R1116,usia_min,1)))</f>
        <v/>
      </c>
      <c r="T1116" s="36"/>
      <c r="U1116" s="41"/>
      <c r="V1116" s="36"/>
      <c r="W1116" s="36"/>
      <c r="X1116" s="40" t="str">
        <f aca="false">IF($M1116="","",$M1116&amp;"#"&amp;COUNTIF($M$4:$M1116,$M1116))</f>
        <v/>
      </c>
      <c r="Y1116" s="40" t="str">
        <f aca="false">IF($B1116="","",IF($C1116="","NIK kosong",IF(LEN($C1116)&lt;&gt;16,"NIK bukan 16 digit",IF(COUNTIF($C$4:$C$2003,$C1116&amp;"*")&gt;1,"NIK ganda",IF(AND($D1116&lt;&gt;"",LEN($D1116)&lt;&gt;16),"No. KK bukan 16 digit",IF(AND($F1116="",$I1116=""),"Alamat kosong",IF($N1116="","Jabatan kosong",IF($O1116="","No. HP kosong",IF(AND($R1116&lt;&gt;"",$R1116&lt;17),"Usia di bawah 17","")))))))))</f>
        <v/>
      </c>
      <c r="Z1116" s="40" t="str">
        <f aca="false">IF($B1116="","",IF(AND(OR(CARI!$C$5="",ISNUMBER(SEARCH(CARI!$C$5,$B1116&amp;" "&amp;$C1116&amp;" "&amp;$D1116&amp;" "&amp;$O1116&amp;" "&amp;$I1116&amp;" "&amp;$F1116&amp;" "&amp;$J1116&amp;" "&amp;$K1116&amp;" "&amp;$L1116&amp;" "&amp;$V1116))),OR(CARI!$C$6="",$F1116=CARI!$C$6),OR(CARI!$C$7="",$G1116=CARI!$C$7),OR(CARI!$C$8="",$T1116=CARI!$C$8)),MAX($Z$3:Z1115)+1,""))</f>
        <v/>
      </c>
      <c r="AA1116" s="40" t="str">
        <f aca="false">IF($Y1116="","",MAX($AA$3:AA1115)+1)</f>
        <v/>
      </c>
      <c r="AB1116" s="40" t="str">
        <f aca="false">IF($F1116="","",$F1116&amp;"#"&amp;COUNTIF($F$4:$F1116,$F1116))</f>
        <v/>
      </c>
      <c r="AC1116" s="40" t="str">
        <f aca="false">IF($B1116="","",IF(AND(OR(CETAK!$J$10="",$F1116=CETAK!$J$10),OR(CETAK!$J$11="",$G1116=CETAK!$J$11),OR(CETAK!$J$12="",$P1116=CETAK!$J$12),OR(CETAK!$J$13="",$N1116=CETAK!$J$13),OR(CETAK!$J$14="",$T1116=CETAK!$J$14)),MAX($AC$3:AC1115)+1,""))</f>
        <v/>
      </c>
      <c r="AD1116" s="40" t="str">
        <f aca="false">IF($B1116="","",IF(AND(OR(ABSENSI!$H$10="",$F1116=ABSENSI!$H$10),OR(ABSENSI!$H$11="",$G1116=ABSENSI!$H$11),OR(ABSENSI!$H$12="",$P1116=ABSENSI!$H$12)),MAX($AD$3:AD1115)+1,""))</f>
        <v/>
      </c>
      <c r="AE1116" s="40" t="str">
        <f aca="false">IF($B1116="","",IF(AND(OR(KARTU!$K$6="",$F1116=KARTU!$K$6),OR(KARTU!$K$7="",$G1116=KARTU!$K$7),OR(KARTU!$K$8="",$P1116=KARTU!$K$8)),MAX($AE$3:AE1115)+1,""))</f>
        <v/>
      </c>
    </row>
    <row r="1117" customFormat="false" ht="15" hidden="false" customHeight="false" outlineLevel="0" collapsed="false">
      <c r="A1117" s="35" t="str">
        <f aca="false">IF($B1117="","",COUNTA($B$4:$B1117))</f>
        <v/>
      </c>
      <c r="B1117" s="36"/>
      <c r="C1117" s="37"/>
      <c r="D1117" s="37"/>
      <c r="E1117" s="38"/>
      <c r="F1117" s="36"/>
      <c r="G1117" s="39"/>
      <c r="H1117" s="39"/>
      <c r="I1117" s="36"/>
      <c r="J1117" s="36"/>
      <c r="K1117" s="36"/>
      <c r="L1117" s="36"/>
      <c r="M1117" s="40" t="str">
        <f aca="false">IF($F1117="","",$F1117&amp;IF($G1117="",""," - RT "&amp;$G1117&amp;IF($H1117="","","/"&amp;$H1117)))</f>
        <v/>
      </c>
      <c r="N1117" s="36"/>
      <c r="O1117" s="37"/>
      <c r="P1117" s="39"/>
      <c r="Q1117" s="41"/>
      <c r="R1117" s="35" t="str">
        <f aca="true">IF(OR($B1117="",$Q1117=""),"",DATEDIF($Q1117,TODAY(),"Y"))</f>
        <v/>
      </c>
      <c r="S1117" s="40" t="str">
        <f aca="false">IF($R1117="","",INDEX(usia_label,MATCH($R1117,usia_min,1)))</f>
        <v/>
      </c>
      <c r="T1117" s="36"/>
      <c r="U1117" s="41"/>
      <c r="V1117" s="36"/>
      <c r="W1117" s="36"/>
      <c r="X1117" s="40" t="str">
        <f aca="false">IF($M1117="","",$M1117&amp;"#"&amp;COUNTIF($M$4:$M1117,$M1117))</f>
        <v/>
      </c>
      <c r="Y1117" s="40" t="str">
        <f aca="false">IF($B1117="","",IF($C1117="","NIK kosong",IF(LEN($C1117)&lt;&gt;16,"NIK bukan 16 digit",IF(COUNTIF($C$4:$C$2003,$C1117&amp;"*")&gt;1,"NIK ganda",IF(AND($D1117&lt;&gt;"",LEN($D1117)&lt;&gt;16),"No. KK bukan 16 digit",IF(AND($F1117="",$I1117=""),"Alamat kosong",IF($N1117="","Jabatan kosong",IF($O1117="","No. HP kosong",IF(AND($R1117&lt;&gt;"",$R1117&lt;17),"Usia di bawah 17","")))))))))</f>
        <v/>
      </c>
      <c r="Z1117" s="40" t="str">
        <f aca="false">IF($B1117="","",IF(AND(OR(CARI!$C$5="",ISNUMBER(SEARCH(CARI!$C$5,$B1117&amp;" "&amp;$C1117&amp;" "&amp;$D1117&amp;" "&amp;$O1117&amp;" "&amp;$I1117&amp;" "&amp;$F1117&amp;" "&amp;$J1117&amp;" "&amp;$K1117&amp;" "&amp;$L1117&amp;" "&amp;$V1117))),OR(CARI!$C$6="",$F1117=CARI!$C$6),OR(CARI!$C$7="",$G1117=CARI!$C$7),OR(CARI!$C$8="",$T1117=CARI!$C$8)),MAX($Z$3:Z1116)+1,""))</f>
        <v/>
      </c>
      <c r="AA1117" s="40" t="str">
        <f aca="false">IF($Y1117="","",MAX($AA$3:AA1116)+1)</f>
        <v/>
      </c>
      <c r="AB1117" s="40" t="str">
        <f aca="false">IF($F1117="","",$F1117&amp;"#"&amp;COUNTIF($F$4:$F1117,$F1117))</f>
        <v/>
      </c>
      <c r="AC1117" s="40" t="str">
        <f aca="false">IF($B1117="","",IF(AND(OR(CETAK!$J$10="",$F1117=CETAK!$J$10),OR(CETAK!$J$11="",$G1117=CETAK!$J$11),OR(CETAK!$J$12="",$P1117=CETAK!$J$12),OR(CETAK!$J$13="",$N1117=CETAK!$J$13),OR(CETAK!$J$14="",$T1117=CETAK!$J$14)),MAX($AC$3:AC1116)+1,""))</f>
        <v/>
      </c>
      <c r="AD1117" s="40" t="str">
        <f aca="false">IF($B1117="","",IF(AND(OR(ABSENSI!$H$10="",$F1117=ABSENSI!$H$10),OR(ABSENSI!$H$11="",$G1117=ABSENSI!$H$11),OR(ABSENSI!$H$12="",$P1117=ABSENSI!$H$12)),MAX($AD$3:AD1116)+1,""))</f>
        <v/>
      </c>
      <c r="AE1117" s="40" t="str">
        <f aca="false">IF($B1117="","",IF(AND(OR(KARTU!$K$6="",$F1117=KARTU!$K$6),OR(KARTU!$K$7="",$G1117=KARTU!$K$7),OR(KARTU!$K$8="",$P1117=KARTU!$K$8)),MAX($AE$3:AE1116)+1,""))</f>
        <v/>
      </c>
    </row>
    <row r="1118" customFormat="false" ht="15" hidden="false" customHeight="false" outlineLevel="0" collapsed="false">
      <c r="A1118" s="35" t="str">
        <f aca="false">IF($B1118="","",COUNTA($B$4:$B1118))</f>
        <v/>
      </c>
      <c r="B1118" s="36"/>
      <c r="C1118" s="37"/>
      <c r="D1118" s="37"/>
      <c r="E1118" s="38"/>
      <c r="F1118" s="36"/>
      <c r="G1118" s="39"/>
      <c r="H1118" s="39"/>
      <c r="I1118" s="36"/>
      <c r="J1118" s="36"/>
      <c r="K1118" s="36"/>
      <c r="L1118" s="36"/>
      <c r="M1118" s="40" t="str">
        <f aca="false">IF($F1118="","",$F1118&amp;IF($G1118="",""," - RT "&amp;$G1118&amp;IF($H1118="","","/"&amp;$H1118)))</f>
        <v/>
      </c>
      <c r="N1118" s="36"/>
      <c r="O1118" s="37"/>
      <c r="P1118" s="39"/>
      <c r="Q1118" s="41"/>
      <c r="R1118" s="35" t="str">
        <f aca="true">IF(OR($B1118="",$Q1118=""),"",DATEDIF($Q1118,TODAY(),"Y"))</f>
        <v/>
      </c>
      <c r="S1118" s="40" t="str">
        <f aca="false">IF($R1118="","",INDEX(usia_label,MATCH($R1118,usia_min,1)))</f>
        <v/>
      </c>
      <c r="T1118" s="36"/>
      <c r="U1118" s="41"/>
      <c r="V1118" s="36"/>
      <c r="W1118" s="36"/>
      <c r="X1118" s="40" t="str">
        <f aca="false">IF($M1118="","",$M1118&amp;"#"&amp;COUNTIF($M$4:$M1118,$M1118))</f>
        <v/>
      </c>
      <c r="Y1118" s="40" t="str">
        <f aca="false">IF($B1118="","",IF($C1118="","NIK kosong",IF(LEN($C1118)&lt;&gt;16,"NIK bukan 16 digit",IF(COUNTIF($C$4:$C$2003,$C1118&amp;"*")&gt;1,"NIK ganda",IF(AND($D1118&lt;&gt;"",LEN($D1118)&lt;&gt;16),"No. KK bukan 16 digit",IF(AND($F1118="",$I1118=""),"Alamat kosong",IF($N1118="","Jabatan kosong",IF($O1118="","No. HP kosong",IF(AND($R1118&lt;&gt;"",$R1118&lt;17),"Usia di bawah 17","")))))))))</f>
        <v/>
      </c>
      <c r="Z1118" s="40" t="str">
        <f aca="false">IF($B1118="","",IF(AND(OR(CARI!$C$5="",ISNUMBER(SEARCH(CARI!$C$5,$B1118&amp;" "&amp;$C1118&amp;" "&amp;$D1118&amp;" "&amp;$O1118&amp;" "&amp;$I1118&amp;" "&amp;$F1118&amp;" "&amp;$J1118&amp;" "&amp;$K1118&amp;" "&amp;$L1118&amp;" "&amp;$V1118))),OR(CARI!$C$6="",$F1118=CARI!$C$6),OR(CARI!$C$7="",$G1118=CARI!$C$7),OR(CARI!$C$8="",$T1118=CARI!$C$8)),MAX($Z$3:Z1117)+1,""))</f>
        <v/>
      </c>
      <c r="AA1118" s="40" t="str">
        <f aca="false">IF($Y1118="","",MAX($AA$3:AA1117)+1)</f>
        <v/>
      </c>
      <c r="AB1118" s="40" t="str">
        <f aca="false">IF($F1118="","",$F1118&amp;"#"&amp;COUNTIF($F$4:$F1118,$F1118))</f>
        <v/>
      </c>
      <c r="AC1118" s="40" t="str">
        <f aca="false">IF($B1118="","",IF(AND(OR(CETAK!$J$10="",$F1118=CETAK!$J$10),OR(CETAK!$J$11="",$G1118=CETAK!$J$11),OR(CETAK!$J$12="",$P1118=CETAK!$J$12),OR(CETAK!$J$13="",$N1118=CETAK!$J$13),OR(CETAK!$J$14="",$T1118=CETAK!$J$14)),MAX($AC$3:AC1117)+1,""))</f>
        <v/>
      </c>
      <c r="AD1118" s="40" t="str">
        <f aca="false">IF($B1118="","",IF(AND(OR(ABSENSI!$H$10="",$F1118=ABSENSI!$H$10),OR(ABSENSI!$H$11="",$G1118=ABSENSI!$H$11),OR(ABSENSI!$H$12="",$P1118=ABSENSI!$H$12)),MAX($AD$3:AD1117)+1,""))</f>
        <v/>
      </c>
      <c r="AE1118" s="40" t="str">
        <f aca="false">IF($B1118="","",IF(AND(OR(KARTU!$K$6="",$F1118=KARTU!$K$6),OR(KARTU!$K$7="",$G1118=KARTU!$K$7),OR(KARTU!$K$8="",$P1118=KARTU!$K$8)),MAX($AE$3:AE1117)+1,""))</f>
        <v/>
      </c>
    </row>
    <row r="1119" customFormat="false" ht="15" hidden="false" customHeight="false" outlineLevel="0" collapsed="false">
      <c r="A1119" s="35" t="str">
        <f aca="false">IF($B1119="","",COUNTA($B$4:$B1119))</f>
        <v/>
      </c>
      <c r="B1119" s="36"/>
      <c r="C1119" s="37"/>
      <c r="D1119" s="37"/>
      <c r="E1119" s="38"/>
      <c r="F1119" s="36"/>
      <c r="G1119" s="39"/>
      <c r="H1119" s="39"/>
      <c r="I1119" s="36"/>
      <c r="J1119" s="36"/>
      <c r="K1119" s="36"/>
      <c r="L1119" s="36"/>
      <c r="M1119" s="40" t="str">
        <f aca="false">IF($F1119="","",$F1119&amp;IF($G1119="",""," - RT "&amp;$G1119&amp;IF($H1119="","","/"&amp;$H1119)))</f>
        <v/>
      </c>
      <c r="N1119" s="36"/>
      <c r="O1119" s="37"/>
      <c r="P1119" s="39"/>
      <c r="Q1119" s="41"/>
      <c r="R1119" s="35" t="str">
        <f aca="true">IF(OR($B1119="",$Q1119=""),"",DATEDIF($Q1119,TODAY(),"Y"))</f>
        <v/>
      </c>
      <c r="S1119" s="40" t="str">
        <f aca="false">IF($R1119="","",INDEX(usia_label,MATCH($R1119,usia_min,1)))</f>
        <v/>
      </c>
      <c r="T1119" s="36"/>
      <c r="U1119" s="41"/>
      <c r="V1119" s="36"/>
      <c r="W1119" s="36"/>
      <c r="X1119" s="40" t="str">
        <f aca="false">IF($M1119="","",$M1119&amp;"#"&amp;COUNTIF($M$4:$M1119,$M1119))</f>
        <v/>
      </c>
      <c r="Y1119" s="40" t="str">
        <f aca="false">IF($B1119="","",IF($C1119="","NIK kosong",IF(LEN($C1119)&lt;&gt;16,"NIK bukan 16 digit",IF(COUNTIF($C$4:$C$2003,$C1119&amp;"*")&gt;1,"NIK ganda",IF(AND($D1119&lt;&gt;"",LEN($D1119)&lt;&gt;16),"No. KK bukan 16 digit",IF(AND($F1119="",$I1119=""),"Alamat kosong",IF($N1119="","Jabatan kosong",IF($O1119="","No. HP kosong",IF(AND($R1119&lt;&gt;"",$R1119&lt;17),"Usia di bawah 17","")))))))))</f>
        <v/>
      </c>
      <c r="Z1119" s="40" t="str">
        <f aca="false">IF($B1119="","",IF(AND(OR(CARI!$C$5="",ISNUMBER(SEARCH(CARI!$C$5,$B1119&amp;" "&amp;$C1119&amp;" "&amp;$D1119&amp;" "&amp;$O1119&amp;" "&amp;$I1119&amp;" "&amp;$F1119&amp;" "&amp;$J1119&amp;" "&amp;$K1119&amp;" "&amp;$L1119&amp;" "&amp;$V1119))),OR(CARI!$C$6="",$F1119=CARI!$C$6),OR(CARI!$C$7="",$G1119=CARI!$C$7),OR(CARI!$C$8="",$T1119=CARI!$C$8)),MAX($Z$3:Z1118)+1,""))</f>
        <v/>
      </c>
      <c r="AA1119" s="40" t="str">
        <f aca="false">IF($Y1119="","",MAX($AA$3:AA1118)+1)</f>
        <v/>
      </c>
      <c r="AB1119" s="40" t="str">
        <f aca="false">IF($F1119="","",$F1119&amp;"#"&amp;COUNTIF($F$4:$F1119,$F1119))</f>
        <v/>
      </c>
      <c r="AC1119" s="40" t="str">
        <f aca="false">IF($B1119="","",IF(AND(OR(CETAK!$J$10="",$F1119=CETAK!$J$10),OR(CETAK!$J$11="",$G1119=CETAK!$J$11),OR(CETAK!$J$12="",$P1119=CETAK!$J$12),OR(CETAK!$J$13="",$N1119=CETAK!$J$13),OR(CETAK!$J$14="",$T1119=CETAK!$J$14)),MAX($AC$3:AC1118)+1,""))</f>
        <v/>
      </c>
      <c r="AD1119" s="40" t="str">
        <f aca="false">IF($B1119="","",IF(AND(OR(ABSENSI!$H$10="",$F1119=ABSENSI!$H$10),OR(ABSENSI!$H$11="",$G1119=ABSENSI!$H$11),OR(ABSENSI!$H$12="",$P1119=ABSENSI!$H$12)),MAX($AD$3:AD1118)+1,""))</f>
        <v/>
      </c>
      <c r="AE1119" s="40" t="str">
        <f aca="false">IF($B1119="","",IF(AND(OR(KARTU!$K$6="",$F1119=KARTU!$K$6),OR(KARTU!$K$7="",$G1119=KARTU!$K$7),OR(KARTU!$K$8="",$P1119=KARTU!$K$8)),MAX($AE$3:AE1118)+1,""))</f>
        <v/>
      </c>
    </row>
    <row r="1120" customFormat="false" ht="15" hidden="false" customHeight="false" outlineLevel="0" collapsed="false">
      <c r="A1120" s="35" t="str">
        <f aca="false">IF($B1120="","",COUNTA($B$4:$B1120))</f>
        <v/>
      </c>
      <c r="B1120" s="36"/>
      <c r="C1120" s="37"/>
      <c r="D1120" s="37"/>
      <c r="E1120" s="38"/>
      <c r="F1120" s="36"/>
      <c r="G1120" s="39"/>
      <c r="H1120" s="39"/>
      <c r="I1120" s="36"/>
      <c r="J1120" s="36"/>
      <c r="K1120" s="36"/>
      <c r="L1120" s="36"/>
      <c r="M1120" s="40" t="str">
        <f aca="false">IF($F1120="","",$F1120&amp;IF($G1120="",""," - RT "&amp;$G1120&amp;IF($H1120="","","/"&amp;$H1120)))</f>
        <v/>
      </c>
      <c r="N1120" s="36"/>
      <c r="O1120" s="37"/>
      <c r="P1120" s="39"/>
      <c r="Q1120" s="41"/>
      <c r="R1120" s="35" t="str">
        <f aca="true">IF(OR($B1120="",$Q1120=""),"",DATEDIF($Q1120,TODAY(),"Y"))</f>
        <v/>
      </c>
      <c r="S1120" s="40" t="str">
        <f aca="false">IF($R1120="","",INDEX(usia_label,MATCH($R1120,usia_min,1)))</f>
        <v/>
      </c>
      <c r="T1120" s="36"/>
      <c r="U1120" s="41"/>
      <c r="V1120" s="36"/>
      <c r="W1120" s="36"/>
      <c r="X1120" s="40" t="str">
        <f aca="false">IF($M1120="","",$M1120&amp;"#"&amp;COUNTIF($M$4:$M1120,$M1120))</f>
        <v/>
      </c>
      <c r="Y1120" s="40" t="str">
        <f aca="false">IF($B1120="","",IF($C1120="","NIK kosong",IF(LEN($C1120)&lt;&gt;16,"NIK bukan 16 digit",IF(COUNTIF($C$4:$C$2003,$C1120&amp;"*")&gt;1,"NIK ganda",IF(AND($D1120&lt;&gt;"",LEN($D1120)&lt;&gt;16),"No. KK bukan 16 digit",IF(AND($F1120="",$I1120=""),"Alamat kosong",IF($N1120="","Jabatan kosong",IF($O1120="","No. HP kosong",IF(AND($R1120&lt;&gt;"",$R1120&lt;17),"Usia di bawah 17","")))))))))</f>
        <v/>
      </c>
      <c r="Z1120" s="40" t="str">
        <f aca="false">IF($B1120="","",IF(AND(OR(CARI!$C$5="",ISNUMBER(SEARCH(CARI!$C$5,$B1120&amp;" "&amp;$C1120&amp;" "&amp;$D1120&amp;" "&amp;$O1120&amp;" "&amp;$I1120&amp;" "&amp;$F1120&amp;" "&amp;$J1120&amp;" "&amp;$K1120&amp;" "&amp;$L1120&amp;" "&amp;$V1120))),OR(CARI!$C$6="",$F1120=CARI!$C$6),OR(CARI!$C$7="",$G1120=CARI!$C$7),OR(CARI!$C$8="",$T1120=CARI!$C$8)),MAX($Z$3:Z1119)+1,""))</f>
        <v/>
      </c>
      <c r="AA1120" s="40" t="str">
        <f aca="false">IF($Y1120="","",MAX($AA$3:AA1119)+1)</f>
        <v/>
      </c>
      <c r="AB1120" s="40" t="str">
        <f aca="false">IF($F1120="","",$F1120&amp;"#"&amp;COUNTIF($F$4:$F1120,$F1120))</f>
        <v/>
      </c>
      <c r="AC1120" s="40" t="str">
        <f aca="false">IF($B1120="","",IF(AND(OR(CETAK!$J$10="",$F1120=CETAK!$J$10),OR(CETAK!$J$11="",$G1120=CETAK!$J$11),OR(CETAK!$J$12="",$P1120=CETAK!$J$12),OR(CETAK!$J$13="",$N1120=CETAK!$J$13),OR(CETAK!$J$14="",$T1120=CETAK!$J$14)),MAX($AC$3:AC1119)+1,""))</f>
        <v/>
      </c>
      <c r="AD1120" s="40" t="str">
        <f aca="false">IF($B1120="","",IF(AND(OR(ABSENSI!$H$10="",$F1120=ABSENSI!$H$10),OR(ABSENSI!$H$11="",$G1120=ABSENSI!$H$11),OR(ABSENSI!$H$12="",$P1120=ABSENSI!$H$12)),MAX($AD$3:AD1119)+1,""))</f>
        <v/>
      </c>
      <c r="AE1120" s="40" t="str">
        <f aca="false">IF($B1120="","",IF(AND(OR(KARTU!$K$6="",$F1120=KARTU!$K$6),OR(KARTU!$K$7="",$G1120=KARTU!$K$7),OR(KARTU!$K$8="",$P1120=KARTU!$K$8)),MAX($AE$3:AE1119)+1,""))</f>
        <v/>
      </c>
    </row>
    <row r="1121" customFormat="false" ht="15" hidden="false" customHeight="false" outlineLevel="0" collapsed="false">
      <c r="A1121" s="35" t="str">
        <f aca="false">IF($B1121="","",COUNTA($B$4:$B1121))</f>
        <v/>
      </c>
      <c r="B1121" s="36"/>
      <c r="C1121" s="37"/>
      <c r="D1121" s="37"/>
      <c r="E1121" s="38"/>
      <c r="F1121" s="36"/>
      <c r="G1121" s="39"/>
      <c r="H1121" s="39"/>
      <c r="I1121" s="36"/>
      <c r="J1121" s="36"/>
      <c r="K1121" s="36"/>
      <c r="L1121" s="36"/>
      <c r="M1121" s="40" t="str">
        <f aca="false">IF($F1121="","",$F1121&amp;IF($G1121="",""," - RT "&amp;$G1121&amp;IF($H1121="","","/"&amp;$H1121)))</f>
        <v/>
      </c>
      <c r="N1121" s="36"/>
      <c r="O1121" s="37"/>
      <c r="P1121" s="39"/>
      <c r="Q1121" s="41"/>
      <c r="R1121" s="35" t="str">
        <f aca="true">IF(OR($B1121="",$Q1121=""),"",DATEDIF($Q1121,TODAY(),"Y"))</f>
        <v/>
      </c>
      <c r="S1121" s="40" t="str">
        <f aca="false">IF($R1121="","",INDEX(usia_label,MATCH($R1121,usia_min,1)))</f>
        <v/>
      </c>
      <c r="T1121" s="36"/>
      <c r="U1121" s="41"/>
      <c r="V1121" s="36"/>
      <c r="W1121" s="36"/>
      <c r="X1121" s="40" t="str">
        <f aca="false">IF($M1121="","",$M1121&amp;"#"&amp;COUNTIF($M$4:$M1121,$M1121))</f>
        <v/>
      </c>
      <c r="Y1121" s="40" t="str">
        <f aca="false">IF($B1121="","",IF($C1121="","NIK kosong",IF(LEN($C1121)&lt;&gt;16,"NIK bukan 16 digit",IF(COUNTIF($C$4:$C$2003,$C1121&amp;"*")&gt;1,"NIK ganda",IF(AND($D1121&lt;&gt;"",LEN($D1121)&lt;&gt;16),"No. KK bukan 16 digit",IF(AND($F1121="",$I1121=""),"Alamat kosong",IF($N1121="","Jabatan kosong",IF($O1121="","No. HP kosong",IF(AND($R1121&lt;&gt;"",$R1121&lt;17),"Usia di bawah 17","")))))))))</f>
        <v/>
      </c>
      <c r="Z1121" s="40" t="str">
        <f aca="false">IF($B1121="","",IF(AND(OR(CARI!$C$5="",ISNUMBER(SEARCH(CARI!$C$5,$B1121&amp;" "&amp;$C1121&amp;" "&amp;$D1121&amp;" "&amp;$O1121&amp;" "&amp;$I1121&amp;" "&amp;$F1121&amp;" "&amp;$J1121&amp;" "&amp;$K1121&amp;" "&amp;$L1121&amp;" "&amp;$V1121))),OR(CARI!$C$6="",$F1121=CARI!$C$6),OR(CARI!$C$7="",$G1121=CARI!$C$7),OR(CARI!$C$8="",$T1121=CARI!$C$8)),MAX($Z$3:Z1120)+1,""))</f>
        <v/>
      </c>
      <c r="AA1121" s="40" t="str">
        <f aca="false">IF($Y1121="","",MAX($AA$3:AA1120)+1)</f>
        <v/>
      </c>
      <c r="AB1121" s="40" t="str">
        <f aca="false">IF($F1121="","",$F1121&amp;"#"&amp;COUNTIF($F$4:$F1121,$F1121))</f>
        <v/>
      </c>
      <c r="AC1121" s="40" t="str">
        <f aca="false">IF($B1121="","",IF(AND(OR(CETAK!$J$10="",$F1121=CETAK!$J$10),OR(CETAK!$J$11="",$G1121=CETAK!$J$11),OR(CETAK!$J$12="",$P1121=CETAK!$J$12),OR(CETAK!$J$13="",$N1121=CETAK!$J$13),OR(CETAK!$J$14="",$T1121=CETAK!$J$14)),MAX($AC$3:AC1120)+1,""))</f>
        <v/>
      </c>
      <c r="AD1121" s="40" t="str">
        <f aca="false">IF($B1121="","",IF(AND(OR(ABSENSI!$H$10="",$F1121=ABSENSI!$H$10),OR(ABSENSI!$H$11="",$G1121=ABSENSI!$H$11),OR(ABSENSI!$H$12="",$P1121=ABSENSI!$H$12)),MAX($AD$3:AD1120)+1,""))</f>
        <v/>
      </c>
      <c r="AE1121" s="40" t="str">
        <f aca="false">IF($B1121="","",IF(AND(OR(KARTU!$K$6="",$F1121=KARTU!$K$6),OR(KARTU!$K$7="",$G1121=KARTU!$K$7),OR(KARTU!$K$8="",$P1121=KARTU!$K$8)),MAX($AE$3:AE1120)+1,""))</f>
        <v/>
      </c>
    </row>
    <row r="1122" customFormat="false" ht="15" hidden="false" customHeight="false" outlineLevel="0" collapsed="false">
      <c r="A1122" s="35" t="str">
        <f aca="false">IF($B1122="","",COUNTA($B$4:$B1122))</f>
        <v/>
      </c>
      <c r="B1122" s="36"/>
      <c r="C1122" s="37"/>
      <c r="D1122" s="37"/>
      <c r="E1122" s="38"/>
      <c r="F1122" s="36"/>
      <c r="G1122" s="39"/>
      <c r="H1122" s="39"/>
      <c r="I1122" s="36"/>
      <c r="J1122" s="36"/>
      <c r="K1122" s="36"/>
      <c r="L1122" s="36"/>
      <c r="M1122" s="40" t="str">
        <f aca="false">IF($F1122="","",$F1122&amp;IF($G1122="",""," - RT "&amp;$G1122&amp;IF($H1122="","","/"&amp;$H1122)))</f>
        <v/>
      </c>
      <c r="N1122" s="36"/>
      <c r="O1122" s="37"/>
      <c r="P1122" s="39"/>
      <c r="Q1122" s="41"/>
      <c r="R1122" s="35" t="str">
        <f aca="true">IF(OR($B1122="",$Q1122=""),"",DATEDIF($Q1122,TODAY(),"Y"))</f>
        <v/>
      </c>
      <c r="S1122" s="40" t="str">
        <f aca="false">IF($R1122="","",INDEX(usia_label,MATCH($R1122,usia_min,1)))</f>
        <v/>
      </c>
      <c r="T1122" s="36"/>
      <c r="U1122" s="41"/>
      <c r="V1122" s="36"/>
      <c r="W1122" s="36"/>
      <c r="X1122" s="40" t="str">
        <f aca="false">IF($M1122="","",$M1122&amp;"#"&amp;COUNTIF($M$4:$M1122,$M1122))</f>
        <v/>
      </c>
      <c r="Y1122" s="40" t="str">
        <f aca="false">IF($B1122="","",IF($C1122="","NIK kosong",IF(LEN($C1122)&lt;&gt;16,"NIK bukan 16 digit",IF(COUNTIF($C$4:$C$2003,$C1122&amp;"*")&gt;1,"NIK ganda",IF(AND($D1122&lt;&gt;"",LEN($D1122)&lt;&gt;16),"No. KK bukan 16 digit",IF(AND($F1122="",$I1122=""),"Alamat kosong",IF($N1122="","Jabatan kosong",IF($O1122="","No. HP kosong",IF(AND($R1122&lt;&gt;"",$R1122&lt;17),"Usia di bawah 17","")))))))))</f>
        <v/>
      </c>
      <c r="Z1122" s="40" t="str">
        <f aca="false">IF($B1122="","",IF(AND(OR(CARI!$C$5="",ISNUMBER(SEARCH(CARI!$C$5,$B1122&amp;" "&amp;$C1122&amp;" "&amp;$D1122&amp;" "&amp;$O1122&amp;" "&amp;$I1122&amp;" "&amp;$F1122&amp;" "&amp;$J1122&amp;" "&amp;$K1122&amp;" "&amp;$L1122&amp;" "&amp;$V1122))),OR(CARI!$C$6="",$F1122=CARI!$C$6),OR(CARI!$C$7="",$G1122=CARI!$C$7),OR(CARI!$C$8="",$T1122=CARI!$C$8)),MAX($Z$3:Z1121)+1,""))</f>
        <v/>
      </c>
      <c r="AA1122" s="40" t="str">
        <f aca="false">IF($Y1122="","",MAX($AA$3:AA1121)+1)</f>
        <v/>
      </c>
      <c r="AB1122" s="40" t="str">
        <f aca="false">IF($F1122="","",$F1122&amp;"#"&amp;COUNTIF($F$4:$F1122,$F1122))</f>
        <v/>
      </c>
      <c r="AC1122" s="40" t="str">
        <f aca="false">IF($B1122="","",IF(AND(OR(CETAK!$J$10="",$F1122=CETAK!$J$10),OR(CETAK!$J$11="",$G1122=CETAK!$J$11),OR(CETAK!$J$12="",$P1122=CETAK!$J$12),OR(CETAK!$J$13="",$N1122=CETAK!$J$13),OR(CETAK!$J$14="",$T1122=CETAK!$J$14)),MAX($AC$3:AC1121)+1,""))</f>
        <v/>
      </c>
      <c r="AD1122" s="40" t="str">
        <f aca="false">IF($B1122="","",IF(AND(OR(ABSENSI!$H$10="",$F1122=ABSENSI!$H$10),OR(ABSENSI!$H$11="",$G1122=ABSENSI!$H$11),OR(ABSENSI!$H$12="",$P1122=ABSENSI!$H$12)),MAX($AD$3:AD1121)+1,""))</f>
        <v/>
      </c>
      <c r="AE1122" s="40" t="str">
        <f aca="false">IF($B1122="","",IF(AND(OR(KARTU!$K$6="",$F1122=KARTU!$K$6),OR(KARTU!$K$7="",$G1122=KARTU!$K$7),OR(KARTU!$K$8="",$P1122=KARTU!$K$8)),MAX($AE$3:AE1121)+1,""))</f>
        <v/>
      </c>
    </row>
    <row r="1123" customFormat="false" ht="15" hidden="false" customHeight="false" outlineLevel="0" collapsed="false">
      <c r="A1123" s="35" t="str">
        <f aca="false">IF($B1123="","",COUNTA($B$4:$B1123))</f>
        <v/>
      </c>
      <c r="B1123" s="36"/>
      <c r="C1123" s="37"/>
      <c r="D1123" s="37"/>
      <c r="E1123" s="38"/>
      <c r="F1123" s="36"/>
      <c r="G1123" s="39"/>
      <c r="H1123" s="39"/>
      <c r="I1123" s="36"/>
      <c r="J1123" s="36"/>
      <c r="K1123" s="36"/>
      <c r="L1123" s="36"/>
      <c r="M1123" s="40" t="str">
        <f aca="false">IF($F1123="","",$F1123&amp;IF($G1123="",""," - RT "&amp;$G1123&amp;IF($H1123="","","/"&amp;$H1123)))</f>
        <v/>
      </c>
      <c r="N1123" s="36"/>
      <c r="O1123" s="37"/>
      <c r="P1123" s="39"/>
      <c r="Q1123" s="41"/>
      <c r="R1123" s="35" t="str">
        <f aca="true">IF(OR($B1123="",$Q1123=""),"",DATEDIF($Q1123,TODAY(),"Y"))</f>
        <v/>
      </c>
      <c r="S1123" s="40" t="str">
        <f aca="false">IF($R1123="","",INDEX(usia_label,MATCH($R1123,usia_min,1)))</f>
        <v/>
      </c>
      <c r="T1123" s="36"/>
      <c r="U1123" s="41"/>
      <c r="V1123" s="36"/>
      <c r="W1123" s="36"/>
      <c r="X1123" s="40" t="str">
        <f aca="false">IF($M1123="","",$M1123&amp;"#"&amp;COUNTIF($M$4:$M1123,$M1123))</f>
        <v/>
      </c>
      <c r="Y1123" s="40" t="str">
        <f aca="false">IF($B1123="","",IF($C1123="","NIK kosong",IF(LEN($C1123)&lt;&gt;16,"NIK bukan 16 digit",IF(COUNTIF($C$4:$C$2003,$C1123&amp;"*")&gt;1,"NIK ganda",IF(AND($D1123&lt;&gt;"",LEN($D1123)&lt;&gt;16),"No. KK bukan 16 digit",IF(AND($F1123="",$I1123=""),"Alamat kosong",IF($N1123="","Jabatan kosong",IF($O1123="","No. HP kosong",IF(AND($R1123&lt;&gt;"",$R1123&lt;17),"Usia di bawah 17","")))))))))</f>
        <v/>
      </c>
      <c r="Z1123" s="40" t="str">
        <f aca="false">IF($B1123="","",IF(AND(OR(CARI!$C$5="",ISNUMBER(SEARCH(CARI!$C$5,$B1123&amp;" "&amp;$C1123&amp;" "&amp;$D1123&amp;" "&amp;$O1123&amp;" "&amp;$I1123&amp;" "&amp;$F1123&amp;" "&amp;$J1123&amp;" "&amp;$K1123&amp;" "&amp;$L1123&amp;" "&amp;$V1123))),OR(CARI!$C$6="",$F1123=CARI!$C$6),OR(CARI!$C$7="",$G1123=CARI!$C$7),OR(CARI!$C$8="",$T1123=CARI!$C$8)),MAX($Z$3:Z1122)+1,""))</f>
        <v/>
      </c>
      <c r="AA1123" s="40" t="str">
        <f aca="false">IF($Y1123="","",MAX($AA$3:AA1122)+1)</f>
        <v/>
      </c>
      <c r="AB1123" s="40" t="str">
        <f aca="false">IF($F1123="","",$F1123&amp;"#"&amp;COUNTIF($F$4:$F1123,$F1123))</f>
        <v/>
      </c>
      <c r="AC1123" s="40" t="str">
        <f aca="false">IF($B1123="","",IF(AND(OR(CETAK!$J$10="",$F1123=CETAK!$J$10),OR(CETAK!$J$11="",$G1123=CETAK!$J$11),OR(CETAK!$J$12="",$P1123=CETAK!$J$12),OR(CETAK!$J$13="",$N1123=CETAK!$J$13),OR(CETAK!$J$14="",$T1123=CETAK!$J$14)),MAX($AC$3:AC1122)+1,""))</f>
        <v/>
      </c>
      <c r="AD1123" s="40" t="str">
        <f aca="false">IF($B1123="","",IF(AND(OR(ABSENSI!$H$10="",$F1123=ABSENSI!$H$10),OR(ABSENSI!$H$11="",$G1123=ABSENSI!$H$11),OR(ABSENSI!$H$12="",$P1123=ABSENSI!$H$12)),MAX($AD$3:AD1122)+1,""))</f>
        <v/>
      </c>
      <c r="AE1123" s="40" t="str">
        <f aca="false">IF($B1123="","",IF(AND(OR(KARTU!$K$6="",$F1123=KARTU!$K$6),OR(KARTU!$K$7="",$G1123=KARTU!$K$7),OR(KARTU!$K$8="",$P1123=KARTU!$K$8)),MAX($AE$3:AE1122)+1,""))</f>
        <v/>
      </c>
    </row>
    <row r="1124" customFormat="false" ht="15" hidden="false" customHeight="false" outlineLevel="0" collapsed="false">
      <c r="A1124" s="35" t="str">
        <f aca="false">IF($B1124="","",COUNTA($B$4:$B1124))</f>
        <v/>
      </c>
      <c r="B1124" s="36"/>
      <c r="C1124" s="37"/>
      <c r="D1124" s="37"/>
      <c r="E1124" s="38"/>
      <c r="F1124" s="36"/>
      <c r="G1124" s="39"/>
      <c r="H1124" s="39"/>
      <c r="I1124" s="36"/>
      <c r="J1124" s="36"/>
      <c r="K1124" s="36"/>
      <c r="L1124" s="36"/>
      <c r="M1124" s="40" t="str">
        <f aca="false">IF($F1124="","",$F1124&amp;IF($G1124="",""," - RT "&amp;$G1124&amp;IF($H1124="","","/"&amp;$H1124)))</f>
        <v/>
      </c>
      <c r="N1124" s="36"/>
      <c r="O1124" s="37"/>
      <c r="P1124" s="39"/>
      <c r="Q1124" s="41"/>
      <c r="R1124" s="35" t="str">
        <f aca="true">IF(OR($B1124="",$Q1124=""),"",DATEDIF($Q1124,TODAY(),"Y"))</f>
        <v/>
      </c>
      <c r="S1124" s="40" t="str">
        <f aca="false">IF($R1124="","",INDEX(usia_label,MATCH($R1124,usia_min,1)))</f>
        <v/>
      </c>
      <c r="T1124" s="36"/>
      <c r="U1124" s="41"/>
      <c r="V1124" s="36"/>
      <c r="W1124" s="36"/>
      <c r="X1124" s="40" t="str">
        <f aca="false">IF($M1124="","",$M1124&amp;"#"&amp;COUNTIF($M$4:$M1124,$M1124))</f>
        <v/>
      </c>
      <c r="Y1124" s="40" t="str">
        <f aca="false">IF($B1124="","",IF($C1124="","NIK kosong",IF(LEN($C1124)&lt;&gt;16,"NIK bukan 16 digit",IF(COUNTIF($C$4:$C$2003,$C1124&amp;"*")&gt;1,"NIK ganda",IF(AND($D1124&lt;&gt;"",LEN($D1124)&lt;&gt;16),"No. KK bukan 16 digit",IF(AND($F1124="",$I1124=""),"Alamat kosong",IF($N1124="","Jabatan kosong",IF($O1124="","No. HP kosong",IF(AND($R1124&lt;&gt;"",$R1124&lt;17),"Usia di bawah 17","")))))))))</f>
        <v/>
      </c>
      <c r="Z1124" s="40" t="str">
        <f aca="false">IF($B1124="","",IF(AND(OR(CARI!$C$5="",ISNUMBER(SEARCH(CARI!$C$5,$B1124&amp;" "&amp;$C1124&amp;" "&amp;$D1124&amp;" "&amp;$O1124&amp;" "&amp;$I1124&amp;" "&amp;$F1124&amp;" "&amp;$J1124&amp;" "&amp;$K1124&amp;" "&amp;$L1124&amp;" "&amp;$V1124))),OR(CARI!$C$6="",$F1124=CARI!$C$6),OR(CARI!$C$7="",$G1124=CARI!$C$7),OR(CARI!$C$8="",$T1124=CARI!$C$8)),MAX($Z$3:Z1123)+1,""))</f>
        <v/>
      </c>
      <c r="AA1124" s="40" t="str">
        <f aca="false">IF($Y1124="","",MAX($AA$3:AA1123)+1)</f>
        <v/>
      </c>
      <c r="AB1124" s="40" t="str">
        <f aca="false">IF($F1124="","",$F1124&amp;"#"&amp;COUNTIF($F$4:$F1124,$F1124))</f>
        <v/>
      </c>
      <c r="AC1124" s="40" t="str">
        <f aca="false">IF($B1124="","",IF(AND(OR(CETAK!$J$10="",$F1124=CETAK!$J$10),OR(CETAK!$J$11="",$G1124=CETAK!$J$11),OR(CETAK!$J$12="",$P1124=CETAK!$J$12),OR(CETAK!$J$13="",$N1124=CETAK!$J$13),OR(CETAK!$J$14="",$T1124=CETAK!$J$14)),MAX($AC$3:AC1123)+1,""))</f>
        <v/>
      </c>
      <c r="AD1124" s="40" t="str">
        <f aca="false">IF($B1124="","",IF(AND(OR(ABSENSI!$H$10="",$F1124=ABSENSI!$H$10),OR(ABSENSI!$H$11="",$G1124=ABSENSI!$H$11),OR(ABSENSI!$H$12="",$P1124=ABSENSI!$H$12)),MAX($AD$3:AD1123)+1,""))</f>
        <v/>
      </c>
      <c r="AE1124" s="40" t="str">
        <f aca="false">IF($B1124="","",IF(AND(OR(KARTU!$K$6="",$F1124=KARTU!$K$6),OR(KARTU!$K$7="",$G1124=KARTU!$K$7),OR(KARTU!$K$8="",$P1124=KARTU!$K$8)),MAX($AE$3:AE1123)+1,""))</f>
        <v/>
      </c>
    </row>
    <row r="1125" customFormat="false" ht="15" hidden="false" customHeight="false" outlineLevel="0" collapsed="false">
      <c r="A1125" s="35" t="str">
        <f aca="false">IF($B1125="","",COUNTA($B$4:$B1125))</f>
        <v/>
      </c>
      <c r="B1125" s="36"/>
      <c r="C1125" s="37"/>
      <c r="D1125" s="37"/>
      <c r="E1125" s="38"/>
      <c r="F1125" s="36"/>
      <c r="G1125" s="39"/>
      <c r="H1125" s="39"/>
      <c r="I1125" s="36"/>
      <c r="J1125" s="36"/>
      <c r="K1125" s="36"/>
      <c r="L1125" s="36"/>
      <c r="M1125" s="40" t="str">
        <f aca="false">IF($F1125="","",$F1125&amp;IF($G1125="",""," - RT "&amp;$G1125&amp;IF($H1125="","","/"&amp;$H1125)))</f>
        <v/>
      </c>
      <c r="N1125" s="36"/>
      <c r="O1125" s="37"/>
      <c r="P1125" s="39"/>
      <c r="Q1125" s="41"/>
      <c r="R1125" s="35" t="str">
        <f aca="true">IF(OR($B1125="",$Q1125=""),"",DATEDIF($Q1125,TODAY(),"Y"))</f>
        <v/>
      </c>
      <c r="S1125" s="40" t="str">
        <f aca="false">IF($R1125="","",INDEX(usia_label,MATCH($R1125,usia_min,1)))</f>
        <v/>
      </c>
      <c r="T1125" s="36"/>
      <c r="U1125" s="41"/>
      <c r="V1125" s="36"/>
      <c r="W1125" s="36"/>
      <c r="X1125" s="40" t="str">
        <f aca="false">IF($M1125="","",$M1125&amp;"#"&amp;COUNTIF($M$4:$M1125,$M1125))</f>
        <v/>
      </c>
      <c r="Y1125" s="40" t="str">
        <f aca="false">IF($B1125="","",IF($C1125="","NIK kosong",IF(LEN($C1125)&lt;&gt;16,"NIK bukan 16 digit",IF(COUNTIF($C$4:$C$2003,$C1125&amp;"*")&gt;1,"NIK ganda",IF(AND($D1125&lt;&gt;"",LEN($D1125)&lt;&gt;16),"No. KK bukan 16 digit",IF(AND($F1125="",$I1125=""),"Alamat kosong",IF($N1125="","Jabatan kosong",IF($O1125="","No. HP kosong",IF(AND($R1125&lt;&gt;"",$R1125&lt;17),"Usia di bawah 17","")))))))))</f>
        <v/>
      </c>
      <c r="Z1125" s="40" t="str">
        <f aca="false">IF($B1125="","",IF(AND(OR(CARI!$C$5="",ISNUMBER(SEARCH(CARI!$C$5,$B1125&amp;" "&amp;$C1125&amp;" "&amp;$D1125&amp;" "&amp;$O1125&amp;" "&amp;$I1125&amp;" "&amp;$F1125&amp;" "&amp;$J1125&amp;" "&amp;$K1125&amp;" "&amp;$L1125&amp;" "&amp;$V1125))),OR(CARI!$C$6="",$F1125=CARI!$C$6),OR(CARI!$C$7="",$G1125=CARI!$C$7),OR(CARI!$C$8="",$T1125=CARI!$C$8)),MAX($Z$3:Z1124)+1,""))</f>
        <v/>
      </c>
      <c r="AA1125" s="40" t="str">
        <f aca="false">IF($Y1125="","",MAX($AA$3:AA1124)+1)</f>
        <v/>
      </c>
      <c r="AB1125" s="40" t="str">
        <f aca="false">IF($F1125="","",$F1125&amp;"#"&amp;COUNTIF($F$4:$F1125,$F1125))</f>
        <v/>
      </c>
      <c r="AC1125" s="40" t="str">
        <f aca="false">IF($B1125="","",IF(AND(OR(CETAK!$J$10="",$F1125=CETAK!$J$10),OR(CETAK!$J$11="",$G1125=CETAK!$J$11),OR(CETAK!$J$12="",$P1125=CETAK!$J$12),OR(CETAK!$J$13="",$N1125=CETAK!$J$13),OR(CETAK!$J$14="",$T1125=CETAK!$J$14)),MAX($AC$3:AC1124)+1,""))</f>
        <v/>
      </c>
      <c r="AD1125" s="40" t="str">
        <f aca="false">IF($B1125="","",IF(AND(OR(ABSENSI!$H$10="",$F1125=ABSENSI!$H$10),OR(ABSENSI!$H$11="",$G1125=ABSENSI!$H$11),OR(ABSENSI!$H$12="",$P1125=ABSENSI!$H$12)),MAX($AD$3:AD1124)+1,""))</f>
        <v/>
      </c>
      <c r="AE1125" s="40" t="str">
        <f aca="false">IF($B1125="","",IF(AND(OR(KARTU!$K$6="",$F1125=KARTU!$K$6),OR(KARTU!$K$7="",$G1125=KARTU!$K$7),OR(KARTU!$K$8="",$P1125=KARTU!$K$8)),MAX($AE$3:AE1124)+1,""))</f>
        <v/>
      </c>
    </row>
    <row r="1126" customFormat="false" ht="15" hidden="false" customHeight="false" outlineLevel="0" collapsed="false">
      <c r="A1126" s="35" t="str">
        <f aca="false">IF($B1126="","",COUNTA($B$4:$B1126))</f>
        <v/>
      </c>
      <c r="B1126" s="36"/>
      <c r="C1126" s="37"/>
      <c r="D1126" s="37"/>
      <c r="E1126" s="38"/>
      <c r="F1126" s="36"/>
      <c r="G1126" s="39"/>
      <c r="H1126" s="39"/>
      <c r="I1126" s="36"/>
      <c r="J1126" s="36"/>
      <c r="K1126" s="36"/>
      <c r="L1126" s="36"/>
      <c r="M1126" s="40" t="str">
        <f aca="false">IF($F1126="","",$F1126&amp;IF($G1126="",""," - RT "&amp;$G1126&amp;IF($H1126="","","/"&amp;$H1126)))</f>
        <v/>
      </c>
      <c r="N1126" s="36"/>
      <c r="O1126" s="37"/>
      <c r="P1126" s="39"/>
      <c r="Q1126" s="41"/>
      <c r="R1126" s="35" t="str">
        <f aca="true">IF(OR($B1126="",$Q1126=""),"",DATEDIF($Q1126,TODAY(),"Y"))</f>
        <v/>
      </c>
      <c r="S1126" s="40" t="str">
        <f aca="false">IF($R1126="","",INDEX(usia_label,MATCH($R1126,usia_min,1)))</f>
        <v/>
      </c>
      <c r="T1126" s="36"/>
      <c r="U1126" s="41"/>
      <c r="V1126" s="36"/>
      <c r="W1126" s="36"/>
      <c r="X1126" s="40" t="str">
        <f aca="false">IF($M1126="","",$M1126&amp;"#"&amp;COUNTIF($M$4:$M1126,$M1126))</f>
        <v/>
      </c>
      <c r="Y1126" s="40" t="str">
        <f aca="false">IF($B1126="","",IF($C1126="","NIK kosong",IF(LEN($C1126)&lt;&gt;16,"NIK bukan 16 digit",IF(COUNTIF($C$4:$C$2003,$C1126&amp;"*")&gt;1,"NIK ganda",IF(AND($D1126&lt;&gt;"",LEN($D1126)&lt;&gt;16),"No. KK bukan 16 digit",IF(AND($F1126="",$I1126=""),"Alamat kosong",IF($N1126="","Jabatan kosong",IF($O1126="","No. HP kosong",IF(AND($R1126&lt;&gt;"",$R1126&lt;17),"Usia di bawah 17","")))))))))</f>
        <v/>
      </c>
      <c r="Z1126" s="40" t="str">
        <f aca="false">IF($B1126="","",IF(AND(OR(CARI!$C$5="",ISNUMBER(SEARCH(CARI!$C$5,$B1126&amp;" "&amp;$C1126&amp;" "&amp;$D1126&amp;" "&amp;$O1126&amp;" "&amp;$I1126&amp;" "&amp;$F1126&amp;" "&amp;$J1126&amp;" "&amp;$K1126&amp;" "&amp;$L1126&amp;" "&amp;$V1126))),OR(CARI!$C$6="",$F1126=CARI!$C$6),OR(CARI!$C$7="",$G1126=CARI!$C$7),OR(CARI!$C$8="",$T1126=CARI!$C$8)),MAX($Z$3:Z1125)+1,""))</f>
        <v/>
      </c>
      <c r="AA1126" s="40" t="str">
        <f aca="false">IF($Y1126="","",MAX($AA$3:AA1125)+1)</f>
        <v/>
      </c>
      <c r="AB1126" s="40" t="str">
        <f aca="false">IF($F1126="","",$F1126&amp;"#"&amp;COUNTIF($F$4:$F1126,$F1126))</f>
        <v/>
      </c>
      <c r="AC1126" s="40" t="str">
        <f aca="false">IF($B1126="","",IF(AND(OR(CETAK!$J$10="",$F1126=CETAK!$J$10),OR(CETAK!$J$11="",$G1126=CETAK!$J$11),OR(CETAK!$J$12="",$P1126=CETAK!$J$12),OR(CETAK!$J$13="",$N1126=CETAK!$J$13),OR(CETAK!$J$14="",$T1126=CETAK!$J$14)),MAX($AC$3:AC1125)+1,""))</f>
        <v/>
      </c>
      <c r="AD1126" s="40" t="str">
        <f aca="false">IF($B1126="","",IF(AND(OR(ABSENSI!$H$10="",$F1126=ABSENSI!$H$10),OR(ABSENSI!$H$11="",$G1126=ABSENSI!$H$11),OR(ABSENSI!$H$12="",$P1126=ABSENSI!$H$12)),MAX($AD$3:AD1125)+1,""))</f>
        <v/>
      </c>
      <c r="AE1126" s="40" t="str">
        <f aca="false">IF($B1126="","",IF(AND(OR(KARTU!$K$6="",$F1126=KARTU!$K$6),OR(KARTU!$K$7="",$G1126=KARTU!$K$7),OR(KARTU!$K$8="",$P1126=KARTU!$K$8)),MAX($AE$3:AE1125)+1,""))</f>
        <v/>
      </c>
    </row>
    <row r="1127" customFormat="false" ht="15" hidden="false" customHeight="false" outlineLevel="0" collapsed="false">
      <c r="A1127" s="35" t="str">
        <f aca="false">IF($B1127="","",COUNTA($B$4:$B1127))</f>
        <v/>
      </c>
      <c r="B1127" s="36"/>
      <c r="C1127" s="37"/>
      <c r="D1127" s="37"/>
      <c r="E1127" s="38"/>
      <c r="F1127" s="36"/>
      <c r="G1127" s="39"/>
      <c r="H1127" s="39"/>
      <c r="I1127" s="36"/>
      <c r="J1127" s="36"/>
      <c r="K1127" s="36"/>
      <c r="L1127" s="36"/>
      <c r="M1127" s="40" t="str">
        <f aca="false">IF($F1127="","",$F1127&amp;IF($G1127="",""," - RT "&amp;$G1127&amp;IF($H1127="","","/"&amp;$H1127)))</f>
        <v/>
      </c>
      <c r="N1127" s="36"/>
      <c r="O1127" s="37"/>
      <c r="P1127" s="39"/>
      <c r="Q1127" s="41"/>
      <c r="R1127" s="35" t="str">
        <f aca="true">IF(OR($B1127="",$Q1127=""),"",DATEDIF($Q1127,TODAY(),"Y"))</f>
        <v/>
      </c>
      <c r="S1127" s="40" t="str">
        <f aca="false">IF($R1127="","",INDEX(usia_label,MATCH($R1127,usia_min,1)))</f>
        <v/>
      </c>
      <c r="T1127" s="36"/>
      <c r="U1127" s="41"/>
      <c r="V1127" s="36"/>
      <c r="W1127" s="36"/>
      <c r="X1127" s="40" t="str">
        <f aca="false">IF($M1127="","",$M1127&amp;"#"&amp;COUNTIF($M$4:$M1127,$M1127))</f>
        <v/>
      </c>
      <c r="Y1127" s="40" t="str">
        <f aca="false">IF($B1127="","",IF($C1127="","NIK kosong",IF(LEN($C1127)&lt;&gt;16,"NIK bukan 16 digit",IF(COUNTIF($C$4:$C$2003,$C1127&amp;"*")&gt;1,"NIK ganda",IF(AND($D1127&lt;&gt;"",LEN($D1127)&lt;&gt;16),"No. KK bukan 16 digit",IF(AND($F1127="",$I1127=""),"Alamat kosong",IF($N1127="","Jabatan kosong",IF($O1127="","No. HP kosong",IF(AND($R1127&lt;&gt;"",$R1127&lt;17),"Usia di bawah 17","")))))))))</f>
        <v/>
      </c>
      <c r="Z1127" s="40" t="str">
        <f aca="false">IF($B1127="","",IF(AND(OR(CARI!$C$5="",ISNUMBER(SEARCH(CARI!$C$5,$B1127&amp;" "&amp;$C1127&amp;" "&amp;$D1127&amp;" "&amp;$O1127&amp;" "&amp;$I1127&amp;" "&amp;$F1127&amp;" "&amp;$J1127&amp;" "&amp;$K1127&amp;" "&amp;$L1127&amp;" "&amp;$V1127))),OR(CARI!$C$6="",$F1127=CARI!$C$6),OR(CARI!$C$7="",$G1127=CARI!$C$7),OR(CARI!$C$8="",$T1127=CARI!$C$8)),MAX($Z$3:Z1126)+1,""))</f>
        <v/>
      </c>
      <c r="AA1127" s="40" t="str">
        <f aca="false">IF($Y1127="","",MAX($AA$3:AA1126)+1)</f>
        <v/>
      </c>
      <c r="AB1127" s="40" t="str">
        <f aca="false">IF($F1127="","",$F1127&amp;"#"&amp;COUNTIF($F$4:$F1127,$F1127))</f>
        <v/>
      </c>
      <c r="AC1127" s="40" t="str">
        <f aca="false">IF($B1127="","",IF(AND(OR(CETAK!$J$10="",$F1127=CETAK!$J$10),OR(CETAK!$J$11="",$G1127=CETAK!$J$11),OR(CETAK!$J$12="",$P1127=CETAK!$J$12),OR(CETAK!$J$13="",$N1127=CETAK!$J$13),OR(CETAK!$J$14="",$T1127=CETAK!$J$14)),MAX($AC$3:AC1126)+1,""))</f>
        <v/>
      </c>
      <c r="AD1127" s="40" t="str">
        <f aca="false">IF($B1127="","",IF(AND(OR(ABSENSI!$H$10="",$F1127=ABSENSI!$H$10),OR(ABSENSI!$H$11="",$G1127=ABSENSI!$H$11),OR(ABSENSI!$H$12="",$P1127=ABSENSI!$H$12)),MAX($AD$3:AD1126)+1,""))</f>
        <v/>
      </c>
      <c r="AE1127" s="40" t="str">
        <f aca="false">IF($B1127="","",IF(AND(OR(KARTU!$K$6="",$F1127=KARTU!$K$6),OR(KARTU!$K$7="",$G1127=KARTU!$K$7),OR(KARTU!$K$8="",$P1127=KARTU!$K$8)),MAX($AE$3:AE1126)+1,""))</f>
        <v/>
      </c>
    </row>
    <row r="1128" customFormat="false" ht="15" hidden="false" customHeight="false" outlineLevel="0" collapsed="false">
      <c r="A1128" s="35" t="str">
        <f aca="false">IF($B1128="","",COUNTA($B$4:$B1128))</f>
        <v/>
      </c>
      <c r="B1128" s="36"/>
      <c r="C1128" s="37"/>
      <c r="D1128" s="37"/>
      <c r="E1128" s="38"/>
      <c r="F1128" s="36"/>
      <c r="G1128" s="39"/>
      <c r="H1128" s="39"/>
      <c r="I1128" s="36"/>
      <c r="J1128" s="36"/>
      <c r="K1128" s="36"/>
      <c r="L1128" s="36"/>
      <c r="M1128" s="40" t="str">
        <f aca="false">IF($F1128="","",$F1128&amp;IF($G1128="",""," - RT "&amp;$G1128&amp;IF($H1128="","","/"&amp;$H1128)))</f>
        <v/>
      </c>
      <c r="N1128" s="36"/>
      <c r="O1128" s="37"/>
      <c r="P1128" s="39"/>
      <c r="Q1128" s="41"/>
      <c r="R1128" s="35" t="str">
        <f aca="true">IF(OR($B1128="",$Q1128=""),"",DATEDIF($Q1128,TODAY(),"Y"))</f>
        <v/>
      </c>
      <c r="S1128" s="40" t="str">
        <f aca="false">IF($R1128="","",INDEX(usia_label,MATCH($R1128,usia_min,1)))</f>
        <v/>
      </c>
      <c r="T1128" s="36"/>
      <c r="U1128" s="41"/>
      <c r="V1128" s="36"/>
      <c r="W1128" s="36"/>
      <c r="X1128" s="40" t="str">
        <f aca="false">IF($M1128="","",$M1128&amp;"#"&amp;COUNTIF($M$4:$M1128,$M1128))</f>
        <v/>
      </c>
      <c r="Y1128" s="40" t="str">
        <f aca="false">IF($B1128="","",IF($C1128="","NIK kosong",IF(LEN($C1128)&lt;&gt;16,"NIK bukan 16 digit",IF(COUNTIF($C$4:$C$2003,$C1128&amp;"*")&gt;1,"NIK ganda",IF(AND($D1128&lt;&gt;"",LEN($D1128)&lt;&gt;16),"No. KK bukan 16 digit",IF(AND($F1128="",$I1128=""),"Alamat kosong",IF($N1128="","Jabatan kosong",IF($O1128="","No. HP kosong",IF(AND($R1128&lt;&gt;"",$R1128&lt;17),"Usia di bawah 17","")))))))))</f>
        <v/>
      </c>
      <c r="Z1128" s="40" t="str">
        <f aca="false">IF($B1128="","",IF(AND(OR(CARI!$C$5="",ISNUMBER(SEARCH(CARI!$C$5,$B1128&amp;" "&amp;$C1128&amp;" "&amp;$D1128&amp;" "&amp;$O1128&amp;" "&amp;$I1128&amp;" "&amp;$F1128&amp;" "&amp;$J1128&amp;" "&amp;$K1128&amp;" "&amp;$L1128&amp;" "&amp;$V1128))),OR(CARI!$C$6="",$F1128=CARI!$C$6),OR(CARI!$C$7="",$G1128=CARI!$C$7),OR(CARI!$C$8="",$T1128=CARI!$C$8)),MAX($Z$3:Z1127)+1,""))</f>
        <v/>
      </c>
      <c r="AA1128" s="40" t="str">
        <f aca="false">IF($Y1128="","",MAX($AA$3:AA1127)+1)</f>
        <v/>
      </c>
      <c r="AB1128" s="40" t="str">
        <f aca="false">IF($F1128="","",$F1128&amp;"#"&amp;COUNTIF($F$4:$F1128,$F1128))</f>
        <v/>
      </c>
      <c r="AC1128" s="40" t="str">
        <f aca="false">IF($B1128="","",IF(AND(OR(CETAK!$J$10="",$F1128=CETAK!$J$10),OR(CETAK!$J$11="",$G1128=CETAK!$J$11),OR(CETAK!$J$12="",$P1128=CETAK!$J$12),OR(CETAK!$J$13="",$N1128=CETAK!$J$13),OR(CETAK!$J$14="",$T1128=CETAK!$J$14)),MAX($AC$3:AC1127)+1,""))</f>
        <v/>
      </c>
      <c r="AD1128" s="40" t="str">
        <f aca="false">IF($B1128="","",IF(AND(OR(ABSENSI!$H$10="",$F1128=ABSENSI!$H$10),OR(ABSENSI!$H$11="",$G1128=ABSENSI!$H$11),OR(ABSENSI!$H$12="",$P1128=ABSENSI!$H$12)),MAX($AD$3:AD1127)+1,""))</f>
        <v/>
      </c>
      <c r="AE1128" s="40" t="str">
        <f aca="false">IF($B1128="","",IF(AND(OR(KARTU!$K$6="",$F1128=KARTU!$K$6),OR(KARTU!$K$7="",$G1128=KARTU!$K$7),OR(KARTU!$K$8="",$P1128=KARTU!$K$8)),MAX($AE$3:AE1127)+1,""))</f>
        <v/>
      </c>
    </row>
    <row r="1129" customFormat="false" ht="15" hidden="false" customHeight="false" outlineLevel="0" collapsed="false">
      <c r="A1129" s="35" t="str">
        <f aca="false">IF($B1129="","",COUNTA($B$4:$B1129))</f>
        <v/>
      </c>
      <c r="B1129" s="36"/>
      <c r="C1129" s="37"/>
      <c r="D1129" s="37"/>
      <c r="E1129" s="38"/>
      <c r="F1129" s="36"/>
      <c r="G1129" s="39"/>
      <c r="H1129" s="39"/>
      <c r="I1129" s="36"/>
      <c r="J1129" s="36"/>
      <c r="K1129" s="36"/>
      <c r="L1129" s="36"/>
      <c r="M1129" s="40" t="str">
        <f aca="false">IF($F1129="","",$F1129&amp;IF($G1129="",""," - RT "&amp;$G1129&amp;IF($H1129="","","/"&amp;$H1129)))</f>
        <v/>
      </c>
      <c r="N1129" s="36"/>
      <c r="O1129" s="37"/>
      <c r="P1129" s="39"/>
      <c r="Q1129" s="41"/>
      <c r="R1129" s="35" t="str">
        <f aca="true">IF(OR($B1129="",$Q1129=""),"",DATEDIF($Q1129,TODAY(),"Y"))</f>
        <v/>
      </c>
      <c r="S1129" s="40" t="str">
        <f aca="false">IF($R1129="","",INDEX(usia_label,MATCH($R1129,usia_min,1)))</f>
        <v/>
      </c>
      <c r="T1129" s="36"/>
      <c r="U1129" s="41"/>
      <c r="V1129" s="36"/>
      <c r="W1129" s="36"/>
      <c r="X1129" s="40" t="str">
        <f aca="false">IF($M1129="","",$M1129&amp;"#"&amp;COUNTIF($M$4:$M1129,$M1129))</f>
        <v/>
      </c>
      <c r="Y1129" s="40" t="str">
        <f aca="false">IF($B1129="","",IF($C1129="","NIK kosong",IF(LEN($C1129)&lt;&gt;16,"NIK bukan 16 digit",IF(COUNTIF($C$4:$C$2003,$C1129&amp;"*")&gt;1,"NIK ganda",IF(AND($D1129&lt;&gt;"",LEN($D1129)&lt;&gt;16),"No. KK bukan 16 digit",IF(AND($F1129="",$I1129=""),"Alamat kosong",IF($N1129="","Jabatan kosong",IF($O1129="","No. HP kosong",IF(AND($R1129&lt;&gt;"",$R1129&lt;17),"Usia di bawah 17","")))))))))</f>
        <v/>
      </c>
      <c r="Z1129" s="40" t="str">
        <f aca="false">IF($B1129="","",IF(AND(OR(CARI!$C$5="",ISNUMBER(SEARCH(CARI!$C$5,$B1129&amp;" "&amp;$C1129&amp;" "&amp;$D1129&amp;" "&amp;$O1129&amp;" "&amp;$I1129&amp;" "&amp;$F1129&amp;" "&amp;$J1129&amp;" "&amp;$K1129&amp;" "&amp;$L1129&amp;" "&amp;$V1129))),OR(CARI!$C$6="",$F1129=CARI!$C$6),OR(CARI!$C$7="",$G1129=CARI!$C$7),OR(CARI!$C$8="",$T1129=CARI!$C$8)),MAX($Z$3:Z1128)+1,""))</f>
        <v/>
      </c>
      <c r="AA1129" s="40" t="str">
        <f aca="false">IF($Y1129="","",MAX($AA$3:AA1128)+1)</f>
        <v/>
      </c>
      <c r="AB1129" s="40" t="str">
        <f aca="false">IF($F1129="","",$F1129&amp;"#"&amp;COUNTIF($F$4:$F1129,$F1129))</f>
        <v/>
      </c>
      <c r="AC1129" s="40" t="str">
        <f aca="false">IF($B1129="","",IF(AND(OR(CETAK!$J$10="",$F1129=CETAK!$J$10),OR(CETAK!$J$11="",$G1129=CETAK!$J$11),OR(CETAK!$J$12="",$P1129=CETAK!$J$12),OR(CETAK!$J$13="",$N1129=CETAK!$J$13),OR(CETAK!$J$14="",$T1129=CETAK!$J$14)),MAX($AC$3:AC1128)+1,""))</f>
        <v/>
      </c>
      <c r="AD1129" s="40" t="str">
        <f aca="false">IF($B1129="","",IF(AND(OR(ABSENSI!$H$10="",$F1129=ABSENSI!$H$10),OR(ABSENSI!$H$11="",$G1129=ABSENSI!$H$11),OR(ABSENSI!$H$12="",$P1129=ABSENSI!$H$12)),MAX($AD$3:AD1128)+1,""))</f>
        <v/>
      </c>
      <c r="AE1129" s="40" t="str">
        <f aca="false">IF($B1129="","",IF(AND(OR(KARTU!$K$6="",$F1129=KARTU!$K$6),OR(KARTU!$K$7="",$G1129=KARTU!$K$7),OR(KARTU!$K$8="",$P1129=KARTU!$K$8)),MAX($AE$3:AE1128)+1,""))</f>
        <v/>
      </c>
    </row>
    <row r="1130" customFormat="false" ht="15" hidden="false" customHeight="false" outlineLevel="0" collapsed="false">
      <c r="A1130" s="35" t="str">
        <f aca="false">IF($B1130="","",COUNTA($B$4:$B1130))</f>
        <v/>
      </c>
      <c r="B1130" s="36"/>
      <c r="C1130" s="37"/>
      <c r="D1130" s="37"/>
      <c r="E1130" s="38"/>
      <c r="F1130" s="36"/>
      <c r="G1130" s="39"/>
      <c r="H1130" s="39"/>
      <c r="I1130" s="36"/>
      <c r="J1130" s="36"/>
      <c r="K1130" s="36"/>
      <c r="L1130" s="36"/>
      <c r="M1130" s="40" t="str">
        <f aca="false">IF($F1130="","",$F1130&amp;IF($G1130="",""," - RT "&amp;$G1130&amp;IF($H1130="","","/"&amp;$H1130)))</f>
        <v/>
      </c>
      <c r="N1130" s="36"/>
      <c r="O1130" s="37"/>
      <c r="P1130" s="39"/>
      <c r="Q1130" s="41"/>
      <c r="R1130" s="35" t="str">
        <f aca="true">IF(OR($B1130="",$Q1130=""),"",DATEDIF($Q1130,TODAY(),"Y"))</f>
        <v/>
      </c>
      <c r="S1130" s="40" t="str">
        <f aca="false">IF($R1130="","",INDEX(usia_label,MATCH($R1130,usia_min,1)))</f>
        <v/>
      </c>
      <c r="T1130" s="36"/>
      <c r="U1130" s="41"/>
      <c r="V1130" s="36"/>
      <c r="W1130" s="36"/>
      <c r="X1130" s="40" t="str">
        <f aca="false">IF($M1130="","",$M1130&amp;"#"&amp;COUNTIF($M$4:$M1130,$M1130))</f>
        <v/>
      </c>
      <c r="Y1130" s="40" t="str">
        <f aca="false">IF($B1130="","",IF($C1130="","NIK kosong",IF(LEN($C1130)&lt;&gt;16,"NIK bukan 16 digit",IF(COUNTIF($C$4:$C$2003,$C1130&amp;"*")&gt;1,"NIK ganda",IF(AND($D1130&lt;&gt;"",LEN($D1130)&lt;&gt;16),"No. KK bukan 16 digit",IF(AND($F1130="",$I1130=""),"Alamat kosong",IF($N1130="","Jabatan kosong",IF($O1130="","No. HP kosong",IF(AND($R1130&lt;&gt;"",$R1130&lt;17),"Usia di bawah 17","")))))))))</f>
        <v/>
      </c>
      <c r="Z1130" s="40" t="str">
        <f aca="false">IF($B1130="","",IF(AND(OR(CARI!$C$5="",ISNUMBER(SEARCH(CARI!$C$5,$B1130&amp;" "&amp;$C1130&amp;" "&amp;$D1130&amp;" "&amp;$O1130&amp;" "&amp;$I1130&amp;" "&amp;$F1130&amp;" "&amp;$J1130&amp;" "&amp;$K1130&amp;" "&amp;$L1130&amp;" "&amp;$V1130))),OR(CARI!$C$6="",$F1130=CARI!$C$6),OR(CARI!$C$7="",$G1130=CARI!$C$7),OR(CARI!$C$8="",$T1130=CARI!$C$8)),MAX($Z$3:Z1129)+1,""))</f>
        <v/>
      </c>
      <c r="AA1130" s="40" t="str">
        <f aca="false">IF($Y1130="","",MAX($AA$3:AA1129)+1)</f>
        <v/>
      </c>
      <c r="AB1130" s="40" t="str">
        <f aca="false">IF($F1130="","",$F1130&amp;"#"&amp;COUNTIF($F$4:$F1130,$F1130))</f>
        <v/>
      </c>
      <c r="AC1130" s="40" t="str">
        <f aca="false">IF($B1130="","",IF(AND(OR(CETAK!$J$10="",$F1130=CETAK!$J$10),OR(CETAK!$J$11="",$G1130=CETAK!$J$11),OR(CETAK!$J$12="",$P1130=CETAK!$J$12),OR(CETAK!$J$13="",$N1130=CETAK!$J$13),OR(CETAK!$J$14="",$T1130=CETAK!$J$14)),MAX($AC$3:AC1129)+1,""))</f>
        <v/>
      </c>
      <c r="AD1130" s="40" t="str">
        <f aca="false">IF($B1130="","",IF(AND(OR(ABSENSI!$H$10="",$F1130=ABSENSI!$H$10),OR(ABSENSI!$H$11="",$G1130=ABSENSI!$H$11),OR(ABSENSI!$H$12="",$P1130=ABSENSI!$H$12)),MAX($AD$3:AD1129)+1,""))</f>
        <v/>
      </c>
      <c r="AE1130" s="40" t="str">
        <f aca="false">IF($B1130="","",IF(AND(OR(KARTU!$K$6="",$F1130=KARTU!$K$6),OR(KARTU!$K$7="",$G1130=KARTU!$K$7),OR(KARTU!$K$8="",$P1130=KARTU!$K$8)),MAX($AE$3:AE1129)+1,""))</f>
        <v/>
      </c>
    </row>
    <row r="1131" customFormat="false" ht="15" hidden="false" customHeight="false" outlineLevel="0" collapsed="false">
      <c r="A1131" s="35" t="str">
        <f aca="false">IF($B1131="","",COUNTA($B$4:$B1131))</f>
        <v/>
      </c>
      <c r="B1131" s="36"/>
      <c r="C1131" s="37"/>
      <c r="D1131" s="37"/>
      <c r="E1131" s="38"/>
      <c r="F1131" s="36"/>
      <c r="G1131" s="39"/>
      <c r="H1131" s="39"/>
      <c r="I1131" s="36"/>
      <c r="J1131" s="36"/>
      <c r="K1131" s="36"/>
      <c r="L1131" s="36"/>
      <c r="M1131" s="40" t="str">
        <f aca="false">IF($F1131="","",$F1131&amp;IF($G1131="",""," - RT "&amp;$G1131&amp;IF($H1131="","","/"&amp;$H1131)))</f>
        <v/>
      </c>
      <c r="N1131" s="36"/>
      <c r="O1131" s="37"/>
      <c r="P1131" s="39"/>
      <c r="Q1131" s="41"/>
      <c r="R1131" s="35" t="str">
        <f aca="true">IF(OR($B1131="",$Q1131=""),"",DATEDIF($Q1131,TODAY(),"Y"))</f>
        <v/>
      </c>
      <c r="S1131" s="40" t="str">
        <f aca="false">IF($R1131="","",INDEX(usia_label,MATCH($R1131,usia_min,1)))</f>
        <v/>
      </c>
      <c r="T1131" s="36"/>
      <c r="U1131" s="41"/>
      <c r="V1131" s="36"/>
      <c r="W1131" s="36"/>
      <c r="X1131" s="40" t="str">
        <f aca="false">IF($M1131="","",$M1131&amp;"#"&amp;COUNTIF($M$4:$M1131,$M1131))</f>
        <v/>
      </c>
      <c r="Y1131" s="40" t="str">
        <f aca="false">IF($B1131="","",IF($C1131="","NIK kosong",IF(LEN($C1131)&lt;&gt;16,"NIK bukan 16 digit",IF(COUNTIF($C$4:$C$2003,$C1131&amp;"*")&gt;1,"NIK ganda",IF(AND($D1131&lt;&gt;"",LEN($D1131)&lt;&gt;16),"No. KK bukan 16 digit",IF(AND($F1131="",$I1131=""),"Alamat kosong",IF($N1131="","Jabatan kosong",IF($O1131="","No. HP kosong",IF(AND($R1131&lt;&gt;"",$R1131&lt;17),"Usia di bawah 17","")))))))))</f>
        <v/>
      </c>
      <c r="Z1131" s="40" t="str">
        <f aca="false">IF($B1131="","",IF(AND(OR(CARI!$C$5="",ISNUMBER(SEARCH(CARI!$C$5,$B1131&amp;" "&amp;$C1131&amp;" "&amp;$D1131&amp;" "&amp;$O1131&amp;" "&amp;$I1131&amp;" "&amp;$F1131&amp;" "&amp;$J1131&amp;" "&amp;$K1131&amp;" "&amp;$L1131&amp;" "&amp;$V1131))),OR(CARI!$C$6="",$F1131=CARI!$C$6),OR(CARI!$C$7="",$G1131=CARI!$C$7),OR(CARI!$C$8="",$T1131=CARI!$C$8)),MAX($Z$3:Z1130)+1,""))</f>
        <v/>
      </c>
      <c r="AA1131" s="40" t="str">
        <f aca="false">IF($Y1131="","",MAX($AA$3:AA1130)+1)</f>
        <v/>
      </c>
      <c r="AB1131" s="40" t="str">
        <f aca="false">IF($F1131="","",$F1131&amp;"#"&amp;COUNTIF($F$4:$F1131,$F1131))</f>
        <v/>
      </c>
      <c r="AC1131" s="40" t="str">
        <f aca="false">IF($B1131="","",IF(AND(OR(CETAK!$J$10="",$F1131=CETAK!$J$10),OR(CETAK!$J$11="",$G1131=CETAK!$J$11),OR(CETAK!$J$12="",$P1131=CETAK!$J$12),OR(CETAK!$J$13="",$N1131=CETAK!$J$13),OR(CETAK!$J$14="",$T1131=CETAK!$J$14)),MAX($AC$3:AC1130)+1,""))</f>
        <v/>
      </c>
      <c r="AD1131" s="40" t="str">
        <f aca="false">IF($B1131="","",IF(AND(OR(ABSENSI!$H$10="",$F1131=ABSENSI!$H$10),OR(ABSENSI!$H$11="",$G1131=ABSENSI!$H$11),OR(ABSENSI!$H$12="",$P1131=ABSENSI!$H$12)),MAX($AD$3:AD1130)+1,""))</f>
        <v/>
      </c>
      <c r="AE1131" s="40" t="str">
        <f aca="false">IF($B1131="","",IF(AND(OR(KARTU!$K$6="",$F1131=KARTU!$K$6),OR(KARTU!$K$7="",$G1131=KARTU!$K$7),OR(KARTU!$K$8="",$P1131=KARTU!$K$8)),MAX($AE$3:AE1130)+1,""))</f>
        <v/>
      </c>
    </row>
    <row r="1132" customFormat="false" ht="15" hidden="false" customHeight="false" outlineLevel="0" collapsed="false">
      <c r="A1132" s="35" t="str">
        <f aca="false">IF($B1132="","",COUNTA($B$4:$B1132))</f>
        <v/>
      </c>
      <c r="B1132" s="36"/>
      <c r="C1132" s="37"/>
      <c r="D1132" s="37"/>
      <c r="E1132" s="38"/>
      <c r="F1132" s="36"/>
      <c r="G1132" s="39"/>
      <c r="H1132" s="39"/>
      <c r="I1132" s="36"/>
      <c r="J1132" s="36"/>
      <c r="K1132" s="36"/>
      <c r="L1132" s="36"/>
      <c r="M1132" s="40" t="str">
        <f aca="false">IF($F1132="","",$F1132&amp;IF($G1132="",""," - RT "&amp;$G1132&amp;IF($H1132="","","/"&amp;$H1132)))</f>
        <v/>
      </c>
      <c r="N1132" s="36"/>
      <c r="O1132" s="37"/>
      <c r="P1132" s="39"/>
      <c r="Q1132" s="41"/>
      <c r="R1132" s="35" t="str">
        <f aca="true">IF(OR($B1132="",$Q1132=""),"",DATEDIF($Q1132,TODAY(),"Y"))</f>
        <v/>
      </c>
      <c r="S1132" s="40" t="str">
        <f aca="false">IF($R1132="","",INDEX(usia_label,MATCH($R1132,usia_min,1)))</f>
        <v/>
      </c>
      <c r="T1132" s="36"/>
      <c r="U1132" s="41"/>
      <c r="V1132" s="36"/>
      <c r="W1132" s="36"/>
      <c r="X1132" s="40" t="str">
        <f aca="false">IF($M1132="","",$M1132&amp;"#"&amp;COUNTIF($M$4:$M1132,$M1132))</f>
        <v/>
      </c>
      <c r="Y1132" s="40" t="str">
        <f aca="false">IF($B1132="","",IF($C1132="","NIK kosong",IF(LEN($C1132)&lt;&gt;16,"NIK bukan 16 digit",IF(COUNTIF($C$4:$C$2003,$C1132&amp;"*")&gt;1,"NIK ganda",IF(AND($D1132&lt;&gt;"",LEN($D1132)&lt;&gt;16),"No. KK bukan 16 digit",IF(AND($F1132="",$I1132=""),"Alamat kosong",IF($N1132="","Jabatan kosong",IF($O1132="","No. HP kosong",IF(AND($R1132&lt;&gt;"",$R1132&lt;17),"Usia di bawah 17","")))))))))</f>
        <v/>
      </c>
      <c r="Z1132" s="40" t="str">
        <f aca="false">IF($B1132="","",IF(AND(OR(CARI!$C$5="",ISNUMBER(SEARCH(CARI!$C$5,$B1132&amp;" "&amp;$C1132&amp;" "&amp;$D1132&amp;" "&amp;$O1132&amp;" "&amp;$I1132&amp;" "&amp;$F1132&amp;" "&amp;$J1132&amp;" "&amp;$K1132&amp;" "&amp;$L1132&amp;" "&amp;$V1132))),OR(CARI!$C$6="",$F1132=CARI!$C$6),OR(CARI!$C$7="",$G1132=CARI!$C$7),OR(CARI!$C$8="",$T1132=CARI!$C$8)),MAX($Z$3:Z1131)+1,""))</f>
        <v/>
      </c>
      <c r="AA1132" s="40" t="str">
        <f aca="false">IF($Y1132="","",MAX($AA$3:AA1131)+1)</f>
        <v/>
      </c>
      <c r="AB1132" s="40" t="str">
        <f aca="false">IF($F1132="","",$F1132&amp;"#"&amp;COUNTIF($F$4:$F1132,$F1132))</f>
        <v/>
      </c>
      <c r="AC1132" s="40" t="str">
        <f aca="false">IF($B1132="","",IF(AND(OR(CETAK!$J$10="",$F1132=CETAK!$J$10),OR(CETAK!$J$11="",$G1132=CETAK!$J$11),OR(CETAK!$J$12="",$P1132=CETAK!$J$12),OR(CETAK!$J$13="",$N1132=CETAK!$J$13),OR(CETAK!$J$14="",$T1132=CETAK!$J$14)),MAX($AC$3:AC1131)+1,""))</f>
        <v/>
      </c>
      <c r="AD1132" s="40" t="str">
        <f aca="false">IF($B1132="","",IF(AND(OR(ABSENSI!$H$10="",$F1132=ABSENSI!$H$10),OR(ABSENSI!$H$11="",$G1132=ABSENSI!$H$11),OR(ABSENSI!$H$12="",$P1132=ABSENSI!$H$12)),MAX($AD$3:AD1131)+1,""))</f>
        <v/>
      </c>
      <c r="AE1132" s="40" t="str">
        <f aca="false">IF($B1132="","",IF(AND(OR(KARTU!$K$6="",$F1132=KARTU!$K$6),OR(KARTU!$K$7="",$G1132=KARTU!$K$7),OR(KARTU!$K$8="",$P1132=KARTU!$K$8)),MAX($AE$3:AE1131)+1,""))</f>
        <v/>
      </c>
    </row>
    <row r="1133" customFormat="false" ht="15" hidden="false" customHeight="false" outlineLevel="0" collapsed="false">
      <c r="A1133" s="35" t="str">
        <f aca="false">IF($B1133="","",COUNTA($B$4:$B1133))</f>
        <v/>
      </c>
      <c r="B1133" s="36"/>
      <c r="C1133" s="37"/>
      <c r="D1133" s="37"/>
      <c r="E1133" s="38"/>
      <c r="F1133" s="36"/>
      <c r="G1133" s="39"/>
      <c r="H1133" s="39"/>
      <c r="I1133" s="36"/>
      <c r="J1133" s="36"/>
      <c r="K1133" s="36"/>
      <c r="L1133" s="36"/>
      <c r="M1133" s="40" t="str">
        <f aca="false">IF($F1133="","",$F1133&amp;IF($G1133="",""," - RT "&amp;$G1133&amp;IF($H1133="","","/"&amp;$H1133)))</f>
        <v/>
      </c>
      <c r="N1133" s="36"/>
      <c r="O1133" s="37"/>
      <c r="P1133" s="39"/>
      <c r="Q1133" s="41"/>
      <c r="R1133" s="35" t="str">
        <f aca="true">IF(OR($B1133="",$Q1133=""),"",DATEDIF($Q1133,TODAY(),"Y"))</f>
        <v/>
      </c>
      <c r="S1133" s="40" t="str">
        <f aca="false">IF($R1133="","",INDEX(usia_label,MATCH($R1133,usia_min,1)))</f>
        <v/>
      </c>
      <c r="T1133" s="36"/>
      <c r="U1133" s="41"/>
      <c r="V1133" s="36"/>
      <c r="W1133" s="36"/>
      <c r="X1133" s="40" t="str">
        <f aca="false">IF($M1133="","",$M1133&amp;"#"&amp;COUNTIF($M$4:$M1133,$M1133))</f>
        <v/>
      </c>
      <c r="Y1133" s="40" t="str">
        <f aca="false">IF($B1133="","",IF($C1133="","NIK kosong",IF(LEN($C1133)&lt;&gt;16,"NIK bukan 16 digit",IF(COUNTIF($C$4:$C$2003,$C1133&amp;"*")&gt;1,"NIK ganda",IF(AND($D1133&lt;&gt;"",LEN($D1133)&lt;&gt;16),"No. KK bukan 16 digit",IF(AND($F1133="",$I1133=""),"Alamat kosong",IF($N1133="","Jabatan kosong",IF($O1133="","No. HP kosong",IF(AND($R1133&lt;&gt;"",$R1133&lt;17),"Usia di bawah 17","")))))))))</f>
        <v/>
      </c>
      <c r="Z1133" s="40" t="str">
        <f aca="false">IF($B1133="","",IF(AND(OR(CARI!$C$5="",ISNUMBER(SEARCH(CARI!$C$5,$B1133&amp;" "&amp;$C1133&amp;" "&amp;$D1133&amp;" "&amp;$O1133&amp;" "&amp;$I1133&amp;" "&amp;$F1133&amp;" "&amp;$J1133&amp;" "&amp;$K1133&amp;" "&amp;$L1133&amp;" "&amp;$V1133))),OR(CARI!$C$6="",$F1133=CARI!$C$6),OR(CARI!$C$7="",$G1133=CARI!$C$7),OR(CARI!$C$8="",$T1133=CARI!$C$8)),MAX($Z$3:Z1132)+1,""))</f>
        <v/>
      </c>
      <c r="AA1133" s="40" t="str">
        <f aca="false">IF($Y1133="","",MAX($AA$3:AA1132)+1)</f>
        <v/>
      </c>
      <c r="AB1133" s="40" t="str">
        <f aca="false">IF($F1133="","",$F1133&amp;"#"&amp;COUNTIF($F$4:$F1133,$F1133))</f>
        <v/>
      </c>
      <c r="AC1133" s="40" t="str">
        <f aca="false">IF($B1133="","",IF(AND(OR(CETAK!$J$10="",$F1133=CETAK!$J$10),OR(CETAK!$J$11="",$G1133=CETAK!$J$11),OR(CETAK!$J$12="",$P1133=CETAK!$J$12),OR(CETAK!$J$13="",$N1133=CETAK!$J$13),OR(CETAK!$J$14="",$T1133=CETAK!$J$14)),MAX($AC$3:AC1132)+1,""))</f>
        <v/>
      </c>
      <c r="AD1133" s="40" t="str">
        <f aca="false">IF($B1133="","",IF(AND(OR(ABSENSI!$H$10="",$F1133=ABSENSI!$H$10),OR(ABSENSI!$H$11="",$G1133=ABSENSI!$H$11),OR(ABSENSI!$H$12="",$P1133=ABSENSI!$H$12)),MAX($AD$3:AD1132)+1,""))</f>
        <v/>
      </c>
      <c r="AE1133" s="40" t="str">
        <f aca="false">IF($B1133="","",IF(AND(OR(KARTU!$K$6="",$F1133=KARTU!$K$6),OR(KARTU!$K$7="",$G1133=KARTU!$K$7),OR(KARTU!$K$8="",$P1133=KARTU!$K$8)),MAX($AE$3:AE1132)+1,""))</f>
        <v/>
      </c>
    </row>
    <row r="1134" customFormat="false" ht="15" hidden="false" customHeight="false" outlineLevel="0" collapsed="false">
      <c r="A1134" s="35" t="str">
        <f aca="false">IF($B1134="","",COUNTA($B$4:$B1134))</f>
        <v/>
      </c>
      <c r="B1134" s="36"/>
      <c r="C1134" s="37"/>
      <c r="D1134" s="37"/>
      <c r="E1134" s="38"/>
      <c r="F1134" s="36"/>
      <c r="G1134" s="39"/>
      <c r="H1134" s="39"/>
      <c r="I1134" s="36"/>
      <c r="J1134" s="36"/>
      <c r="K1134" s="36"/>
      <c r="L1134" s="36"/>
      <c r="M1134" s="40" t="str">
        <f aca="false">IF($F1134="","",$F1134&amp;IF($G1134="",""," - RT "&amp;$G1134&amp;IF($H1134="","","/"&amp;$H1134)))</f>
        <v/>
      </c>
      <c r="N1134" s="36"/>
      <c r="O1134" s="37"/>
      <c r="P1134" s="39"/>
      <c r="Q1134" s="41"/>
      <c r="R1134" s="35" t="str">
        <f aca="true">IF(OR($B1134="",$Q1134=""),"",DATEDIF($Q1134,TODAY(),"Y"))</f>
        <v/>
      </c>
      <c r="S1134" s="40" t="str">
        <f aca="false">IF($R1134="","",INDEX(usia_label,MATCH($R1134,usia_min,1)))</f>
        <v/>
      </c>
      <c r="T1134" s="36"/>
      <c r="U1134" s="41"/>
      <c r="V1134" s="36"/>
      <c r="W1134" s="36"/>
      <c r="X1134" s="40" t="str">
        <f aca="false">IF($M1134="","",$M1134&amp;"#"&amp;COUNTIF($M$4:$M1134,$M1134))</f>
        <v/>
      </c>
      <c r="Y1134" s="40" t="str">
        <f aca="false">IF($B1134="","",IF($C1134="","NIK kosong",IF(LEN($C1134)&lt;&gt;16,"NIK bukan 16 digit",IF(COUNTIF($C$4:$C$2003,$C1134&amp;"*")&gt;1,"NIK ganda",IF(AND($D1134&lt;&gt;"",LEN($D1134)&lt;&gt;16),"No. KK bukan 16 digit",IF(AND($F1134="",$I1134=""),"Alamat kosong",IF($N1134="","Jabatan kosong",IF($O1134="","No. HP kosong",IF(AND($R1134&lt;&gt;"",$R1134&lt;17),"Usia di bawah 17","")))))))))</f>
        <v/>
      </c>
      <c r="Z1134" s="40" t="str">
        <f aca="false">IF($B1134="","",IF(AND(OR(CARI!$C$5="",ISNUMBER(SEARCH(CARI!$C$5,$B1134&amp;" "&amp;$C1134&amp;" "&amp;$D1134&amp;" "&amp;$O1134&amp;" "&amp;$I1134&amp;" "&amp;$F1134&amp;" "&amp;$J1134&amp;" "&amp;$K1134&amp;" "&amp;$L1134&amp;" "&amp;$V1134))),OR(CARI!$C$6="",$F1134=CARI!$C$6),OR(CARI!$C$7="",$G1134=CARI!$C$7),OR(CARI!$C$8="",$T1134=CARI!$C$8)),MAX($Z$3:Z1133)+1,""))</f>
        <v/>
      </c>
      <c r="AA1134" s="40" t="str">
        <f aca="false">IF($Y1134="","",MAX($AA$3:AA1133)+1)</f>
        <v/>
      </c>
      <c r="AB1134" s="40" t="str">
        <f aca="false">IF($F1134="","",$F1134&amp;"#"&amp;COUNTIF($F$4:$F1134,$F1134))</f>
        <v/>
      </c>
      <c r="AC1134" s="40" t="str">
        <f aca="false">IF($B1134="","",IF(AND(OR(CETAK!$J$10="",$F1134=CETAK!$J$10),OR(CETAK!$J$11="",$G1134=CETAK!$J$11),OR(CETAK!$J$12="",$P1134=CETAK!$J$12),OR(CETAK!$J$13="",$N1134=CETAK!$J$13),OR(CETAK!$J$14="",$T1134=CETAK!$J$14)),MAX($AC$3:AC1133)+1,""))</f>
        <v/>
      </c>
      <c r="AD1134" s="40" t="str">
        <f aca="false">IF($B1134="","",IF(AND(OR(ABSENSI!$H$10="",$F1134=ABSENSI!$H$10),OR(ABSENSI!$H$11="",$G1134=ABSENSI!$H$11),OR(ABSENSI!$H$12="",$P1134=ABSENSI!$H$12)),MAX($AD$3:AD1133)+1,""))</f>
        <v/>
      </c>
      <c r="AE1134" s="40" t="str">
        <f aca="false">IF($B1134="","",IF(AND(OR(KARTU!$K$6="",$F1134=KARTU!$K$6),OR(KARTU!$K$7="",$G1134=KARTU!$K$7),OR(KARTU!$K$8="",$P1134=KARTU!$K$8)),MAX($AE$3:AE1133)+1,""))</f>
        <v/>
      </c>
    </row>
    <row r="1135" customFormat="false" ht="15" hidden="false" customHeight="false" outlineLevel="0" collapsed="false">
      <c r="A1135" s="35" t="str">
        <f aca="false">IF($B1135="","",COUNTA($B$4:$B1135))</f>
        <v/>
      </c>
      <c r="B1135" s="36"/>
      <c r="C1135" s="37"/>
      <c r="D1135" s="37"/>
      <c r="E1135" s="38"/>
      <c r="F1135" s="36"/>
      <c r="G1135" s="39"/>
      <c r="H1135" s="39"/>
      <c r="I1135" s="36"/>
      <c r="J1135" s="36"/>
      <c r="K1135" s="36"/>
      <c r="L1135" s="36"/>
      <c r="M1135" s="40" t="str">
        <f aca="false">IF($F1135="","",$F1135&amp;IF($G1135="",""," - RT "&amp;$G1135&amp;IF($H1135="","","/"&amp;$H1135)))</f>
        <v/>
      </c>
      <c r="N1135" s="36"/>
      <c r="O1135" s="37"/>
      <c r="P1135" s="39"/>
      <c r="Q1135" s="41"/>
      <c r="R1135" s="35" t="str">
        <f aca="true">IF(OR($B1135="",$Q1135=""),"",DATEDIF($Q1135,TODAY(),"Y"))</f>
        <v/>
      </c>
      <c r="S1135" s="40" t="str">
        <f aca="false">IF($R1135="","",INDEX(usia_label,MATCH($R1135,usia_min,1)))</f>
        <v/>
      </c>
      <c r="T1135" s="36"/>
      <c r="U1135" s="41"/>
      <c r="V1135" s="36"/>
      <c r="W1135" s="36"/>
      <c r="X1135" s="40" t="str">
        <f aca="false">IF($M1135="","",$M1135&amp;"#"&amp;COUNTIF($M$4:$M1135,$M1135))</f>
        <v/>
      </c>
      <c r="Y1135" s="40" t="str">
        <f aca="false">IF($B1135="","",IF($C1135="","NIK kosong",IF(LEN($C1135)&lt;&gt;16,"NIK bukan 16 digit",IF(COUNTIF($C$4:$C$2003,$C1135&amp;"*")&gt;1,"NIK ganda",IF(AND($D1135&lt;&gt;"",LEN($D1135)&lt;&gt;16),"No. KK bukan 16 digit",IF(AND($F1135="",$I1135=""),"Alamat kosong",IF($N1135="","Jabatan kosong",IF($O1135="","No. HP kosong",IF(AND($R1135&lt;&gt;"",$R1135&lt;17),"Usia di bawah 17","")))))))))</f>
        <v/>
      </c>
      <c r="Z1135" s="40" t="str">
        <f aca="false">IF($B1135="","",IF(AND(OR(CARI!$C$5="",ISNUMBER(SEARCH(CARI!$C$5,$B1135&amp;" "&amp;$C1135&amp;" "&amp;$D1135&amp;" "&amp;$O1135&amp;" "&amp;$I1135&amp;" "&amp;$F1135&amp;" "&amp;$J1135&amp;" "&amp;$K1135&amp;" "&amp;$L1135&amp;" "&amp;$V1135))),OR(CARI!$C$6="",$F1135=CARI!$C$6),OR(CARI!$C$7="",$G1135=CARI!$C$7),OR(CARI!$C$8="",$T1135=CARI!$C$8)),MAX($Z$3:Z1134)+1,""))</f>
        <v/>
      </c>
      <c r="AA1135" s="40" t="str">
        <f aca="false">IF($Y1135="","",MAX($AA$3:AA1134)+1)</f>
        <v/>
      </c>
      <c r="AB1135" s="40" t="str">
        <f aca="false">IF($F1135="","",$F1135&amp;"#"&amp;COUNTIF($F$4:$F1135,$F1135))</f>
        <v/>
      </c>
      <c r="AC1135" s="40" t="str">
        <f aca="false">IF($B1135="","",IF(AND(OR(CETAK!$J$10="",$F1135=CETAK!$J$10),OR(CETAK!$J$11="",$G1135=CETAK!$J$11),OR(CETAK!$J$12="",$P1135=CETAK!$J$12),OR(CETAK!$J$13="",$N1135=CETAK!$J$13),OR(CETAK!$J$14="",$T1135=CETAK!$J$14)),MAX($AC$3:AC1134)+1,""))</f>
        <v/>
      </c>
      <c r="AD1135" s="40" t="str">
        <f aca="false">IF($B1135="","",IF(AND(OR(ABSENSI!$H$10="",$F1135=ABSENSI!$H$10),OR(ABSENSI!$H$11="",$G1135=ABSENSI!$H$11),OR(ABSENSI!$H$12="",$P1135=ABSENSI!$H$12)),MAX($AD$3:AD1134)+1,""))</f>
        <v/>
      </c>
      <c r="AE1135" s="40" t="str">
        <f aca="false">IF($B1135="","",IF(AND(OR(KARTU!$K$6="",$F1135=KARTU!$K$6),OR(KARTU!$K$7="",$G1135=KARTU!$K$7),OR(KARTU!$K$8="",$P1135=KARTU!$K$8)),MAX($AE$3:AE1134)+1,""))</f>
        <v/>
      </c>
    </row>
    <row r="1136" customFormat="false" ht="15" hidden="false" customHeight="false" outlineLevel="0" collapsed="false">
      <c r="A1136" s="35" t="str">
        <f aca="false">IF($B1136="","",COUNTA($B$4:$B1136))</f>
        <v/>
      </c>
      <c r="B1136" s="36"/>
      <c r="C1136" s="37"/>
      <c r="D1136" s="37"/>
      <c r="E1136" s="38"/>
      <c r="F1136" s="36"/>
      <c r="G1136" s="39"/>
      <c r="H1136" s="39"/>
      <c r="I1136" s="36"/>
      <c r="J1136" s="36"/>
      <c r="K1136" s="36"/>
      <c r="L1136" s="36"/>
      <c r="M1136" s="40" t="str">
        <f aca="false">IF($F1136="","",$F1136&amp;IF($G1136="",""," - RT "&amp;$G1136&amp;IF($H1136="","","/"&amp;$H1136)))</f>
        <v/>
      </c>
      <c r="N1136" s="36"/>
      <c r="O1136" s="37"/>
      <c r="P1136" s="39"/>
      <c r="Q1136" s="41"/>
      <c r="R1136" s="35" t="str">
        <f aca="true">IF(OR($B1136="",$Q1136=""),"",DATEDIF($Q1136,TODAY(),"Y"))</f>
        <v/>
      </c>
      <c r="S1136" s="40" t="str">
        <f aca="false">IF($R1136="","",INDEX(usia_label,MATCH($R1136,usia_min,1)))</f>
        <v/>
      </c>
      <c r="T1136" s="36"/>
      <c r="U1136" s="41"/>
      <c r="V1136" s="36"/>
      <c r="W1136" s="36"/>
      <c r="X1136" s="40" t="str">
        <f aca="false">IF($M1136="","",$M1136&amp;"#"&amp;COUNTIF($M$4:$M1136,$M1136))</f>
        <v/>
      </c>
      <c r="Y1136" s="40" t="str">
        <f aca="false">IF($B1136="","",IF($C1136="","NIK kosong",IF(LEN($C1136)&lt;&gt;16,"NIK bukan 16 digit",IF(COUNTIF($C$4:$C$2003,$C1136&amp;"*")&gt;1,"NIK ganda",IF(AND($D1136&lt;&gt;"",LEN($D1136)&lt;&gt;16),"No. KK bukan 16 digit",IF(AND($F1136="",$I1136=""),"Alamat kosong",IF($N1136="","Jabatan kosong",IF($O1136="","No. HP kosong",IF(AND($R1136&lt;&gt;"",$R1136&lt;17),"Usia di bawah 17","")))))))))</f>
        <v/>
      </c>
      <c r="Z1136" s="40" t="str">
        <f aca="false">IF($B1136="","",IF(AND(OR(CARI!$C$5="",ISNUMBER(SEARCH(CARI!$C$5,$B1136&amp;" "&amp;$C1136&amp;" "&amp;$D1136&amp;" "&amp;$O1136&amp;" "&amp;$I1136&amp;" "&amp;$F1136&amp;" "&amp;$J1136&amp;" "&amp;$K1136&amp;" "&amp;$L1136&amp;" "&amp;$V1136))),OR(CARI!$C$6="",$F1136=CARI!$C$6),OR(CARI!$C$7="",$G1136=CARI!$C$7),OR(CARI!$C$8="",$T1136=CARI!$C$8)),MAX($Z$3:Z1135)+1,""))</f>
        <v/>
      </c>
      <c r="AA1136" s="40" t="str">
        <f aca="false">IF($Y1136="","",MAX($AA$3:AA1135)+1)</f>
        <v/>
      </c>
      <c r="AB1136" s="40" t="str">
        <f aca="false">IF($F1136="","",$F1136&amp;"#"&amp;COUNTIF($F$4:$F1136,$F1136))</f>
        <v/>
      </c>
      <c r="AC1136" s="40" t="str">
        <f aca="false">IF($B1136="","",IF(AND(OR(CETAK!$J$10="",$F1136=CETAK!$J$10),OR(CETAK!$J$11="",$G1136=CETAK!$J$11),OR(CETAK!$J$12="",$P1136=CETAK!$J$12),OR(CETAK!$J$13="",$N1136=CETAK!$J$13),OR(CETAK!$J$14="",$T1136=CETAK!$J$14)),MAX($AC$3:AC1135)+1,""))</f>
        <v/>
      </c>
      <c r="AD1136" s="40" t="str">
        <f aca="false">IF($B1136="","",IF(AND(OR(ABSENSI!$H$10="",$F1136=ABSENSI!$H$10),OR(ABSENSI!$H$11="",$G1136=ABSENSI!$H$11),OR(ABSENSI!$H$12="",$P1136=ABSENSI!$H$12)),MAX($AD$3:AD1135)+1,""))</f>
        <v/>
      </c>
      <c r="AE1136" s="40" t="str">
        <f aca="false">IF($B1136="","",IF(AND(OR(KARTU!$K$6="",$F1136=KARTU!$K$6),OR(KARTU!$K$7="",$G1136=KARTU!$K$7),OR(KARTU!$K$8="",$P1136=KARTU!$K$8)),MAX($AE$3:AE1135)+1,""))</f>
        <v/>
      </c>
    </row>
    <row r="1137" customFormat="false" ht="15" hidden="false" customHeight="false" outlineLevel="0" collapsed="false">
      <c r="A1137" s="35" t="str">
        <f aca="false">IF($B1137="","",COUNTA($B$4:$B1137))</f>
        <v/>
      </c>
      <c r="B1137" s="36"/>
      <c r="C1137" s="37"/>
      <c r="D1137" s="37"/>
      <c r="E1137" s="38"/>
      <c r="F1137" s="36"/>
      <c r="G1137" s="39"/>
      <c r="H1137" s="39"/>
      <c r="I1137" s="36"/>
      <c r="J1137" s="36"/>
      <c r="K1137" s="36"/>
      <c r="L1137" s="36"/>
      <c r="M1137" s="40" t="str">
        <f aca="false">IF($F1137="","",$F1137&amp;IF($G1137="",""," - RT "&amp;$G1137&amp;IF($H1137="","","/"&amp;$H1137)))</f>
        <v/>
      </c>
      <c r="N1137" s="36"/>
      <c r="O1137" s="37"/>
      <c r="P1137" s="39"/>
      <c r="Q1137" s="41"/>
      <c r="R1137" s="35" t="str">
        <f aca="true">IF(OR($B1137="",$Q1137=""),"",DATEDIF($Q1137,TODAY(),"Y"))</f>
        <v/>
      </c>
      <c r="S1137" s="40" t="str">
        <f aca="false">IF($R1137="","",INDEX(usia_label,MATCH($R1137,usia_min,1)))</f>
        <v/>
      </c>
      <c r="T1137" s="36"/>
      <c r="U1137" s="41"/>
      <c r="V1137" s="36"/>
      <c r="W1137" s="36"/>
      <c r="X1137" s="40" t="str">
        <f aca="false">IF($M1137="","",$M1137&amp;"#"&amp;COUNTIF($M$4:$M1137,$M1137))</f>
        <v/>
      </c>
      <c r="Y1137" s="40" t="str">
        <f aca="false">IF($B1137="","",IF($C1137="","NIK kosong",IF(LEN($C1137)&lt;&gt;16,"NIK bukan 16 digit",IF(COUNTIF($C$4:$C$2003,$C1137&amp;"*")&gt;1,"NIK ganda",IF(AND($D1137&lt;&gt;"",LEN($D1137)&lt;&gt;16),"No. KK bukan 16 digit",IF(AND($F1137="",$I1137=""),"Alamat kosong",IF($N1137="","Jabatan kosong",IF($O1137="","No. HP kosong",IF(AND($R1137&lt;&gt;"",$R1137&lt;17),"Usia di bawah 17","")))))))))</f>
        <v/>
      </c>
      <c r="Z1137" s="40" t="str">
        <f aca="false">IF($B1137="","",IF(AND(OR(CARI!$C$5="",ISNUMBER(SEARCH(CARI!$C$5,$B1137&amp;" "&amp;$C1137&amp;" "&amp;$D1137&amp;" "&amp;$O1137&amp;" "&amp;$I1137&amp;" "&amp;$F1137&amp;" "&amp;$J1137&amp;" "&amp;$K1137&amp;" "&amp;$L1137&amp;" "&amp;$V1137))),OR(CARI!$C$6="",$F1137=CARI!$C$6),OR(CARI!$C$7="",$G1137=CARI!$C$7),OR(CARI!$C$8="",$T1137=CARI!$C$8)),MAX($Z$3:Z1136)+1,""))</f>
        <v/>
      </c>
      <c r="AA1137" s="40" t="str">
        <f aca="false">IF($Y1137="","",MAX($AA$3:AA1136)+1)</f>
        <v/>
      </c>
      <c r="AB1137" s="40" t="str">
        <f aca="false">IF($F1137="","",$F1137&amp;"#"&amp;COUNTIF($F$4:$F1137,$F1137))</f>
        <v/>
      </c>
      <c r="AC1137" s="40" t="str">
        <f aca="false">IF($B1137="","",IF(AND(OR(CETAK!$J$10="",$F1137=CETAK!$J$10),OR(CETAK!$J$11="",$G1137=CETAK!$J$11),OR(CETAK!$J$12="",$P1137=CETAK!$J$12),OR(CETAK!$J$13="",$N1137=CETAK!$J$13),OR(CETAK!$J$14="",$T1137=CETAK!$J$14)),MAX($AC$3:AC1136)+1,""))</f>
        <v/>
      </c>
      <c r="AD1137" s="40" t="str">
        <f aca="false">IF($B1137="","",IF(AND(OR(ABSENSI!$H$10="",$F1137=ABSENSI!$H$10),OR(ABSENSI!$H$11="",$G1137=ABSENSI!$H$11),OR(ABSENSI!$H$12="",$P1137=ABSENSI!$H$12)),MAX($AD$3:AD1136)+1,""))</f>
        <v/>
      </c>
      <c r="AE1137" s="40" t="str">
        <f aca="false">IF($B1137="","",IF(AND(OR(KARTU!$K$6="",$F1137=KARTU!$K$6),OR(KARTU!$K$7="",$G1137=KARTU!$K$7),OR(KARTU!$K$8="",$P1137=KARTU!$K$8)),MAX($AE$3:AE1136)+1,""))</f>
        <v/>
      </c>
    </row>
    <row r="1138" customFormat="false" ht="15" hidden="false" customHeight="false" outlineLevel="0" collapsed="false">
      <c r="A1138" s="35" t="str">
        <f aca="false">IF($B1138="","",COUNTA($B$4:$B1138))</f>
        <v/>
      </c>
      <c r="B1138" s="36"/>
      <c r="C1138" s="37"/>
      <c r="D1138" s="37"/>
      <c r="E1138" s="38"/>
      <c r="F1138" s="36"/>
      <c r="G1138" s="39"/>
      <c r="H1138" s="39"/>
      <c r="I1138" s="36"/>
      <c r="J1138" s="36"/>
      <c r="K1138" s="36"/>
      <c r="L1138" s="36"/>
      <c r="M1138" s="40" t="str">
        <f aca="false">IF($F1138="","",$F1138&amp;IF($G1138="",""," - RT "&amp;$G1138&amp;IF($H1138="","","/"&amp;$H1138)))</f>
        <v/>
      </c>
      <c r="N1138" s="36"/>
      <c r="O1138" s="37"/>
      <c r="P1138" s="39"/>
      <c r="Q1138" s="41"/>
      <c r="R1138" s="35" t="str">
        <f aca="true">IF(OR($B1138="",$Q1138=""),"",DATEDIF($Q1138,TODAY(),"Y"))</f>
        <v/>
      </c>
      <c r="S1138" s="40" t="str">
        <f aca="false">IF($R1138="","",INDEX(usia_label,MATCH($R1138,usia_min,1)))</f>
        <v/>
      </c>
      <c r="T1138" s="36"/>
      <c r="U1138" s="41"/>
      <c r="V1138" s="36"/>
      <c r="W1138" s="36"/>
      <c r="X1138" s="40" t="str">
        <f aca="false">IF($M1138="","",$M1138&amp;"#"&amp;COUNTIF($M$4:$M1138,$M1138))</f>
        <v/>
      </c>
      <c r="Y1138" s="40" t="str">
        <f aca="false">IF($B1138="","",IF($C1138="","NIK kosong",IF(LEN($C1138)&lt;&gt;16,"NIK bukan 16 digit",IF(COUNTIF($C$4:$C$2003,$C1138&amp;"*")&gt;1,"NIK ganda",IF(AND($D1138&lt;&gt;"",LEN($D1138)&lt;&gt;16),"No. KK bukan 16 digit",IF(AND($F1138="",$I1138=""),"Alamat kosong",IF($N1138="","Jabatan kosong",IF($O1138="","No. HP kosong",IF(AND($R1138&lt;&gt;"",$R1138&lt;17),"Usia di bawah 17","")))))))))</f>
        <v/>
      </c>
      <c r="Z1138" s="40" t="str">
        <f aca="false">IF($B1138="","",IF(AND(OR(CARI!$C$5="",ISNUMBER(SEARCH(CARI!$C$5,$B1138&amp;" "&amp;$C1138&amp;" "&amp;$D1138&amp;" "&amp;$O1138&amp;" "&amp;$I1138&amp;" "&amp;$F1138&amp;" "&amp;$J1138&amp;" "&amp;$K1138&amp;" "&amp;$L1138&amp;" "&amp;$V1138))),OR(CARI!$C$6="",$F1138=CARI!$C$6),OR(CARI!$C$7="",$G1138=CARI!$C$7),OR(CARI!$C$8="",$T1138=CARI!$C$8)),MAX($Z$3:Z1137)+1,""))</f>
        <v/>
      </c>
      <c r="AA1138" s="40" t="str">
        <f aca="false">IF($Y1138="","",MAX($AA$3:AA1137)+1)</f>
        <v/>
      </c>
      <c r="AB1138" s="40" t="str">
        <f aca="false">IF($F1138="","",$F1138&amp;"#"&amp;COUNTIF($F$4:$F1138,$F1138))</f>
        <v/>
      </c>
      <c r="AC1138" s="40" t="str">
        <f aca="false">IF($B1138="","",IF(AND(OR(CETAK!$J$10="",$F1138=CETAK!$J$10),OR(CETAK!$J$11="",$G1138=CETAK!$J$11),OR(CETAK!$J$12="",$P1138=CETAK!$J$12),OR(CETAK!$J$13="",$N1138=CETAK!$J$13),OR(CETAK!$J$14="",$T1138=CETAK!$J$14)),MAX($AC$3:AC1137)+1,""))</f>
        <v/>
      </c>
      <c r="AD1138" s="40" t="str">
        <f aca="false">IF($B1138="","",IF(AND(OR(ABSENSI!$H$10="",$F1138=ABSENSI!$H$10),OR(ABSENSI!$H$11="",$G1138=ABSENSI!$H$11),OR(ABSENSI!$H$12="",$P1138=ABSENSI!$H$12)),MAX($AD$3:AD1137)+1,""))</f>
        <v/>
      </c>
      <c r="AE1138" s="40" t="str">
        <f aca="false">IF($B1138="","",IF(AND(OR(KARTU!$K$6="",$F1138=KARTU!$K$6),OR(KARTU!$K$7="",$G1138=KARTU!$K$7),OR(KARTU!$K$8="",$P1138=KARTU!$K$8)),MAX($AE$3:AE1137)+1,""))</f>
        <v/>
      </c>
    </row>
    <row r="1139" customFormat="false" ht="15" hidden="false" customHeight="false" outlineLevel="0" collapsed="false">
      <c r="A1139" s="35" t="str">
        <f aca="false">IF($B1139="","",COUNTA($B$4:$B1139))</f>
        <v/>
      </c>
      <c r="B1139" s="36"/>
      <c r="C1139" s="37"/>
      <c r="D1139" s="37"/>
      <c r="E1139" s="38"/>
      <c r="F1139" s="36"/>
      <c r="G1139" s="39"/>
      <c r="H1139" s="39"/>
      <c r="I1139" s="36"/>
      <c r="J1139" s="36"/>
      <c r="K1139" s="36"/>
      <c r="L1139" s="36"/>
      <c r="M1139" s="40" t="str">
        <f aca="false">IF($F1139="","",$F1139&amp;IF($G1139="",""," - RT "&amp;$G1139&amp;IF($H1139="","","/"&amp;$H1139)))</f>
        <v/>
      </c>
      <c r="N1139" s="36"/>
      <c r="O1139" s="37"/>
      <c r="P1139" s="39"/>
      <c r="Q1139" s="41"/>
      <c r="R1139" s="35" t="str">
        <f aca="true">IF(OR($B1139="",$Q1139=""),"",DATEDIF($Q1139,TODAY(),"Y"))</f>
        <v/>
      </c>
      <c r="S1139" s="40" t="str">
        <f aca="false">IF($R1139="","",INDEX(usia_label,MATCH($R1139,usia_min,1)))</f>
        <v/>
      </c>
      <c r="T1139" s="36"/>
      <c r="U1139" s="41"/>
      <c r="V1139" s="36"/>
      <c r="W1139" s="36"/>
      <c r="X1139" s="40" t="str">
        <f aca="false">IF($M1139="","",$M1139&amp;"#"&amp;COUNTIF($M$4:$M1139,$M1139))</f>
        <v/>
      </c>
      <c r="Y1139" s="40" t="str">
        <f aca="false">IF($B1139="","",IF($C1139="","NIK kosong",IF(LEN($C1139)&lt;&gt;16,"NIK bukan 16 digit",IF(COUNTIF($C$4:$C$2003,$C1139&amp;"*")&gt;1,"NIK ganda",IF(AND($D1139&lt;&gt;"",LEN($D1139)&lt;&gt;16),"No. KK bukan 16 digit",IF(AND($F1139="",$I1139=""),"Alamat kosong",IF($N1139="","Jabatan kosong",IF($O1139="","No. HP kosong",IF(AND($R1139&lt;&gt;"",$R1139&lt;17),"Usia di bawah 17","")))))))))</f>
        <v/>
      </c>
      <c r="Z1139" s="40" t="str">
        <f aca="false">IF($B1139="","",IF(AND(OR(CARI!$C$5="",ISNUMBER(SEARCH(CARI!$C$5,$B1139&amp;" "&amp;$C1139&amp;" "&amp;$D1139&amp;" "&amp;$O1139&amp;" "&amp;$I1139&amp;" "&amp;$F1139&amp;" "&amp;$J1139&amp;" "&amp;$K1139&amp;" "&amp;$L1139&amp;" "&amp;$V1139))),OR(CARI!$C$6="",$F1139=CARI!$C$6),OR(CARI!$C$7="",$G1139=CARI!$C$7),OR(CARI!$C$8="",$T1139=CARI!$C$8)),MAX($Z$3:Z1138)+1,""))</f>
        <v/>
      </c>
      <c r="AA1139" s="40" t="str">
        <f aca="false">IF($Y1139="","",MAX($AA$3:AA1138)+1)</f>
        <v/>
      </c>
      <c r="AB1139" s="40" t="str">
        <f aca="false">IF($F1139="","",$F1139&amp;"#"&amp;COUNTIF($F$4:$F1139,$F1139))</f>
        <v/>
      </c>
      <c r="AC1139" s="40" t="str">
        <f aca="false">IF($B1139="","",IF(AND(OR(CETAK!$J$10="",$F1139=CETAK!$J$10),OR(CETAK!$J$11="",$G1139=CETAK!$J$11),OR(CETAK!$J$12="",$P1139=CETAK!$J$12),OR(CETAK!$J$13="",$N1139=CETAK!$J$13),OR(CETAK!$J$14="",$T1139=CETAK!$J$14)),MAX($AC$3:AC1138)+1,""))</f>
        <v/>
      </c>
      <c r="AD1139" s="40" t="str">
        <f aca="false">IF($B1139="","",IF(AND(OR(ABSENSI!$H$10="",$F1139=ABSENSI!$H$10),OR(ABSENSI!$H$11="",$G1139=ABSENSI!$H$11),OR(ABSENSI!$H$12="",$P1139=ABSENSI!$H$12)),MAX($AD$3:AD1138)+1,""))</f>
        <v/>
      </c>
      <c r="AE1139" s="40" t="str">
        <f aca="false">IF($B1139="","",IF(AND(OR(KARTU!$K$6="",$F1139=KARTU!$K$6),OR(KARTU!$K$7="",$G1139=KARTU!$K$7),OR(KARTU!$K$8="",$P1139=KARTU!$K$8)),MAX($AE$3:AE1138)+1,""))</f>
        <v/>
      </c>
    </row>
    <row r="1140" customFormat="false" ht="15" hidden="false" customHeight="false" outlineLevel="0" collapsed="false">
      <c r="A1140" s="35" t="str">
        <f aca="false">IF($B1140="","",COUNTA($B$4:$B1140))</f>
        <v/>
      </c>
      <c r="B1140" s="36"/>
      <c r="C1140" s="37"/>
      <c r="D1140" s="37"/>
      <c r="E1140" s="38"/>
      <c r="F1140" s="36"/>
      <c r="G1140" s="39"/>
      <c r="H1140" s="39"/>
      <c r="I1140" s="36"/>
      <c r="J1140" s="36"/>
      <c r="K1140" s="36"/>
      <c r="L1140" s="36"/>
      <c r="M1140" s="40" t="str">
        <f aca="false">IF($F1140="","",$F1140&amp;IF($G1140="",""," - RT "&amp;$G1140&amp;IF($H1140="","","/"&amp;$H1140)))</f>
        <v/>
      </c>
      <c r="N1140" s="36"/>
      <c r="O1140" s="37"/>
      <c r="P1140" s="39"/>
      <c r="Q1140" s="41"/>
      <c r="R1140" s="35" t="str">
        <f aca="true">IF(OR($B1140="",$Q1140=""),"",DATEDIF($Q1140,TODAY(),"Y"))</f>
        <v/>
      </c>
      <c r="S1140" s="40" t="str">
        <f aca="false">IF($R1140="","",INDEX(usia_label,MATCH($R1140,usia_min,1)))</f>
        <v/>
      </c>
      <c r="T1140" s="36"/>
      <c r="U1140" s="41"/>
      <c r="V1140" s="36"/>
      <c r="W1140" s="36"/>
      <c r="X1140" s="40" t="str">
        <f aca="false">IF($M1140="","",$M1140&amp;"#"&amp;COUNTIF($M$4:$M1140,$M1140))</f>
        <v/>
      </c>
      <c r="Y1140" s="40" t="str">
        <f aca="false">IF($B1140="","",IF($C1140="","NIK kosong",IF(LEN($C1140)&lt;&gt;16,"NIK bukan 16 digit",IF(COUNTIF($C$4:$C$2003,$C1140&amp;"*")&gt;1,"NIK ganda",IF(AND($D1140&lt;&gt;"",LEN($D1140)&lt;&gt;16),"No. KK bukan 16 digit",IF(AND($F1140="",$I1140=""),"Alamat kosong",IF($N1140="","Jabatan kosong",IF($O1140="","No. HP kosong",IF(AND($R1140&lt;&gt;"",$R1140&lt;17),"Usia di bawah 17","")))))))))</f>
        <v/>
      </c>
      <c r="Z1140" s="40" t="str">
        <f aca="false">IF($B1140="","",IF(AND(OR(CARI!$C$5="",ISNUMBER(SEARCH(CARI!$C$5,$B1140&amp;" "&amp;$C1140&amp;" "&amp;$D1140&amp;" "&amp;$O1140&amp;" "&amp;$I1140&amp;" "&amp;$F1140&amp;" "&amp;$J1140&amp;" "&amp;$K1140&amp;" "&amp;$L1140&amp;" "&amp;$V1140))),OR(CARI!$C$6="",$F1140=CARI!$C$6),OR(CARI!$C$7="",$G1140=CARI!$C$7),OR(CARI!$C$8="",$T1140=CARI!$C$8)),MAX($Z$3:Z1139)+1,""))</f>
        <v/>
      </c>
      <c r="AA1140" s="40" t="str">
        <f aca="false">IF($Y1140="","",MAX($AA$3:AA1139)+1)</f>
        <v/>
      </c>
      <c r="AB1140" s="40" t="str">
        <f aca="false">IF($F1140="","",$F1140&amp;"#"&amp;COUNTIF($F$4:$F1140,$F1140))</f>
        <v/>
      </c>
      <c r="AC1140" s="40" t="str">
        <f aca="false">IF($B1140="","",IF(AND(OR(CETAK!$J$10="",$F1140=CETAK!$J$10),OR(CETAK!$J$11="",$G1140=CETAK!$J$11),OR(CETAK!$J$12="",$P1140=CETAK!$J$12),OR(CETAK!$J$13="",$N1140=CETAK!$J$13),OR(CETAK!$J$14="",$T1140=CETAK!$J$14)),MAX($AC$3:AC1139)+1,""))</f>
        <v/>
      </c>
      <c r="AD1140" s="40" t="str">
        <f aca="false">IF($B1140="","",IF(AND(OR(ABSENSI!$H$10="",$F1140=ABSENSI!$H$10),OR(ABSENSI!$H$11="",$G1140=ABSENSI!$H$11),OR(ABSENSI!$H$12="",$P1140=ABSENSI!$H$12)),MAX($AD$3:AD1139)+1,""))</f>
        <v/>
      </c>
      <c r="AE1140" s="40" t="str">
        <f aca="false">IF($B1140="","",IF(AND(OR(KARTU!$K$6="",$F1140=KARTU!$K$6),OR(KARTU!$K$7="",$G1140=KARTU!$K$7),OR(KARTU!$K$8="",$P1140=KARTU!$K$8)),MAX($AE$3:AE1139)+1,""))</f>
        <v/>
      </c>
    </row>
    <row r="1141" customFormat="false" ht="15" hidden="false" customHeight="false" outlineLevel="0" collapsed="false">
      <c r="A1141" s="35" t="str">
        <f aca="false">IF($B1141="","",COUNTA($B$4:$B1141))</f>
        <v/>
      </c>
      <c r="B1141" s="36"/>
      <c r="C1141" s="37"/>
      <c r="D1141" s="37"/>
      <c r="E1141" s="38"/>
      <c r="F1141" s="36"/>
      <c r="G1141" s="39"/>
      <c r="H1141" s="39"/>
      <c r="I1141" s="36"/>
      <c r="J1141" s="36"/>
      <c r="K1141" s="36"/>
      <c r="L1141" s="36"/>
      <c r="M1141" s="40" t="str">
        <f aca="false">IF($F1141="","",$F1141&amp;IF($G1141="",""," - RT "&amp;$G1141&amp;IF($H1141="","","/"&amp;$H1141)))</f>
        <v/>
      </c>
      <c r="N1141" s="36"/>
      <c r="O1141" s="37"/>
      <c r="P1141" s="39"/>
      <c r="Q1141" s="41"/>
      <c r="R1141" s="35" t="str">
        <f aca="true">IF(OR($B1141="",$Q1141=""),"",DATEDIF($Q1141,TODAY(),"Y"))</f>
        <v/>
      </c>
      <c r="S1141" s="40" t="str">
        <f aca="false">IF($R1141="","",INDEX(usia_label,MATCH($R1141,usia_min,1)))</f>
        <v/>
      </c>
      <c r="T1141" s="36"/>
      <c r="U1141" s="41"/>
      <c r="V1141" s="36"/>
      <c r="W1141" s="36"/>
      <c r="X1141" s="40" t="str">
        <f aca="false">IF($M1141="","",$M1141&amp;"#"&amp;COUNTIF($M$4:$M1141,$M1141))</f>
        <v/>
      </c>
      <c r="Y1141" s="40" t="str">
        <f aca="false">IF($B1141="","",IF($C1141="","NIK kosong",IF(LEN($C1141)&lt;&gt;16,"NIK bukan 16 digit",IF(COUNTIF($C$4:$C$2003,$C1141&amp;"*")&gt;1,"NIK ganda",IF(AND($D1141&lt;&gt;"",LEN($D1141)&lt;&gt;16),"No. KK bukan 16 digit",IF(AND($F1141="",$I1141=""),"Alamat kosong",IF($N1141="","Jabatan kosong",IF($O1141="","No. HP kosong",IF(AND($R1141&lt;&gt;"",$R1141&lt;17),"Usia di bawah 17","")))))))))</f>
        <v/>
      </c>
      <c r="Z1141" s="40" t="str">
        <f aca="false">IF($B1141="","",IF(AND(OR(CARI!$C$5="",ISNUMBER(SEARCH(CARI!$C$5,$B1141&amp;" "&amp;$C1141&amp;" "&amp;$D1141&amp;" "&amp;$O1141&amp;" "&amp;$I1141&amp;" "&amp;$F1141&amp;" "&amp;$J1141&amp;" "&amp;$K1141&amp;" "&amp;$L1141&amp;" "&amp;$V1141))),OR(CARI!$C$6="",$F1141=CARI!$C$6),OR(CARI!$C$7="",$G1141=CARI!$C$7),OR(CARI!$C$8="",$T1141=CARI!$C$8)),MAX($Z$3:Z1140)+1,""))</f>
        <v/>
      </c>
      <c r="AA1141" s="40" t="str">
        <f aca="false">IF($Y1141="","",MAX($AA$3:AA1140)+1)</f>
        <v/>
      </c>
      <c r="AB1141" s="40" t="str">
        <f aca="false">IF($F1141="","",$F1141&amp;"#"&amp;COUNTIF($F$4:$F1141,$F1141))</f>
        <v/>
      </c>
      <c r="AC1141" s="40" t="str">
        <f aca="false">IF($B1141="","",IF(AND(OR(CETAK!$J$10="",$F1141=CETAK!$J$10),OR(CETAK!$J$11="",$G1141=CETAK!$J$11),OR(CETAK!$J$12="",$P1141=CETAK!$J$12),OR(CETAK!$J$13="",$N1141=CETAK!$J$13),OR(CETAK!$J$14="",$T1141=CETAK!$J$14)),MAX($AC$3:AC1140)+1,""))</f>
        <v/>
      </c>
      <c r="AD1141" s="40" t="str">
        <f aca="false">IF($B1141="","",IF(AND(OR(ABSENSI!$H$10="",$F1141=ABSENSI!$H$10),OR(ABSENSI!$H$11="",$G1141=ABSENSI!$H$11),OR(ABSENSI!$H$12="",$P1141=ABSENSI!$H$12)),MAX($AD$3:AD1140)+1,""))</f>
        <v/>
      </c>
      <c r="AE1141" s="40" t="str">
        <f aca="false">IF($B1141="","",IF(AND(OR(KARTU!$K$6="",$F1141=KARTU!$K$6),OR(KARTU!$K$7="",$G1141=KARTU!$K$7),OR(KARTU!$K$8="",$P1141=KARTU!$K$8)),MAX($AE$3:AE1140)+1,""))</f>
        <v/>
      </c>
    </row>
    <row r="1142" customFormat="false" ht="15" hidden="false" customHeight="false" outlineLevel="0" collapsed="false">
      <c r="A1142" s="35" t="str">
        <f aca="false">IF($B1142="","",COUNTA($B$4:$B1142))</f>
        <v/>
      </c>
      <c r="B1142" s="36"/>
      <c r="C1142" s="37"/>
      <c r="D1142" s="37"/>
      <c r="E1142" s="38"/>
      <c r="F1142" s="36"/>
      <c r="G1142" s="39"/>
      <c r="H1142" s="39"/>
      <c r="I1142" s="36"/>
      <c r="J1142" s="36"/>
      <c r="K1142" s="36"/>
      <c r="L1142" s="36"/>
      <c r="M1142" s="40" t="str">
        <f aca="false">IF($F1142="","",$F1142&amp;IF($G1142="",""," - RT "&amp;$G1142&amp;IF($H1142="","","/"&amp;$H1142)))</f>
        <v/>
      </c>
      <c r="N1142" s="36"/>
      <c r="O1142" s="37"/>
      <c r="P1142" s="39"/>
      <c r="Q1142" s="41"/>
      <c r="R1142" s="35" t="str">
        <f aca="true">IF(OR($B1142="",$Q1142=""),"",DATEDIF($Q1142,TODAY(),"Y"))</f>
        <v/>
      </c>
      <c r="S1142" s="40" t="str">
        <f aca="false">IF($R1142="","",INDEX(usia_label,MATCH($R1142,usia_min,1)))</f>
        <v/>
      </c>
      <c r="T1142" s="36"/>
      <c r="U1142" s="41"/>
      <c r="V1142" s="36"/>
      <c r="W1142" s="36"/>
      <c r="X1142" s="40" t="str">
        <f aca="false">IF($M1142="","",$M1142&amp;"#"&amp;COUNTIF($M$4:$M1142,$M1142))</f>
        <v/>
      </c>
      <c r="Y1142" s="40" t="str">
        <f aca="false">IF($B1142="","",IF($C1142="","NIK kosong",IF(LEN($C1142)&lt;&gt;16,"NIK bukan 16 digit",IF(COUNTIF($C$4:$C$2003,$C1142&amp;"*")&gt;1,"NIK ganda",IF(AND($D1142&lt;&gt;"",LEN($D1142)&lt;&gt;16),"No. KK bukan 16 digit",IF(AND($F1142="",$I1142=""),"Alamat kosong",IF($N1142="","Jabatan kosong",IF($O1142="","No. HP kosong",IF(AND($R1142&lt;&gt;"",$R1142&lt;17),"Usia di bawah 17","")))))))))</f>
        <v/>
      </c>
      <c r="Z1142" s="40" t="str">
        <f aca="false">IF($B1142="","",IF(AND(OR(CARI!$C$5="",ISNUMBER(SEARCH(CARI!$C$5,$B1142&amp;" "&amp;$C1142&amp;" "&amp;$D1142&amp;" "&amp;$O1142&amp;" "&amp;$I1142&amp;" "&amp;$F1142&amp;" "&amp;$J1142&amp;" "&amp;$K1142&amp;" "&amp;$L1142&amp;" "&amp;$V1142))),OR(CARI!$C$6="",$F1142=CARI!$C$6),OR(CARI!$C$7="",$G1142=CARI!$C$7),OR(CARI!$C$8="",$T1142=CARI!$C$8)),MAX($Z$3:Z1141)+1,""))</f>
        <v/>
      </c>
      <c r="AA1142" s="40" t="str">
        <f aca="false">IF($Y1142="","",MAX($AA$3:AA1141)+1)</f>
        <v/>
      </c>
      <c r="AB1142" s="40" t="str">
        <f aca="false">IF($F1142="","",$F1142&amp;"#"&amp;COUNTIF($F$4:$F1142,$F1142))</f>
        <v/>
      </c>
      <c r="AC1142" s="40" t="str">
        <f aca="false">IF($B1142="","",IF(AND(OR(CETAK!$J$10="",$F1142=CETAK!$J$10),OR(CETAK!$J$11="",$G1142=CETAK!$J$11),OR(CETAK!$J$12="",$P1142=CETAK!$J$12),OR(CETAK!$J$13="",$N1142=CETAK!$J$13),OR(CETAK!$J$14="",$T1142=CETAK!$J$14)),MAX($AC$3:AC1141)+1,""))</f>
        <v/>
      </c>
      <c r="AD1142" s="40" t="str">
        <f aca="false">IF($B1142="","",IF(AND(OR(ABSENSI!$H$10="",$F1142=ABSENSI!$H$10),OR(ABSENSI!$H$11="",$G1142=ABSENSI!$H$11),OR(ABSENSI!$H$12="",$P1142=ABSENSI!$H$12)),MAX($AD$3:AD1141)+1,""))</f>
        <v/>
      </c>
      <c r="AE1142" s="40" t="str">
        <f aca="false">IF($B1142="","",IF(AND(OR(KARTU!$K$6="",$F1142=KARTU!$K$6),OR(KARTU!$K$7="",$G1142=KARTU!$K$7),OR(KARTU!$K$8="",$P1142=KARTU!$K$8)),MAX($AE$3:AE1141)+1,""))</f>
        <v/>
      </c>
    </row>
    <row r="1143" customFormat="false" ht="15" hidden="false" customHeight="false" outlineLevel="0" collapsed="false">
      <c r="A1143" s="35" t="str">
        <f aca="false">IF($B1143="","",COUNTA($B$4:$B1143))</f>
        <v/>
      </c>
      <c r="B1143" s="36"/>
      <c r="C1143" s="37"/>
      <c r="D1143" s="37"/>
      <c r="E1143" s="38"/>
      <c r="F1143" s="36"/>
      <c r="G1143" s="39"/>
      <c r="H1143" s="39"/>
      <c r="I1143" s="36"/>
      <c r="J1143" s="36"/>
      <c r="K1143" s="36"/>
      <c r="L1143" s="36"/>
      <c r="M1143" s="40" t="str">
        <f aca="false">IF($F1143="","",$F1143&amp;IF($G1143="",""," - RT "&amp;$G1143&amp;IF($H1143="","","/"&amp;$H1143)))</f>
        <v/>
      </c>
      <c r="N1143" s="36"/>
      <c r="O1143" s="37"/>
      <c r="P1143" s="39"/>
      <c r="Q1143" s="41"/>
      <c r="R1143" s="35" t="str">
        <f aca="true">IF(OR($B1143="",$Q1143=""),"",DATEDIF($Q1143,TODAY(),"Y"))</f>
        <v/>
      </c>
      <c r="S1143" s="40" t="str">
        <f aca="false">IF($R1143="","",INDEX(usia_label,MATCH($R1143,usia_min,1)))</f>
        <v/>
      </c>
      <c r="T1143" s="36"/>
      <c r="U1143" s="41"/>
      <c r="V1143" s="36"/>
      <c r="W1143" s="36"/>
      <c r="X1143" s="40" t="str">
        <f aca="false">IF($M1143="","",$M1143&amp;"#"&amp;COUNTIF($M$4:$M1143,$M1143))</f>
        <v/>
      </c>
      <c r="Y1143" s="40" t="str">
        <f aca="false">IF($B1143="","",IF($C1143="","NIK kosong",IF(LEN($C1143)&lt;&gt;16,"NIK bukan 16 digit",IF(COUNTIF($C$4:$C$2003,$C1143&amp;"*")&gt;1,"NIK ganda",IF(AND($D1143&lt;&gt;"",LEN($D1143)&lt;&gt;16),"No. KK bukan 16 digit",IF(AND($F1143="",$I1143=""),"Alamat kosong",IF($N1143="","Jabatan kosong",IF($O1143="","No. HP kosong",IF(AND($R1143&lt;&gt;"",$R1143&lt;17),"Usia di bawah 17","")))))))))</f>
        <v/>
      </c>
      <c r="Z1143" s="40" t="str">
        <f aca="false">IF($B1143="","",IF(AND(OR(CARI!$C$5="",ISNUMBER(SEARCH(CARI!$C$5,$B1143&amp;" "&amp;$C1143&amp;" "&amp;$D1143&amp;" "&amp;$O1143&amp;" "&amp;$I1143&amp;" "&amp;$F1143&amp;" "&amp;$J1143&amp;" "&amp;$K1143&amp;" "&amp;$L1143&amp;" "&amp;$V1143))),OR(CARI!$C$6="",$F1143=CARI!$C$6),OR(CARI!$C$7="",$G1143=CARI!$C$7),OR(CARI!$C$8="",$T1143=CARI!$C$8)),MAX($Z$3:Z1142)+1,""))</f>
        <v/>
      </c>
      <c r="AA1143" s="40" t="str">
        <f aca="false">IF($Y1143="","",MAX($AA$3:AA1142)+1)</f>
        <v/>
      </c>
      <c r="AB1143" s="40" t="str">
        <f aca="false">IF($F1143="","",$F1143&amp;"#"&amp;COUNTIF($F$4:$F1143,$F1143))</f>
        <v/>
      </c>
      <c r="AC1143" s="40" t="str">
        <f aca="false">IF($B1143="","",IF(AND(OR(CETAK!$J$10="",$F1143=CETAK!$J$10),OR(CETAK!$J$11="",$G1143=CETAK!$J$11),OR(CETAK!$J$12="",$P1143=CETAK!$J$12),OR(CETAK!$J$13="",$N1143=CETAK!$J$13),OR(CETAK!$J$14="",$T1143=CETAK!$J$14)),MAX($AC$3:AC1142)+1,""))</f>
        <v/>
      </c>
      <c r="AD1143" s="40" t="str">
        <f aca="false">IF($B1143="","",IF(AND(OR(ABSENSI!$H$10="",$F1143=ABSENSI!$H$10),OR(ABSENSI!$H$11="",$G1143=ABSENSI!$H$11),OR(ABSENSI!$H$12="",$P1143=ABSENSI!$H$12)),MAX($AD$3:AD1142)+1,""))</f>
        <v/>
      </c>
      <c r="AE1143" s="40" t="str">
        <f aca="false">IF($B1143="","",IF(AND(OR(KARTU!$K$6="",$F1143=KARTU!$K$6),OR(KARTU!$K$7="",$G1143=KARTU!$K$7),OR(KARTU!$K$8="",$P1143=KARTU!$K$8)),MAX($AE$3:AE1142)+1,""))</f>
        <v/>
      </c>
    </row>
    <row r="1144" customFormat="false" ht="15" hidden="false" customHeight="false" outlineLevel="0" collapsed="false">
      <c r="A1144" s="35" t="str">
        <f aca="false">IF($B1144="","",COUNTA($B$4:$B1144))</f>
        <v/>
      </c>
      <c r="B1144" s="36"/>
      <c r="C1144" s="37"/>
      <c r="D1144" s="37"/>
      <c r="E1144" s="38"/>
      <c r="F1144" s="36"/>
      <c r="G1144" s="39"/>
      <c r="H1144" s="39"/>
      <c r="I1144" s="36"/>
      <c r="J1144" s="36"/>
      <c r="K1144" s="36"/>
      <c r="L1144" s="36"/>
      <c r="M1144" s="40" t="str">
        <f aca="false">IF($F1144="","",$F1144&amp;IF($G1144="",""," - RT "&amp;$G1144&amp;IF($H1144="","","/"&amp;$H1144)))</f>
        <v/>
      </c>
      <c r="N1144" s="36"/>
      <c r="O1144" s="37"/>
      <c r="P1144" s="39"/>
      <c r="Q1144" s="41"/>
      <c r="R1144" s="35" t="str">
        <f aca="true">IF(OR($B1144="",$Q1144=""),"",DATEDIF($Q1144,TODAY(),"Y"))</f>
        <v/>
      </c>
      <c r="S1144" s="40" t="str">
        <f aca="false">IF($R1144="","",INDEX(usia_label,MATCH($R1144,usia_min,1)))</f>
        <v/>
      </c>
      <c r="T1144" s="36"/>
      <c r="U1144" s="41"/>
      <c r="V1144" s="36"/>
      <c r="W1144" s="36"/>
      <c r="X1144" s="40" t="str">
        <f aca="false">IF($M1144="","",$M1144&amp;"#"&amp;COUNTIF($M$4:$M1144,$M1144))</f>
        <v/>
      </c>
      <c r="Y1144" s="40" t="str">
        <f aca="false">IF($B1144="","",IF($C1144="","NIK kosong",IF(LEN($C1144)&lt;&gt;16,"NIK bukan 16 digit",IF(COUNTIF($C$4:$C$2003,$C1144&amp;"*")&gt;1,"NIK ganda",IF(AND($D1144&lt;&gt;"",LEN($D1144)&lt;&gt;16),"No. KK bukan 16 digit",IF(AND($F1144="",$I1144=""),"Alamat kosong",IF($N1144="","Jabatan kosong",IF($O1144="","No. HP kosong",IF(AND($R1144&lt;&gt;"",$R1144&lt;17),"Usia di bawah 17","")))))))))</f>
        <v/>
      </c>
      <c r="Z1144" s="40" t="str">
        <f aca="false">IF($B1144="","",IF(AND(OR(CARI!$C$5="",ISNUMBER(SEARCH(CARI!$C$5,$B1144&amp;" "&amp;$C1144&amp;" "&amp;$D1144&amp;" "&amp;$O1144&amp;" "&amp;$I1144&amp;" "&amp;$F1144&amp;" "&amp;$J1144&amp;" "&amp;$K1144&amp;" "&amp;$L1144&amp;" "&amp;$V1144))),OR(CARI!$C$6="",$F1144=CARI!$C$6),OR(CARI!$C$7="",$G1144=CARI!$C$7),OR(CARI!$C$8="",$T1144=CARI!$C$8)),MAX($Z$3:Z1143)+1,""))</f>
        <v/>
      </c>
      <c r="AA1144" s="40" t="str">
        <f aca="false">IF($Y1144="","",MAX($AA$3:AA1143)+1)</f>
        <v/>
      </c>
      <c r="AB1144" s="40" t="str">
        <f aca="false">IF($F1144="","",$F1144&amp;"#"&amp;COUNTIF($F$4:$F1144,$F1144))</f>
        <v/>
      </c>
      <c r="AC1144" s="40" t="str">
        <f aca="false">IF($B1144="","",IF(AND(OR(CETAK!$J$10="",$F1144=CETAK!$J$10),OR(CETAK!$J$11="",$G1144=CETAK!$J$11),OR(CETAK!$J$12="",$P1144=CETAK!$J$12),OR(CETAK!$J$13="",$N1144=CETAK!$J$13),OR(CETAK!$J$14="",$T1144=CETAK!$J$14)),MAX($AC$3:AC1143)+1,""))</f>
        <v/>
      </c>
      <c r="AD1144" s="40" t="str">
        <f aca="false">IF($B1144="","",IF(AND(OR(ABSENSI!$H$10="",$F1144=ABSENSI!$H$10),OR(ABSENSI!$H$11="",$G1144=ABSENSI!$H$11),OR(ABSENSI!$H$12="",$P1144=ABSENSI!$H$12)),MAX($AD$3:AD1143)+1,""))</f>
        <v/>
      </c>
      <c r="AE1144" s="40" t="str">
        <f aca="false">IF($B1144="","",IF(AND(OR(KARTU!$K$6="",$F1144=KARTU!$K$6),OR(KARTU!$K$7="",$G1144=KARTU!$K$7),OR(KARTU!$K$8="",$P1144=KARTU!$K$8)),MAX($AE$3:AE1143)+1,""))</f>
        <v/>
      </c>
    </row>
    <row r="1145" customFormat="false" ht="15" hidden="false" customHeight="false" outlineLevel="0" collapsed="false">
      <c r="A1145" s="35" t="str">
        <f aca="false">IF($B1145="","",COUNTA($B$4:$B1145))</f>
        <v/>
      </c>
      <c r="B1145" s="36"/>
      <c r="C1145" s="37"/>
      <c r="D1145" s="37"/>
      <c r="E1145" s="38"/>
      <c r="F1145" s="36"/>
      <c r="G1145" s="39"/>
      <c r="H1145" s="39"/>
      <c r="I1145" s="36"/>
      <c r="J1145" s="36"/>
      <c r="K1145" s="36"/>
      <c r="L1145" s="36"/>
      <c r="M1145" s="40" t="str">
        <f aca="false">IF($F1145="","",$F1145&amp;IF($G1145="",""," - RT "&amp;$G1145&amp;IF($H1145="","","/"&amp;$H1145)))</f>
        <v/>
      </c>
      <c r="N1145" s="36"/>
      <c r="O1145" s="37"/>
      <c r="P1145" s="39"/>
      <c r="Q1145" s="41"/>
      <c r="R1145" s="35" t="str">
        <f aca="true">IF(OR($B1145="",$Q1145=""),"",DATEDIF($Q1145,TODAY(),"Y"))</f>
        <v/>
      </c>
      <c r="S1145" s="40" t="str">
        <f aca="false">IF($R1145="","",INDEX(usia_label,MATCH($R1145,usia_min,1)))</f>
        <v/>
      </c>
      <c r="T1145" s="36"/>
      <c r="U1145" s="41"/>
      <c r="V1145" s="36"/>
      <c r="W1145" s="36"/>
      <c r="X1145" s="40" t="str">
        <f aca="false">IF($M1145="","",$M1145&amp;"#"&amp;COUNTIF($M$4:$M1145,$M1145))</f>
        <v/>
      </c>
      <c r="Y1145" s="40" t="str">
        <f aca="false">IF($B1145="","",IF($C1145="","NIK kosong",IF(LEN($C1145)&lt;&gt;16,"NIK bukan 16 digit",IF(COUNTIF($C$4:$C$2003,$C1145&amp;"*")&gt;1,"NIK ganda",IF(AND($D1145&lt;&gt;"",LEN($D1145)&lt;&gt;16),"No. KK bukan 16 digit",IF(AND($F1145="",$I1145=""),"Alamat kosong",IF($N1145="","Jabatan kosong",IF($O1145="","No. HP kosong",IF(AND($R1145&lt;&gt;"",$R1145&lt;17),"Usia di bawah 17","")))))))))</f>
        <v/>
      </c>
      <c r="Z1145" s="40" t="str">
        <f aca="false">IF($B1145="","",IF(AND(OR(CARI!$C$5="",ISNUMBER(SEARCH(CARI!$C$5,$B1145&amp;" "&amp;$C1145&amp;" "&amp;$D1145&amp;" "&amp;$O1145&amp;" "&amp;$I1145&amp;" "&amp;$F1145&amp;" "&amp;$J1145&amp;" "&amp;$K1145&amp;" "&amp;$L1145&amp;" "&amp;$V1145))),OR(CARI!$C$6="",$F1145=CARI!$C$6),OR(CARI!$C$7="",$G1145=CARI!$C$7),OR(CARI!$C$8="",$T1145=CARI!$C$8)),MAX($Z$3:Z1144)+1,""))</f>
        <v/>
      </c>
      <c r="AA1145" s="40" t="str">
        <f aca="false">IF($Y1145="","",MAX($AA$3:AA1144)+1)</f>
        <v/>
      </c>
      <c r="AB1145" s="40" t="str">
        <f aca="false">IF($F1145="","",$F1145&amp;"#"&amp;COUNTIF($F$4:$F1145,$F1145))</f>
        <v/>
      </c>
      <c r="AC1145" s="40" t="str">
        <f aca="false">IF($B1145="","",IF(AND(OR(CETAK!$J$10="",$F1145=CETAK!$J$10),OR(CETAK!$J$11="",$G1145=CETAK!$J$11),OR(CETAK!$J$12="",$P1145=CETAK!$J$12),OR(CETAK!$J$13="",$N1145=CETAK!$J$13),OR(CETAK!$J$14="",$T1145=CETAK!$J$14)),MAX($AC$3:AC1144)+1,""))</f>
        <v/>
      </c>
      <c r="AD1145" s="40" t="str">
        <f aca="false">IF($B1145="","",IF(AND(OR(ABSENSI!$H$10="",$F1145=ABSENSI!$H$10),OR(ABSENSI!$H$11="",$G1145=ABSENSI!$H$11),OR(ABSENSI!$H$12="",$P1145=ABSENSI!$H$12)),MAX($AD$3:AD1144)+1,""))</f>
        <v/>
      </c>
      <c r="AE1145" s="40" t="str">
        <f aca="false">IF($B1145="","",IF(AND(OR(KARTU!$K$6="",$F1145=KARTU!$K$6),OR(KARTU!$K$7="",$G1145=KARTU!$K$7),OR(KARTU!$K$8="",$P1145=KARTU!$K$8)),MAX($AE$3:AE1144)+1,""))</f>
        <v/>
      </c>
    </row>
    <row r="1146" customFormat="false" ht="15" hidden="false" customHeight="false" outlineLevel="0" collapsed="false">
      <c r="A1146" s="35" t="str">
        <f aca="false">IF($B1146="","",COUNTA($B$4:$B1146))</f>
        <v/>
      </c>
      <c r="B1146" s="36"/>
      <c r="C1146" s="37"/>
      <c r="D1146" s="37"/>
      <c r="E1146" s="38"/>
      <c r="F1146" s="36"/>
      <c r="G1146" s="39"/>
      <c r="H1146" s="39"/>
      <c r="I1146" s="36"/>
      <c r="J1146" s="36"/>
      <c r="K1146" s="36"/>
      <c r="L1146" s="36"/>
      <c r="M1146" s="40" t="str">
        <f aca="false">IF($F1146="","",$F1146&amp;IF($G1146="",""," - RT "&amp;$G1146&amp;IF($H1146="","","/"&amp;$H1146)))</f>
        <v/>
      </c>
      <c r="N1146" s="36"/>
      <c r="O1146" s="37"/>
      <c r="P1146" s="39"/>
      <c r="Q1146" s="41"/>
      <c r="R1146" s="35" t="str">
        <f aca="true">IF(OR($B1146="",$Q1146=""),"",DATEDIF($Q1146,TODAY(),"Y"))</f>
        <v/>
      </c>
      <c r="S1146" s="40" t="str">
        <f aca="false">IF($R1146="","",INDEX(usia_label,MATCH($R1146,usia_min,1)))</f>
        <v/>
      </c>
      <c r="T1146" s="36"/>
      <c r="U1146" s="41"/>
      <c r="V1146" s="36"/>
      <c r="W1146" s="36"/>
      <c r="X1146" s="40" t="str">
        <f aca="false">IF($M1146="","",$M1146&amp;"#"&amp;COUNTIF($M$4:$M1146,$M1146))</f>
        <v/>
      </c>
      <c r="Y1146" s="40" t="str">
        <f aca="false">IF($B1146="","",IF($C1146="","NIK kosong",IF(LEN($C1146)&lt;&gt;16,"NIK bukan 16 digit",IF(COUNTIF($C$4:$C$2003,$C1146&amp;"*")&gt;1,"NIK ganda",IF(AND($D1146&lt;&gt;"",LEN($D1146)&lt;&gt;16),"No. KK bukan 16 digit",IF(AND($F1146="",$I1146=""),"Alamat kosong",IF($N1146="","Jabatan kosong",IF($O1146="","No. HP kosong",IF(AND($R1146&lt;&gt;"",$R1146&lt;17),"Usia di bawah 17","")))))))))</f>
        <v/>
      </c>
      <c r="Z1146" s="40" t="str">
        <f aca="false">IF($B1146="","",IF(AND(OR(CARI!$C$5="",ISNUMBER(SEARCH(CARI!$C$5,$B1146&amp;" "&amp;$C1146&amp;" "&amp;$D1146&amp;" "&amp;$O1146&amp;" "&amp;$I1146&amp;" "&amp;$F1146&amp;" "&amp;$J1146&amp;" "&amp;$K1146&amp;" "&amp;$L1146&amp;" "&amp;$V1146))),OR(CARI!$C$6="",$F1146=CARI!$C$6),OR(CARI!$C$7="",$G1146=CARI!$C$7),OR(CARI!$C$8="",$T1146=CARI!$C$8)),MAX($Z$3:Z1145)+1,""))</f>
        <v/>
      </c>
      <c r="AA1146" s="40" t="str">
        <f aca="false">IF($Y1146="","",MAX($AA$3:AA1145)+1)</f>
        <v/>
      </c>
      <c r="AB1146" s="40" t="str">
        <f aca="false">IF($F1146="","",$F1146&amp;"#"&amp;COUNTIF($F$4:$F1146,$F1146))</f>
        <v/>
      </c>
      <c r="AC1146" s="40" t="str">
        <f aca="false">IF($B1146="","",IF(AND(OR(CETAK!$J$10="",$F1146=CETAK!$J$10),OR(CETAK!$J$11="",$G1146=CETAK!$J$11),OR(CETAK!$J$12="",$P1146=CETAK!$J$12),OR(CETAK!$J$13="",$N1146=CETAK!$J$13),OR(CETAK!$J$14="",$T1146=CETAK!$J$14)),MAX($AC$3:AC1145)+1,""))</f>
        <v/>
      </c>
      <c r="AD1146" s="40" t="str">
        <f aca="false">IF($B1146="","",IF(AND(OR(ABSENSI!$H$10="",$F1146=ABSENSI!$H$10),OR(ABSENSI!$H$11="",$G1146=ABSENSI!$H$11),OR(ABSENSI!$H$12="",$P1146=ABSENSI!$H$12)),MAX($AD$3:AD1145)+1,""))</f>
        <v/>
      </c>
      <c r="AE1146" s="40" t="str">
        <f aca="false">IF($B1146="","",IF(AND(OR(KARTU!$K$6="",$F1146=KARTU!$K$6),OR(KARTU!$K$7="",$G1146=KARTU!$K$7),OR(KARTU!$K$8="",$P1146=KARTU!$K$8)),MAX($AE$3:AE1145)+1,""))</f>
        <v/>
      </c>
    </row>
    <row r="1147" customFormat="false" ht="15" hidden="false" customHeight="false" outlineLevel="0" collapsed="false">
      <c r="A1147" s="35" t="str">
        <f aca="false">IF($B1147="","",COUNTA($B$4:$B1147))</f>
        <v/>
      </c>
      <c r="B1147" s="36"/>
      <c r="C1147" s="37"/>
      <c r="D1147" s="37"/>
      <c r="E1147" s="38"/>
      <c r="F1147" s="36"/>
      <c r="G1147" s="39"/>
      <c r="H1147" s="39"/>
      <c r="I1147" s="36"/>
      <c r="J1147" s="36"/>
      <c r="K1147" s="36"/>
      <c r="L1147" s="36"/>
      <c r="M1147" s="40" t="str">
        <f aca="false">IF($F1147="","",$F1147&amp;IF($G1147="",""," - RT "&amp;$G1147&amp;IF($H1147="","","/"&amp;$H1147)))</f>
        <v/>
      </c>
      <c r="N1147" s="36"/>
      <c r="O1147" s="37"/>
      <c r="P1147" s="39"/>
      <c r="Q1147" s="41"/>
      <c r="R1147" s="35" t="str">
        <f aca="true">IF(OR($B1147="",$Q1147=""),"",DATEDIF($Q1147,TODAY(),"Y"))</f>
        <v/>
      </c>
      <c r="S1147" s="40" t="str">
        <f aca="false">IF($R1147="","",INDEX(usia_label,MATCH($R1147,usia_min,1)))</f>
        <v/>
      </c>
      <c r="T1147" s="36"/>
      <c r="U1147" s="41"/>
      <c r="V1147" s="36"/>
      <c r="W1147" s="36"/>
      <c r="X1147" s="40" t="str">
        <f aca="false">IF($M1147="","",$M1147&amp;"#"&amp;COUNTIF($M$4:$M1147,$M1147))</f>
        <v/>
      </c>
      <c r="Y1147" s="40" t="str">
        <f aca="false">IF($B1147="","",IF($C1147="","NIK kosong",IF(LEN($C1147)&lt;&gt;16,"NIK bukan 16 digit",IF(COUNTIF($C$4:$C$2003,$C1147&amp;"*")&gt;1,"NIK ganda",IF(AND($D1147&lt;&gt;"",LEN($D1147)&lt;&gt;16),"No. KK bukan 16 digit",IF(AND($F1147="",$I1147=""),"Alamat kosong",IF($N1147="","Jabatan kosong",IF($O1147="","No. HP kosong",IF(AND($R1147&lt;&gt;"",$R1147&lt;17),"Usia di bawah 17","")))))))))</f>
        <v/>
      </c>
      <c r="Z1147" s="40" t="str">
        <f aca="false">IF($B1147="","",IF(AND(OR(CARI!$C$5="",ISNUMBER(SEARCH(CARI!$C$5,$B1147&amp;" "&amp;$C1147&amp;" "&amp;$D1147&amp;" "&amp;$O1147&amp;" "&amp;$I1147&amp;" "&amp;$F1147&amp;" "&amp;$J1147&amp;" "&amp;$K1147&amp;" "&amp;$L1147&amp;" "&amp;$V1147))),OR(CARI!$C$6="",$F1147=CARI!$C$6),OR(CARI!$C$7="",$G1147=CARI!$C$7),OR(CARI!$C$8="",$T1147=CARI!$C$8)),MAX($Z$3:Z1146)+1,""))</f>
        <v/>
      </c>
      <c r="AA1147" s="40" t="str">
        <f aca="false">IF($Y1147="","",MAX($AA$3:AA1146)+1)</f>
        <v/>
      </c>
      <c r="AB1147" s="40" t="str">
        <f aca="false">IF($F1147="","",$F1147&amp;"#"&amp;COUNTIF($F$4:$F1147,$F1147))</f>
        <v/>
      </c>
      <c r="AC1147" s="40" t="str">
        <f aca="false">IF($B1147="","",IF(AND(OR(CETAK!$J$10="",$F1147=CETAK!$J$10),OR(CETAK!$J$11="",$G1147=CETAK!$J$11),OR(CETAK!$J$12="",$P1147=CETAK!$J$12),OR(CETAK!$J$13="",$N1147=CETAK!$J$13),OR(CETAK!$J$14="",$T1147=CETAK!$J$14)),MAX($AC$3:AC1146)+1,""))</f>
        <v/>
      </c>
      <c r="AD1147" s="40" t="str">
        <f aca="false">IF($B1147="","",IF(AND(OR(ABSENSI!$H$10="",$F1147=ABSENSI!$H$10),OR(ABSENSI!$H$11="",$G1147=ABSENSI!$H$11),OR(ABSENSI!$H$12="",$P1147=ABSENSI!$H$12)),MAX($AD$3:AD1146)+1,""))</f>
        <v/>
      </c>
      <c r="AE1147" s="40" t="str">
        <f aca="false">IF($B1147="","",IF(AND(OR(KARTU!$K$6="",$F1147=KARTU!$K$6),OR(KARTU!$K$7="",$G1147=KARTU!$K$7),OR(KARTU!$K$8="",$P1147=KARTU!$K$8)),MAX($AE$3:AE1146)+1,""))</f>
        <v/>
      </c>
    </row>
    <row r="1148" customFormat="false" ht="15" hidden="false" customHeight="false" outlineLevel="0" collapsed="false">
      <c r="A1148" s="35" t="str">
        <f aca="false">IF($B1148="","",COUNTA($B$4:$B1148))</f>
        <v/>
      </c>
      <c r="B1148" s="36"/>
      <c r="C1148" s="37"/>
      <c r="D1148" s="37"/>
      <c r="E1148" s="38"/>
      <c r="F1148" s="36"/>
      <c r="G1148" s="39"/>
      <c r="H1148" s="39"/>
      <c r="I1148" s="36"/>
      <c r="J1148" s="36"/>
      <c r="K1148" s="36"/>
      <c r="L1148" s="36"/>
      <c r="M1148" s="40" t="str">
        <f aca="false">IF($F1148="","",$F1148&amp;IF($G1148="",""," - RT "&amp;$G1148&amp;IF($H1148="","","/"&amp;$H1148)))</f>
        <v/>
      </c>
      <c r="N1148" s="36"/>
      <c r="O1148" s="37"/>
      <c r="P1148" s="39"/>
      <c r="Q1148" s="41"/>
      <c r="R1148" s="35" t="str">
        <f aca="true">IF(OR($B1148="",$Q1148=""),"",DATEDIF($Q1148,TODAY(),"Y"))</f>
        <v/>
      </c>
      <c r="S1148" s="40" t="str">
        <f aca="false">IF($R1148="","",INDEX(usia_label,MATCH($R1148,usia_min,1)))</f>
        <v/>
      </c>
      <c r="T1148" s="36"/>
      <c r="U1148" s="41"/>
      <c r="V1148" s="36"/>
      <c r="W1148" s="36"/>
      <c r="X1148" s="40" t="str">
        <f aca="false">IF($M1148="","",$M1148&amp;"#"&amp;COUNTIF($M$4:$M1148,$M1148))</f>
        <v/>
      </c>
      <c r="Y1148" s="40" t="str">
        <f aca="false">IF($B1148="","",IF($C1148="","NIK kosong",IF(LEN($C1148)&lt;&gt;16,"NIK bukan 16 digit",IF(COUNTIF($C$4:$C$2003,$C1148&amp;"*")&gt;1,"NIK ganda",IF(AND($D1148&lt;&gt;"",LEN($D1148)&lt;&gt;16),"No. KK bukan 16 digit",IF(AND($F1148="",$I1148=""),"Alamat kosong",IF($N1148="","Jabatan kosong",IF($O1148="","No. HP kosong",IF(AND($R1148&lt;&gt;"",$R1148&lt;17),"Usia di bawah 17","")))))))))</f>
        <v/>
      </c>
      <c r="Z1148" s="40" t="str">
        <f aca="false">IF($B1148="","",IF(AND(OR(CARI!$C$5="",ISNUMBER(SEARCH(CARI!$C$5,$B1148&amp;" "&amp;$C1148&amp;" "&amp;$D1148&amp;" "&amp;$O1148&amp;" "&amp;$I1148&amp;" "&amp;$F1148&amp;" "&amp;$J1148&amp;" "&amp;$K1148&amp;" "&amp;$L1148&amp;" "&amp;$V1148))),OR(CARI!$C$6="",$F1148=CARI!$C$6),OR(CARI!$C$7="",$G1148=CARI!$C$7),OR(CARI!$C$8="",$T1148=CARI!$C$8)),MAX($Z$3:Z1147)+1,""))</f>
        <v/>
      </c>
      <c r="AA1148" s="40" t="str">
        <f aca="false">IF($Y1148="","",MAX($AA$3:AA1147)+1)</f>
        <v/>
      </c>
      <c r="AB1148" s="40" t="str">
        <f aca="false">IF($F1148="","",$F1148&amp;"#"&amp;COUNTIF($F$4:$F1148,$F1148))</f>
        <v/>
      </c>
      <c r="AC1148" s="40" t="str">
        <f aca="false">IF($B1148="","",IF(AND(OR(CETAK!$J$10="",$F1148=CETAK!$J$10),OR(CETAK!$J$11="",$G1148=CETAK!$J$11),OR(CETAK!$J$12="",$P1148=CETAK!$J$12),OR(CETAK!$J$13="",$N1148=CETAK!$J$13),OR(CETAK!$J$14="",$T1148=CETAK!$J$14)),MAX($AC$3:AC1147)+1,""))</f>
        <v/>
      </c>
      <c r="AD1148" s="40" t="str">
        <f aca="false">IF($B1148="","",IF(AND(OR(ABSENSI!$H$10="",$F1148=ABSENSI!$H$10),OR(ABSENSI!$H$11="",$G1148=ABSENSI!$H$11),OR(ABSENSI!$H$12="",$P1148=ABSENSI!$H$12)),MAX($AD$3:AD1147)+1,""))</f>
        <v/>
      </c>
      <c r="AE1148" s="40" t="str">
        <f aca="false">IF($B1148="","",IF(AND(OR(KARTU!$K$6="",$F1148=KARTU!$K$6),OR(KARTU!$K$7="",$G1148=KARTU!$K$7),OR(KARTU!$K$8="",$P1148=KARTU!$K$8)),MAX($AE$3:AE1147)+1,""))</f>
        <v/>
      </c>
    </row>
    <row r="1149" customFormat="false" ht="15" hidden="false" customHeight="false" outlineLevel="0" collapsed="false">
      <c r="A1149" s="35" t="str">
        <f aca="false">IF($B1149="","",COUNTA($B$4:$B1149))</f>
        <v/>
      </c>
      <c r="B1149" s="36"/>
      <c r="C1149" s="37"/>
      <c r="D1149" s="37"/>
      <c r="E1149" s="38"/>
      <c r="F1149" s="36"/>
      <c r="G1149" s="39"/>
      <c r="H1149" s="39"/>
      <c r="I1149" s="36"/>
      <c r="J1149" s="36"/>
      <c r="K1149" s="36"/>
      <c r="L1149" s="36"/>
      <c r="M1149" s="40" t="str">
        <f aca="false">IF($F1149="","",$F1149&amp;IF($G1149="",""," - RT "&amp;$G1149&amp;IF($H1149="","","/"&amp;$H1149)))</f>
        <v/>
      </c>
      <c r="N1149" s="36"/>
      <c r="O1149" s="37"/>
      <c r="P1149" s="39"/>
      <c r="Q1149" s="41"/>
      <c r="R1149" s="35" t="str">
        <f aca="true">IF(OR($B1149="",$Q1149=""),"",DATEDIF($Q1149,TODAY(),"Y"))</f>
        <v/>
      </c>
      <c r="S1149" s="40" t="str">
        <f aca="false">IF($R1149="","",INDEX(usia_label,MATCH($R1149,usia_min,1)))</f>
        <v/>
      </c>
      <c r="T1149" s="36"/>
      <c r="U1149" s="41"/>
      <c r="V1149" s="36"/>
      <c r="W1149" s="36"/>
      <c r="X1149" s="40" t="str">
        <f aca="false">IF($M1149="","",$M1149&amp;"#"&amp;COUNTIF($M$4:$M1149,$M1149))</f>
        <v/>
      </c>
      <c r="Y1149" s="40" t="str">
        <f aca="false">IF($B1149="","",IF($C1149="","NIK kosong",IF(LEN($C1149)&lt;&gt;16,"NIK bukan 16 digit",IF(COUNTIF($C$4:$C$2003,$C1149&amp;"*")&gt;1,"NIK ganda",IF(AND($D1149&lt;&gt;"",LEN($D1149)&lt;&gt;16),"No. KK bukan 16 digit",IF(AND($F1149="",$I1149=""),"Alamat kosong",IF($N1149="","Jabatan kosong",IF($O1149="","No. HP kosong",IF(AND($R1149&lt;&gt;"",$R1149&lt;17),"Usia di bawah 17","")))))))))</f>
        <v/>
      </c>
      <c r="Z1149" s="40" t="str">
        <f aca="false">IF($B1149="","",IF(AND(OR(CARI!$C$5="",ISNUMBER(SEARCH(CARI!$C$5,$B1149&amp;" "&amp;$C1149&amp;" "&amp;$D1149&amp;" "&amp;$O1149&amp;" "&amp;$I1149&amp;" "&amp;$F1149&amp;" "&amp;$J1149&amp;" "&amp;$K1149&amp;" "&amp;$L1149&amp;" "&amp;$V1149))),OR(CARI!$C$6="",$F1149=CARI!$C$6),OR(CARI!$C$7="",$G1149=CARI!$C$7),OR(CARI!$C$8="",$T1149=CARI!$C$8)),MAX($Z$3:Z1148)+1,""))</f>
        <v/>
      </c>
      <c r="AA1149" s="40" t="str">
        <f aca="false">IF($Y1149="","",MAX($AA$3:AA1148)+1)</f>
        <v/>
      </c>
      <c r="AB1149" s="40" t="str">
        <f aca="false">IF($F1149="","",$F1149&amp;"#"&amp;COUNTIF($F$4:$F1149,$F1149))</f>
        <v/>
      </c>
      <c r="AC1149" s="40" t="str">
        <f aca="false">IF($B1149="","",IF(AND(OR(CETAK!$J$10="",$F1149=CETAK!$J$10),OR(CETAK!$J$11="",$G1149=CETAK!$J$11),OR(CETAK!$J$12="",$P1149=CETAK!$J$12),OR(CETAK!$J$13="",$N1149=CETAK!$J$13),OR(CETAK!$J$14="",$T1149=CETAK!$J$14)),MAX($AC$3:AC1148)+1,""))</f>
        <v/>
      </c>
      <c r="AD1149" s="40" t="str">
        <f aca="false">IF($B1149="","",IF(AND(OR(ABSENSI!$H$10="",$F1149=ABSENSI!$H$10),OR(ABSENSI!$H$11="",$G1149=ABSENSI!$H$11),OR(ABSENSI!$H$12="",$P1149=ABSENSI!$H$12)),MAX($AD$3:AD1148)+1,""))</f>
        <v/>
      </c>
      <c r="AE1149" s="40" t="str">
        <f aca="false">IF($B1149="","",IF(AND(OR(KARTU!$K$6="",$F1149=KARTU!$K$6),OR(KARTU!$K$7="",$G1149=KARTU!$K$7),OR(KARTU!$K$8="",$P1149=KARTU!$K$8)),MAX($AE$3:AE1148)+1,""))</f>
        <v/>
      </c>
    </row>
    <row r="1150" customFormat="false" ht="15" hidden="false" customHeight="false" outlineLevel="0" collapsed="false">
      <c r="A1150" s="35" t="str">
        <f aca="false">IF($B1150="","",COUNTA($B$4:$B1150))</f>
        <v/>
      </c>
      <c r="B1150" s="36"/>
      <c r="C1150" s="37"/>
      <c r="D1150" s="37"/>
      <c r="E1150" s="38"/>
      <c r="F1150" s="36"/>
      <c r="G1150" s="39"/>
      <c r="H1150" s="39"/>
      <c r="I1150" s="36"/>
      <c r="J1150" s="36"/>
      <c r="K1150" s="36"/>
      <c r="L1150" s="36"/>
      <c r="M1150" s="40" t="str">
        <f aca="false">IF($F1150="","",$F1150&amp;IF($G1150="",""," - RT "&amp;$G1150&amp;IF($H1150="","","/"&amp;$H1150)))</f>
        <v/>
      </c>
      <c r="N1150" s="36"/>
      <c r="O1150" s="37"/>
      <c r="P1150" s="39"/>
      <c r="Q1150" s="41"/>
      <c r="R1150" s="35" t="str">
        <f aca="true">IF(OR($B1150="",$Q1150=""),"",DATEDIF($Q1150,TODAY(),"Y"))</f>
        <v/>
      </c>
      <c r="S1150" s="40" t="str">
        <f aca="false">IF($R1150="","",INDEX(usia_label,MATCH($R1150,usia_min,1)))</f>
        <v/>
      </c>
      <c r="T1150" s="36"/>
      <c r="U1150" s="41"/>
      <c r="V1150" s="36"/>
      <c r="W1150" s="36"/>
      <c r="X1150" s="40" t="str">
        <f aca="false">IF($M1150="","",$M1150&amp;"#"&amp;COUNTIF($M$4:$M1150,$M1150))</f>
        <v/>
      </c>
      <c r="Y1150" s="40" t="str">
        <f aca="false">IF($B1150="","",IF($C1150="","NIK kosong",IF(LEN($C1150)&lt;&gt;16,"NIK bukan 16 digit",IF(COUNTIF($C$4:$C$2003,$C1150&amp;"*")&gt;1,"NIK ganda",IF(AND($D1150&lt;&gt;"",LEN($D1150)&lt;&gt;16),"No. KK bukan 16 digit",IF(AND($F1150="",$I1150=""),"Alamat kosong",IF($N1150="","Jabatan kosong",IF($O1150="","No. HP kosong",IF(AND($R1150&lt;&gt;"",$R1150&lt;17),"Usia di bawah 17","")))))))))</f>
        <v/>
      </c>
      <c r="Z1150" s="40" t="str">
        <f aca="false">IF($B1150="","",IF(AND(OR(CARI!$C$5="",ISNUMBER(SEARCH(CARI!$C$5,$B1150&amp;" "&amp;$C1150&amp;" "&amp;$D1150&amp;" "&amp;$O1150&amp;" "&amp;$I1150&amp;" "&amp;$F1150&amp;" "&amp;$J1150&amp;" "&amp;$K1150&amp;" "&amp;$L1150&amp;" "&amp;$V1150))),OR(CARI!$C$6="",$F1150=CARI!$C$6),OR(CARI!$C$7="",$G1150=CARI!$C$7),OR(CARI!$C$8="",$T1150=CARI!$C$8)),MAX($Z$3:Z1149)+1,""))</f>
        <v/>
      </c>
      <c r="AA1150" s="40" t="str">
        <f aca="false">IF($Y1150="","",MAX($AA$3:AA1149)+1)</f>
        <v/>
      </c>
      <c r="AB1150" s="40" t="str">
        <f aca="false">IF($F1150="","",$F1150&amp;"#"&amp;COUNTIF($F$4:$F1150,$F1150))</f>
        <v/>
      </c>
      <c r="AC1150" s="40" t="str">
        <f aca="false">IF($B1150="","",IF(AND(OR(CETAK!$J$10="",$F1150=CETAK!$J$10),OR(CETAK!$J$11="",$G1150=CETAK!$J$11),OR(CETAK!$J$12="",$P1150=CETAK!$J$12),OR(CETAK!$J$13="",$N1150=CETAK!$J$13),OR(CETAK!$J$14="",$T1150=CETAK!$J$14)),MAX($AC$3:AC1149)+1,""))</f>
        <v/>
      </c>
      <c r="AD1150" s="40" t="str">
        <f aca="false">IF($B1150="","",IF(AND(OR(ABSENSI!$H$10="",$F1150=ABSENSI!$H$10),OR(ABSENSI!$H$11="",$G1150=ABSENSI!$H$11),OR(ABSENSI!$H$12="",$P1150=ABSENSI!$H$12)),MAX($AD$3:AD1149)+1,""))</f>
        <v/>
      </c>
      <c r="AE1150" s="40" t="str">
        <f aca="false">IF($B1150="","",IF(AND(OR(KARTU!$K$6="",$F1150=KARTU!$K$6),OR(KARTU!$K$7="",$G1150=KARTU!$K$7),OR(KARTU!$K$8="",$P1150=KARTU!$K$8)),MAX($AE$3:AE1149)+1,""))</f>
        <v/>
      </c>
    </row>
    <row r="1151" customFormat="false" ht="15" hidden="false" customHeight="false" outlineLevel="0" collapsed="false">
      <c r="A1151" s="35" t="str">
        <f aca="false">IF($B1151="","",COUNTA($B$4:$B1151))</f>
        <v/>
      </c>
      <c r="B1151" s="36"/>
      <c r="C1151" s="37"/>
      <c r="D1151" s="37"/>
      <c r="E1151" s="38"/>
      <c r="F1151" s="36"/>
      <c r="G1151" s="39"/>
      <c r="H1151" s="39"/>
      <c r="I1151" s="36"/>
      <c r="J1151" s="36"/>
      <c r="K1151" s="36"/>
      <c r="L1151" s="36"/>
      <c r="M1151" s="40" t="str">
        <f aca="false">IF($F1151="","",$F1151&amp;IF($G1151="",""," - RT "&amp;$G1151&amp;IF($H1151="","","/"&amp;$H1151)))</f>
        <v/>
      </c>
      <c r="N1151" s="36"/>
      <c r="O1151" s="37"/>
      <c r="P1151" s="39"/>
      <c r="Q1151" s="41"/>
      <c r="R1151" s="35" t="str">
        <f aca="true">IF(OR($B1151="",$Q1151=""),"",DATEDIF($Q1151,TODAY(),"Y"))</f>
        <v/>
      </c>
      <c r="S1151" s="40" t="str">
        <f aca="false">IF($R1151="","",INDEX(usia_label,MATCH($R1151,usia_min,1)))</f>
        <v/>
      </c>
      <c r="T1151" s="36"/>
      <c r="U1151" s="41"/>
      <c r="V1151" s="36"/>
      <c r="W1151" s="36"/>
      <c r="X1151" s="40" t="str">
        <f aca="false">IF($M1151="","",$M1151&amp;"#"&amp;COUNTIF($M$4:$M1151,$M1151))</f>
        <v/>
      </c>
      <c r="Y1151" s="40" t="str">
        <f aca="false">IF($B1151="","",IF($C1151="","NIK kosong",IF(LEN($C1151)&lt;&gt;16,"NIK bukan 16 digit",IF(COUNTIF($C$4:$C$2003,$C1151&amp;"*")&gt;1,"NIK ganda",IF(AND($D1151&lt;&gt;"",LEN($D1151)&lt;&gt;16),"No. KK bukan 16 digit",IF(AND($F1151="",$I1151=""),"Alamat kosong",IF($N1151="","Jabatan kosong",IF($O1151="","No. HP kosong",IF(AND($R1151&lt;&gt;"",$R1151&lt;17),"Usia di bawah 17","")))))))))</f>
        <v/>
      </c>
      <c r="Z1151" s="40" t="str">
        <f aca="false">IF($B1151="","",IF(AND(OR(CARI!$C$5="",ISNUMBER(SEARCH(CARI!$C$5,$B1151&amp;" "&amp;$C1151&amp;" "&amp;$D1151&amp;" "&amp;$O1151&amp;" "&amp;$I1151&amp;" "&amp;$F1151&amp;" "&amp;$J1151&amp;" "&amp;$K1151&amp;" "&amp;$L1151&amp;" "&amp;$V1151))),OR(CARI!$C$6="",$F1151=CARI!$C$6),OR(CARI!$C$7="",$G1151=CARI!$C$7),OR(CARI!$C$8="",$T1151=CARI!$C$8)),MAX($Z$3:Z1150)+1,""))</f>
        <v/>
      </c>
      <c r="AA1151" s="40" t="str">
        <f aca="false">IF($Y1151="","",MAX($AA$3:AA1150)+1)</f>
        <v/>
      </c>
      <c r="AB1151" s="40" t="str">
        <f aca="false">IF($F1151="","",$F1151&amp;"#"&amp;COUNTIF($F$4:$F1151,$F1151))</f>
        <v/>
      </c>
      <c r="AC1151" s="40" t="str">
        <f aca="false">IF($B1151="","",IF(AND(OR(CETAK!$J$10="",$F1151=CETAK!$J$10),OR(CETAK!$J$11="",$G1151=CETAK!$J$11),OR(CETAK!$J$12="",$P1151=CETAK!$J$12),OR(CETAK!$J$13="",$N1151=CETAK!$J$13),OR(CETAK!$J$14="",$T1151=CETAK!$J$14)),MAX($AC$3:AC1150)+1,""))</f>
        <v/>
      </c>
      <c r="AD1151" s="40" t="str">
        <f aca="false">IF($B1151="","",IF(AND(OR(ABSENSI!$H$10="",$F1151=ABSENSI!$H$10),OR(ABSENSI!$H$11="",$G1151=ABSENSI!$H$11),OR(ABSENSI!$H$12="",$P1151=ABSENSI!$H$12)),MAX($AD$3:AD1150)+1,""))</f>
        <v/>
      </c>
      <c r="AE1151" s="40" t="str">
        <f aca="false">IF($B1151="","",IF(AND(OR(KARTU!$K$6="",$F1151=KARTU!$K$6),OR(KARTU!$K$7="",$G1151=KARTU!$K$7),OR(KARTU!$K$8="",$P1151=KARTU!$K$8)),MAX($AE$3:AE1150)+1,""))</f>
        <v/>
      </c>
    </row>
    <row r="1152" customFormat="false" ht="15" hidden="false" customHeight="false" outlineLevel="0" collapsed="false">
      <c r="A1152" s="35" t="str">
        <f aca="false">IF($B1152="","",COUNTA($B$4:$B1152))</f>
        <v/>
      </c>
      <c r="B1152" s="36"/>
      <c r="C1152" s="37"/>
      <c r="D1152" s="37"/>
      <c r="E1152" s="38"/>
      <c r="F1152" s="36"/>
      <c r="G1152" s="39"/>
      <c r="H1152" s="39"/>
      <c r="I1152" s="36"/>
      <c r="J1152" s="36"/>
      <c r="K1152" s="36"/>
      <c r="L1152" s="36"/>
      <c r="M1152" s="40" t="str">
        <f aca="false">IF($F1152="","",$F1152&amp;IF($G1152="",""," - RT "&amp;$G1152&amp;IF($H1152="","","/"&amp;$H1152)))</f>
        <v/>
      </c>
      <c r="N1152" s="36"/>
      <c r="O1152" s="37"/>
      <c r="P1152" s="39"/>
      <c r="Q1152" s="41"/>
      <c r="R1152" s="35" t="str">
        <f aca="true">IF(OR($B1152="",$Q1152=""),"",DATEDIF($Q1152,TODAY(),"Y"))</f>
        <v/>
      </c>
      <c r="S1152" s="40" t="str">
        <f aca="false">IF($R1152="","",INDEX(usia_label,MATCH($R1152,usia_min,1)))</f>
        <v/>
      </c>
      <c r="T1152" s="36"/>
      <c r="U1152" s="41"/>
      <c r="V1152" s="36"/>
      <c r="W1152" s="36"/>
      <c r="X1152" s="40" t="str">
        <f aca="false">IF($M1152="","",$M1152&amp;"#"&amp;COUNTIF($M$4:$M1152,$M1152))</f>
        <v/>
      </c>
      <c r="Y1152" s="40" t="str">
        <f aca="false">IF($B1152="","",IF($C1152="","NIK kosong",IF(LEN($C1152)&lt;&gt;16,"NIK bukan 16 digit",IF(COUNTIF($C$4:$C$2003,$C1152&amp;"*")&gt;1,"NIK ganda",IF(AND($D1152&lt;&gt;"",LEN($D1152)&lt;&gt;16),"No. KK bukan 16 digit",IF(AND($F1152="",$I1152=""),"Alamat kosong",IF($N1152="","Jabatan kosong",IF($O1152="","No. HP kosong",IF(AND($R1152&lt;&gt;"",$R1152&lt;17),"Usia di bawah 17","")))))))))</f>
        <v/>
      </c>
      <c r="Z1152" s="40" t="str">
        <f aca="false">IF($B1152="","",IF(AND(OR(CARI!$C$5="",ISNUMBER(SEARCH(CARI!$C$5,$B1152&amp;" "&amp;$C1152&amp;" "&amp;$D1152&amp;" "&amp;$O1152&amp;" "&amp;$I1152&amp;" "&amp;$F1152&amp;" "&amp;$J1152&amp;" "&amp;$K1152&amp;" "&amp;$L1152&amp;" "&amp;$V1152))),OR(CARI!$C$6="",$F1152=CARI!$C$6),OR(CARI!$C$7="",$G1152=CARI!$C$7),OR(CARI!$C$8="",$T1152=CARI!$C$8)),MAX($Z$3:Z1151)+1,""))</f>
        <v/>
      </c>
      <c r="AA1152" s="40" t="str">
        <f aca="false">IF($Y1152="","",MAX($AA$3:AA1151)+1)</f>
        <v/>
      </c>
      <c r="AB1152" s="40" t="str">
        <f aca="false">IF($F1152="","",$F1152&amp;"#"&amp;COUNTIF($F$4:$F1152,$F1152))</f>
        <v/>
      </c>
      <c r="AC1152" s="40" t="str">
        <f aca="false">IF($B1152="","",IF(AND(OR(CETAK!$J$10="",$F1152=CETAK!$J$10),OR(CETAK!$J$11="",$G1152=CETAK!$J$11),OR(CETAK!$J$12="",$P1152=CETAK!$J$12),OR(CETAK!$J$13="",$N1152=CETAK!$J$13),OR(CETAK!$J$14="",$T1152=CETAK!$J$14)),MAX($AC$3:AC1151)+1,""))</f>
        <v/>
      </c>
      <c r="AD1152" s="40" t="str">
        <f aca="false">IF($B1152="","",IF(AND(OR(ABSENSI!$H$10="",$F1152=ABSENSI!$H$10),OR(ABSENSI!$H$11="",$G1152=ABSENSI!$H$11),OR(ABSENSI!$H$12="",$P1152=ABSENSI!$H$12)),MAX($AD$3:AD1151)+1,""))</f>
        <v/>
      </c>
      <c r="AE1152" s="40" t="str">
        <f aca="false">IF($B1152="","",IF(AND(OR(KARTU!$K$6="",$F1152=KARTU!$K$6),OR(KARTU!$K$7="",$G1152=KARTU!$K$7),OR(KARTU!$K$8="",$P1152=KARTU!$K$8)),MAX($AE$3:AE1151)+1,""))</f>
        <v/>
      </c>
    </row>
    <row r="1153" customFormat="false" ht="15" hidden="false" customHeight="false" outlineLevel="0" collapsed="false">
      <c r="A1153" s="35" t="str">
        <f aca="false">IF($B1153="","",COUNTA($B$4:$B1153))</f>
        <v/>
      </c>
      <c r="B1153" s="36"/>
      <c r="C1153" s="37"/>
      <c r="D1153" s="37"/>
      <c r="E1153" s="38"/>
      <c r="F1153" s="36"/>
      <c r="G1153" s="39"/>
      <c r="H1153" s="39"/>
      <c r="I1153" s="36"/>
      <c r="J1153" s="36"/>
      <c r="K1153" s="36"/>
      <c r="L1153" s="36"/>
      <c r="M1153" s="40" t="str">
        <f aca="false">IF($F1153="","",$F1153&amp;IF($G1153="",""," - RT "&amp;$G1153&amp;IF($H1153="","","/"&amp;$H1153)))</f>
        <v/>
      </c>
      <c r="N1153" s="36"/>
      <c r="O1153" s="37"/>
      <c r="P1153" s="39"/>
      <c r="Q1153" s="41"/>
      <c r="R1153" s="35" t="str">
        <f aca="true">IF(OR($B1153="",$Q1153=""),"",DATEDIF($Q1153,TODAY(),"Y"))</f>
        <v/>
      </c>
      <c r="S1153" s="40" t="str">
        <f aca="false">IF($R1153="","",INDEX(usia_label,MATCH($R1153,usia_min,1)))</f>
        <v/>
      </c>
      <c r="T1153" s="36"/>
      <c r="U1153" s="41"/>
      <c r="V1153" s="36"/>
      <c r="W1153" s="36"/>
      <c r="X1153" s="40" t="str">
        <f aca="false">IF($M1153="","",$M1153&amp;"#"&amp;COUNTIF($M$4:$M1153,$M1153))</f>
        <v/>
      </c>
      <c r="Y1153" s="40" t="str">
        <f aca="false">IF($B1153="","",IF($C1153="","NIK kosong",IF(LEN($C1153)&lt;&gt;16,"NIK bukan 16 digit",IF(COUNTIF($C$4:$C$2003,$C1153&amp;"*")&gt;1,"NIK ganda",IF(AND($D1153&lt;&gt;"",LEN($D1153)&lt;&gt;16),"No. KK bukan 16 digit",IF(AND($F1153="",$I1153=""),"Alamat kosong",IF($N1153="","Jabatan kosong",IF($O1153="","No. HP kosong",IF(AND($R1153&lt;&gt;"",$R1153&lt;17),"Usia di bawah 17","")))))))))</f>
        <v/>
      </c>
      <c r="Z1153" s="40" t="str">
        <f aca="false">IF($B1153="","",IF(AND(OR(CARI!$C$5="",ISNUMBER(SEARCH(CARI!$C$5,$B1153&amp;" "&amp;$C1153&amp;" "&amp;$D1153&amp;" "&amp;$O1153&amp;" "&amp;$I1153&amp;" "&amp;$F1153&amp;" "&amp;$J1153&amp;" "&amp;$K1153&amp;" "&amp;$L1153&amp;" "&amp;$V1153))),OR(CARI!$C$6="",$F1153=CARI!$C$6),OR(CARI!$C$7="",$G1153=CARI!$C$7),OR(CARI!$C$8="",$T1153=CARI!$C$8)),MAX($Z$3:Z1152)+1,""))</f>
        <v/>
      </c>
      <c r="AA1153" s="40" t="str">
        <f aca="false">IF($Y1153="","",MAX($AA$3:AA1152)+1)</f>
        <v/>
      </c>
      <c r="AB1153" s="40" t="str">
        <f aca="false">IF($F1153="","",$F1153&amp;"#"&amp;COUNTIF($F$4:$F1153,$F1153))</f>
        <v/>
      </c>
      <c r="AC1153" s="40" t="str">
        <f aca="false">IF($B1153="","",IF(AND(OR(CETAK!$J$10="",$F1153=CETAK!$J$10),OR(CETAK!$J$11="",$G1153=CETAK!$J$11),OR(CETAK!$J$12="",$P1153=CETAK!$J$12),OR(CETAK!$J$13="",$N1153=CETAK!$J$13),OR(CETAK!$J$14="",$T1153=CETAK!$J$14)),MAX($AC$3:AC1152)+1,""))</f>
        <v/>
      </c>
      <c r="AD1153" s="40" t="str">
        <f aca="false">IF($B1153="","",IF(AND(OR(ABSENSI!$H$10="",$F1153=ABSENSI!$H$10),OR(ABSENSI!$H$11="",$G1153=ABSENSI!$H$11),OR(ABSENSI!$H$12="",$P1153=ABSENSI!$H$12)),MAX($AD$3:AD1152)+1,""))</f>
        <v/>
      </c>
      <c r="AE1153" s="40" t="str">
        <f aca="false">IF($B1153="","",IF(AND(OR(KARTU!$K$6="",$F1153=KARTU!$K$6),OR(KARTU!$K$7="",$G1153=KARTU!$K$7),OR(KARTU!$K$8="",$P1153=KARTU!$K$8)),MAX($AE$3:AE1152)+1,""))</f>
        <v/>
      </c>
    </row>
    <row r="1154" customFormat="false" ht="15" hidden="false" customHeight="false" outlineLevel="0" collapsed="false">
      <c r="A1154" s="35" t="str">
        <f aca="false">IF($B1154="","",COUNTA($B$4:$B1154))</f>
        <v/>
      </c>
      <c r="B1154" s="36"/>
      <c r="C1154" s="37"/>
      <c r="D1154" s="37"/>
      <c r="E1154" s="38"/>
      <c r="F1154" s="36"/>
      <c r="G1154" s="39"/>
      <c r="H1154" s="39"/>
      <c r="I1154" s="36"/>
      <c r="J1154" s="36"/>
      <c r="K1154" s="36"/>
      <c r="L1154" s="36"/>
      <c r="M1154" s="40" t="str">
        <f aca="false">IF($F1154="","",$F1154&amp;IF($G1154="",""," - RT "&amp;$G1154&amp;IF($H1154="","","/"&amp;$H1154)))</f>
        <v/>
      </c>
      <c r="N1154" s="36"/>
      <c r="O1154" s="37"/>
      <c r="P1154" s="39"/>
      <c r="Q1154" s="41"/>
      <c r="R1154" s="35" t="str">
        <f aca="true">IF(OR($B1154="",$Q1154=""),"",DATEDIF($Q1154,TODAY(),"Y"))</f>
        <v/>
      </c>
      <c r="S1154" s="40" t="str">
        <f aca="false">IF($R1154="","",INDEX(usia_label,MATCH($R1154,usia_min,1)))</f>
        <v/>
      </c>
      <c r="T1154" s="36"/>
      <c r="U1154" s="41"/>
      <c r="V1154" s="36"/>
      <c r="W1154" s="36"/>
      <c r="X1154" s="40" t="str">
        <f aca="false">IF($M1154="","",$M1154&amp;"#"&amp;COUNTIF($M$4:$M1154,$M1154))</f>
        <v/>
      </c>
      <c r="Y1154" s="40" t="str">
        <f aca="false">IF($B1154="","",IF($C1154="","NIK kosong",IF(LEN($C1154)&lt;&gt;16,"NIK bukan 16 digit",IF(COUNTIF($C$4:$C$2003,$C1154&amp;"*")&gt;1,"NIK ganda",IF(AND($D1154&lt;&gt;"",LEN($D1154)&lt;&gt;16),"No. KK bukan 16 digit",IF(AND($F1154="",$I1154=""),"Alamat kosong",IF($N1154="","Jabatan kosong",IF($O1154="","No. HP kosong",IF(AND($R1154&lt;&gt;"",$R1154&lt;17),"Usia di bawah 17","")))))))))</f>
        <v/>
      </c>
      <c r="Z1154" s="40" t="str">
        <f aca="false">IF($B1154="","",IF(AND(OR(CARI!$C$5="",ISNUMBER(SEARCH(CARI!$C$5,$B1154&amp;" "&amp;$C1154&amp;" "&amp;$D1154&amp;" "&amp;$O1154&amp;" "&amp;$I1154&amp;" "&amp;$F1154&amp;" "&amp;$J1154&amp;" "&amp;$K1154&amp;" "&amp;$L1154&amp;" "&amp;$V1154))),OR(CARI!$C$6="",$F1154=CARI!$C$6),OR(CARI!$C$7="",$G1154=CARI!$C$7),OR(CARI!$C$8="",$T1154=CARI!$C$8)),MAX($Z$3:Z1153)+1,""))</f>
        <v/>
      </c>
      <c r="AA1154" s="40" t="str">
        <f aca="false">IF($Y1154="","",MAX($AA$3:AA1153)+1)</f>
        <v/>
      </c>
      <c r="AB1154" s="40" t="str">
        <f aca="false">IF($F1154="","",$F1154&amp;"#"&amp;COUNTIF($F$4:$F1154,$F1154))</f>
        <v/>
      </c>
      <c r="AC1154" s="40" t="str">
        <f aca="false">IF($B1154="","",IF(AND(OR(CETAK!$J$10="",$F1154=CETAK!$J$10),OR(CETAK!$J$11="",$G1154=CETAK!$J$11),OR(CETAK!$J$12="",$P1154=CETAK!$J$12),OR(CETAK!$J$13="",$N1154=CETAK!$J$13),OR(CETAK!$J$14="",$T1154=CETAK!$J$14)),MAX($AC$3:AC1153)+1,""))</f>
        <v/>
      </c>
      <c r="AD1154" s="40" t="str">
        <f aca="false">IF($B1154="","",IF(AND(OR(ABSENSI!$H$10="",$F1154=ABSENSI!$H$10),OR(ABSENSI!$H$11="",$G1154=ABSENSI!$H$11),OR(ABSENSI!$H$12="",$P1154=ABSENSI!$H$12)),MAX($AD$3:AD1153)+1,""))</f>
        <v/>
      </c>
      <c r="AE1154" s="40" t="str">
        <f aca="false">IF($B1154="","",IF(AND(OR(KARTU!$K$6="",$F1154=KARTU!$K$6),OR(KARTU!$K$7="",$G1154=KARTU!$K$7),OR(KARTU!$K$8="",$P1154=KARTU!$K$8)),MAX($AE$3:AE1153)+1,""))</f>
        <v/>
      </c>
    </row>
    <row r="1155" customFormat="false" ht="15" hidden="false" customHeight="false" outlineLevel="0" collapsed="false">
      <c r="A1155" s="35" t="str">
        <f aca="false">IF($B1155="","",COUNTA($B$4:$B1155))</f>
        <v/>
      </c>
      <c r="B1155" s="36"/>
      <c r="C1155" s="37"/>
      <c r="D1155" s="37"/>
      <c r="E1155" s="38"/>
      <c r="F1155" s="36"/>
      <c r="G1155" s="39"/>
      <c r="H1155" s="39"/>
      <c r="I1155" s="36"/>
      <c r="J1155" s="36"/>
      <c r="K1155" s="36"/>
      <c r="L1155" s="36"/>
      <c r="M1155" s="40" t="str">
        <f aca="false">IF($F1155="","",$F1155&amp;IF($G1155="",""," - RT "&amp;$G1155&amp;IF($H1155="","","/"&amp;$H1155)))</f>
        <v/>
      </c>
      <c r="N1155" s="36"/>
      <c r="O1155" s="37"/>
      <c r="P1155" s="39"/>
      <c r="Q1155" s="41"/>
      <c r="R1155" s="35" t="str">
        <f aca="true">IF(OR($B1155="",$Q1155=""),"",DATEDIF($Q1155,TODAY(),"Y"))</f>
        <v/>
      </c>
      <c r="S1155" s="40" t="str">
        <f aca="false">IF($R1155="","",INDEX(usia_label,MATCH($R1155,usia_min,1)))</f>
        <v/>
      </c>
      <c r="T1155" s="36"/>
      <c r="U1155" s="41"/>
      <c r="V1155" s="36"/>
      <c r="W1155" s="36"/>
      <c r="X1155" s="40" t="str">
        <f aca="false">IF($M1155="","",$M1155&amp;"#"&amp;COUNTIF($M$4:$M1155,$M1155))</f>
        <v/>
      </c>
      <c r="Y1155" s="40" t="str">
        <f aca="false">IF($B1155="","",IF($C1155="","NIK kosong",IF(LEN($C1155)&lt;&gt;16,"NIK bukan 16 digit",IF(COUNTIF($C$4:$C$2003,$C1155&amp;"*")&gt;1,"NIK ganda",IF(AND($D1155&lt;&gt;"",LEN($D1155)&lt;&gt;16),"No. KK bukan 16 digit",IF(AND($F1155="",$I1155=""),"Alamat kosong",IF($N1155="","Jabatan kosong",IF($O1155="","No. HP kosong",IF(AND($R1155&lt;&gt;"",$R1155&lt;17),"Usia di bawah 17","")))))))))</f>
        <v/>
      </c>
      <c r="Z1155" s="40" t="str">
        <f aca="false">IF($B1155="","",IF(AND(OR(CARI!$C$5="",ISNUMBER(SEARCH(CARI!$C$5,$B1155&amp;" "&amp;$C1155&amp;" "&amp;$D1155&amp;" "&amp;$O1155&amp;" "&amp;$I1155&amp;" "&amp;$F1155&amp;" "&amp;$J1155&amp;" "&amp;$K1155&amp;" "&amp;$L1155&amp;" "&amp;$V1155))),OR(CARI!$C$6="",$F1155=CARI!$C$6),OR(CARI!$C$7="",$G1155=CARI!$C$7),OR(CARI!$C$8="",$T1155=CARI!$C$8)),MAX($Z$3:Z1154)+1,""))</f>
        <v/>
      </c>
      <c r="AA1155" s="40" t="str">
        <f aca="false">IF($Y1155="","",MAX($AA$3:AA1154)+1)</f>
        <v/>
      </c>
      <c r="AB1155" s="40" t="str">
        <f aca="false">IF($F1155="","",$F1155&amp;"#"&amp;COUNTIF($F$4:$F1155,$F1155))</f>
        <v/>
      </c>
      <c r="AC1155" s="40" t="str">
        <f aca="false">IF($B1155="","",IF(AND(OR(CETAK!$J$10="",$F1155=CETAK!$J$10),OR(CETAK!$J$11="",$G1155=CETAK!$J$11),OR(CETAK!$J$12="",$P1155=CETAK!$J$12),OR(CETAK!$J$13="",$N1155=CETAK!$J$13),OR(CETAK!$J$14="",$T1155=CETAK!$J$14)),MAX($AC$3:AC1154)+1,""))</f>
        <v/>
      </c>
      <c r="AD1155" s="40" t="str">
        <f aca="false">IF($B1155="","",IF(AND(OR(ABSENSI!$H$10="",$F1155=ABSENSI!$H$10),OR(ABSENSI!$H$11="",$G1155=ABSENSI!$H$11),OR(ABSENSI!$H$12="",$P1155=ABSENSI!$H$12)),MAX($AD$3:AD1154)+1,""))</f>
        <v/>
      </c>
      <c r="AE1155" s="40" t="str">
        <f aca="false">IF($B1155="","",IF(AND(OR(KARTU!$K$6="",$F1155=KARTU!$K$6),OR(KARTU!$K$7="",$G1155=KARTU!$K$7),OR(KARTU!$K$8="",$P1155=KARTU!$K$8)),MAX($AE$3:AE1154)+1,""))</f>
        <v/>
      </c>
    </row>
    <row r="1156" customFormat="false" ht="15" hidden="false" customHeight="false" outlineLevel="0" collapsed="false">
      <c r="A1156" s="35" t="str">
        <f aca="false">IF($B1156="","",COUNTA($B$4:$B1156))</f>
        <v/>
      </c>
      <c r="B1156" s="36"/>
      <c r="C1156" s="37"/>
      <c r="D1156" s="37"/>
      <c r="E1156" s="38"/>
      <c r="F1156" s="36"/>
      <c r="G1156" s="39"/>
      <c r="H1156" s="39"/>
      <c r="I1156" s="36"/>
      <c r="J1156" s="36"/>
      <c r="K1156" s="36"/>
      <c r="L1156" s="36"/>
      <c r="M1156" s="40" t="str">
        <f aca="false">IF($F1156="","",$F1156&amp;IF($G1156="",""," - RT "&amp;$G1156&amp;IF($H1156="","","/"&amp;$H1156)))</f>
        <v/>
      </c>
      <c r="N1156" s="36"/>
      <c r="O1156" s="37"/>
      <c r="P1156" s="39"/>
      <c r="Q1156" s="41"/>
      <c r="R1156" s="35" t="str">
        <f aca="true">IF(OR($B1156="",$Q1156=""),"",DATEDIF($Q1156,TODAY(),"Y"))</f>
        <v/>
      </c>
      <c r="S1156" s="40" t="str">
        <f aca="false">IF($R1156="","",INDEX(usia_label,MATCH($R1156,usia_min,1)))</f>
        <v/>
      </c>
      <c r="T1156" s="36"/>
      <c r="U1156" s="41"/>
      <c r="V1156" s="36"/>
      <c r="W1156" s="36"/>
      <c r="X1156" s="40" t="str">
        <f aca="false">IF($M1156="","",$M1156&amp;"#"&amp;COUNTIF($M$4:$M1156,$M1156))</f>
        <v/>
      </c>
      <c r="Y1156" s="40" t="str">
        <f aca="false">IF($B1156="","",IF($C1156="","NIK kosong",IF(LEN($C1156)&lt;&gt;16,"NIK bukan 16 digit",IF(COUNTIF($C$4:$C$2003,$C1156&amp;"*")&gt;1,"NIK ganda",IF(AND($D1156&lt;&gt;"",LEN($D1156)&lt;&gt;16),"No. KK bukan 16 digit",IF(AND($F1156="",$I1156=""),"Alamat kosong",IF($N1156="","Jabatan kosong",IF($O1156="","No. HP kosong",IF(AND($R1156&lt;&gt;"",$R1156&lt;17),"Usia di bawah 17","")))))))))</f>
        <v/>
      </c>
      <c r="Z1156" s="40" t="str">
        <f aca="false">IF($B1156="","",IF(AND(OR(CARI!$C$5="",ISNUMBER(SEARCH(CARI!$C$5,$B1156&amp;" "&amp;$C1156&amp;" "&amp;$D1156&amp;" "&amp;$O1156&amp;" "&amp;$I1156&amp;" "&amp;$F1156&amp;" "&amp;$J1156&amp;" "&amp;$K1156&amp;" "&amp;$L1156&amp;" "&amp;$V1156))),OR(CARI!$C$6="",$F1156=CARI!$C$6),OR(CARI!$C$7="",$G1156=CARI!$C$7),OR(CARI!$C$8="",$T1156=CARI!$C$8)),MAX($Z$3:Z1155)+1,""))</f>
        <v/>
      </c>
      <c r="AA1156" s="40" t="str">
        <f aca="false">IF($Y1156="","",MAX($AA$3:AA1155)+1)</f>
        <v/>
      </c>
      <c r="AB1156" s="40" t="str">
        <f aca="false">IF($F1156="","",$F1156&amp;"#"&amp;COUNTIF($F$4:$F1156,$F1156))</f>
        <v/>
      </c>
      <c r="AC1156" s="40" t="str">
        <f aca="false">IF($B1156="","",IF(AND(OR(CETAK!$J$10="",$F1156=CETAK!$J$10),OR(CETAK!$J$11="",$G1156=CETAK!$J$11),OR(CETAK!$J$12="",$P1156=CETAK!$J$12),OR(CETAK!$J$13="",$N1156=CETAK!$J$13),OR(CETAK!$J$14="",$T1156=CETAK!$J$14)),MAX($AC$3:AC1155)+1,""))</f>
        <v/>
      </c>
      <c r="AD1156" s="40" t="str">
        <f aca="false">IF($B1156="","",IF(AND(OR(ABSENSI!$H$10="",$F1156=ABSENSI!$H$10),OR(ABSENSI!$H$11="",$G1156=ABSENSI!$H$11),OR(ABSENSI!$H$12="",$P1156=ABSENSI!$H$12)),MAX($AD$3:AD1155)+1,""))</f>
        <v/>
      </c>
      <c r="AE1156" s="40" t="str">
        <f aca="false">IF($B1156="","",IF(AND(OR(KARTU!$K$6="",$F1156=KARTU!$K$6),OR(KARTU!$K$7="",$G1156=KARTU!$K$7),OR(KARTU!$K$8="",$P1156=KARTU!$K$8)),MAX($AE$3:AE1155)+1,""))</f>
        <v/>
      </c>
    </row>
    <row r="1157" customFormat="false" ht="15" hidden="false" customHeight="false" outlineLevel="0" collapsed="false">
      <c r="A1157" s="35" t="str">
        <f aca="false">IF($B1157="","",COUNTA($B$4:$B1157))</f>
        <v/>
      </c>
      <c r="B1157" s="36"/>
      <c r="C1157" s="37"/>
      <c r="D1157" s="37"/>
      <c r="E1157" s="38"/>
      <c r="F1157" s="36"/>
      <c r="G1157" s="39"/>
      <c r="H1157" s="39"/>
      <c r="I1157" s="36"/>
      <c r="J1157" s="36"/>
      <c r="K1157" s="36"/>
      <c r="L1157" s="36"/>
      <c r="M1157" s="40" t="str">
        <f aca="false">IF($F1157="","",$F1157&amp;IF($G1157="",""," - RT "&amp;$G1157&amp;IF($H1157="","","/"&amp;$H1157)))</f>
        <v/>
      </c>
      <c r="N1157" s="36"/>
      <c r="O1157" s="37"/>
      <c r="P1157" s="39"/>
      <c r="Q1157" s="41"/>
      <c r="R1157" s="35" t="str">
        <f aca="true">IF(OR($B1157="",$Q1157=""),"",DATEDIF($Q1157,TODAY(),"Y"))</f>
        <v/>
      </c>
      <c r="S1157" s="40" t="str">
        <f aca="false">IF($R1157="","",INDEX(usia_label,MATCH($R1157,usia_min,1)))</f>
        <v/>
      </c>
      <c r="T1157" s="36"/>
      <c r="U1157" s="41"/>
      <c r="V1157" s="36"/>
      <c r="W1157" s="36"/>
      <c r="X1157" s="40" t="str">
        <f aca="false">IF($M1157="","",$M1157&amp;"#"&amp;COUNTIF($M$4:$M1157,$M1157))</f>
        <v/>
      </c>
      <c r="Y1157" s="40" t="str">
        <f aca="false">IF($B1157="","",IF($C1157="","NIK kosong",IF(LEN($C1157)&lt;&gt;16,"NIK bukan 16 digit",IF(COUNTIF($C$4:$C$2003,$C1157&amp;"*")&gt;1,"NIK ganda",IF(AND($D1157&lt;&gt;"",LEN($D1157)&lt;&gt;16),"No. KK bukan 16 digit",IF(AND($F1157="",$I1157=""),"Alamat kosong",IF($N1157="","Jabatan kosong",IF($O1157="","No. HP kosong",IF(AND($R1157&lt;&gt;"",$R1157&lt;17),"Usia di bawah 17","")))))))))</f>
        <v/>
      </c>
      <c r="Z1157" s="40" t="str">
        <f aca="false">IF($B1157="","",IF(AND(OR(CARI!$C$5="",ISNUMBER(SEARCH(CARI!$C$5,$B1157&amp;" "&amp;$C1157&amp;" "&amp;$D1157&amp;" "&amp;$O1157&amp;" "&amp;$I1157&amp;" "&amp;$F1157&amp;" "&amp;$J1157&amp;" "&amp;$K1157&amp;" "&amp;$L1157&amp;" "&amp;$V1157))),OR(CARI!$C$6="",$F1157=CARI!$C$6),OR(CARI!$C$7="",$G1157=CARI!$C$7),OR(CARI!$C$8="",$T1157=CARI!$C$8)),MAX($Z$3:Z1156)+1,""))</f>
        <v/>
      </c>
      <c r="AA1157" s="40" t="str">
        <f aca="false">IF($Y1157="","",MAX($AA$3:AA1156)+1)</f>
        <v/>
      </c>
      <c r="AB1157" s="40" t="str">
        <f aca="false">IF($F1157="","",$F1157&amp;"#"&amp;COUNTIF($F$4:$F1157,$F1157))</f>
        <v/>
      </c>
      <c r="AC1157" s="40" t="str">
        <f aca="false">IF($B1157="","",IF(AND(OR(CETAK!$J$10="",$F1157=CETAK!$J$10),OR(CETAK!$J$11="",$G1157=CETAK!$J$11),OR(CETAK!$J$12="",$P1157=CETAK!$J$12),OR(CETAK!$J$13="",$N1157=CETAK!$J$13),OR(CETAK!$J$14="",$T1157=CETAK!$J$14)),MAX($AC$3:AC1156)+1,""))</f>
        <v/>
      </c>
      <c r="AD1157" s="40" t="str">
        <f aca="false">IF($B1157="","",IF(AND(OR(ABSENSI!$H$10="",$F1157=ABSENSI!$H$10),OR(ABSENSI!$H$11="",$G1157=ABSENSI!$H$11),OR(ABSENSI!$H$12="",$P1157=ABSENSI!$H$12)),MAX($AD$3:AD1156)+1,""))</f>
        <v/>
      </c>
      <c r="AE1157" s="40" t="str">
        <f aca="false">IF($B1157="","",IF(AND(OR(KARTU!$K$6="",$F1157=KARTU!$K$6),OR(KARTU!$K$7="",$G1157=KARTU!$K$7),OR(KARTU!$K$8="",$P1157=KARTU!$K$8)),MAX($AE$3:AE1156)+1,""))</f>
        <v/>
      </c>
    </row>
    <row r="1158" customFormat="false" ht="15" hidden="false" customHeight="false" outlineLevel="0" collapsed="false">
      <c r="A1158" s="35" t="str">
        <f aca="false">IF($B1158="","",COUNTA($B$4:$B1158))</f>
        <v/>
      </c>
      <c r="B1158" s="36"/>
      <c r="C1158" s="37"/>
      <c r="D1158" s="37"/>
      <c r="E1158" s="38"/>
      <c r="F1158" s="36"/>
      <c r="G1158" s="39"/>
      <c r="H1158" s="39"/>
      <c r="I1158" s="36"/>
      <c r="J1158" s="36"/>
      <c r="K1158" s="36"/>
      <c r="L1158" s="36"/>
      <c r="M1158" s="40" t="str">
        <f aca="false">IF($F1158="","",$F1158&amp;IF($G1158="",""," - RT "&amp;$G1158&amp;IF($H1158="","","/"&amp;$H1158)))</f>
        <v/>
      </c>
      <c r="N1158" s="36"/>
      <c r="O1158" s="37"/>
      <c r="P1158" s="39"/>
      <c r="Q1158" s="41"/>
      <c r="R1158" s="35" t="str">
        <f aca="true">IF(OR($B1158="",$Q1158=""),"",DATEDIF($Q1158,TODAY(),"Y"))</f>
        <v/>
      </c>
      <c r="S1158" s="40" t="str">
        <f aca="false">IF($R1158="","",INDEX(usia_label,MATCH($R1158,usia_min,1)))</f>
        <v/>
      </c>
      <c r="T1158" s="36"/>
      <c r="U1158" s="41"/>
      <c r="V1158" s="36"/>
      <c r="W1158" s="36"/>
      <c r="X1158" s="40" t="str">
        <f aca="false">IF($M1158="","",$M1158&amp;"#"&amp;COUNTIF($M$4:$M1158,$M1158))</f>
        <v/>
      </c>
      <c r="Y1158" s="40" t="str">
        <f aca="false">IF($B1158="","",IF($C1158="","NIK kosong",IF(LEN($C1158)&lt;&gt;16,"NIK bukan 16 digit",IF(COUNTIF($C$4:$C$2003,$C1158&amp;"*")&gt;1,"NIK ganda",IF(AND($D1158&lt;&gt;"",LEN($D1158)&lt;&gt;16),"No. KK bukan 16 digit",IF(AND($F1158="",$I1158=""),"Alamat kosong",IF($N1158="","Jabatan kosong",IF($O1158="","No. HP kosong",IF(AND($R1158&lt;&gt;"",$R1158&lt;17),"Usia di bawah 17","")))))))))</f>
        <v/>
      </c>
      <c r="Z1158" s="40" t="str">
        <f aca="false">IF($B1158="","",IF(AND(OR(CARI!$C$5="",ISNUMBER(SEARCH(CARI!$C$5,$B1158&amp;" "&amp;$C1158&amp;" "&amp;$D1158&amp;" "&amp;$O1158&amp;" "&amp;$I1158&amp;" "&amp;$F1158&amp;" "&amp;$J1158&amp;" "&amp;$K1158&amp;" "&amp;$L1158&amp;" "&amp;$V1158))),OR(CARI!$C$6="",$F1158=CARI!$C$6),OR(CARI!$C$7="",$G1158=CARI!$C$7),OR(CARI!$C$8="",$T1158=CARI!$C$8)),MAX($Z$3:Z1157)+1,""))</f>
        <v/>
      </c>
      <c r="AA1158" s="40" t="str">
        <f aca="false">IF($Y1158="","",MAX($AA$3:AA1157)+1)</f>
        <v/>
      </c>
      <c r="AB1158" s="40" t="str">
        <f aca="false">IF($F1158="","",$F1158&amp;"#"&amp;COUNTIF($F$4:$F1158,$F1158))</f>
        <v/>
      </c>
      <c r="AC1158" s="40" t="str">
        <f aca="false">IF($B1158="","",IF(AND(OR(CETAK!$J$10="",$F1158=CETAK!$J$10),OR(CETAK!$J$11="",$G1158=CETAK!$J$11),OR(CETAK!$J$12="",$P1158=CETAK!$J$12),OR(CETAK!$J$13="",$N1158=CETAK!$J$13),OR(CETAK!$J$14="",$T1158=CETAK!$J$14)),MAX($AC$3:AC1157)+1,""))</f>
        <v/>
      </c>
      <c r="AD1158" s="40" t="str">
        <f aca="false">IF($B1158="","",IF(AND(OR(ABSENSI!$H$10="",$F1158=ABSENSI!$H$10),OR(ABSENSI!$H$11="",$G1158=ABSENSI!$H$11),OR(ABSENSI!$H$12="",$P1158=ABSENSI!$H$12)),MAX($AD$3:AD1157)+1,""))</f>
        <v/>
      </c>
      <c r="AE1158" s="40" t="str">
        <f aca="false">IF($B1158="","",IF(AND(OR(KARTU!$K$6="",$F1158=KARTU!$K$6),OR(KARTU!$K$7="",$G1158=KARTU!$K$7),OR(KARTU!$K$8="",$P1158=KARTU!$K$8)),MAX($AE$3:AE1157)+1,""))</f>
        <v/>
      </c>
    </row>
    <row r="1159" customFormat="false" ht="15" hidden="false" customHeight="false" outlineLevel="0" collapsed="false">
      <c r="A1159" s="35" t="str">
        <f aca="false">IF($B1159="","",COUNTA($B$4:$B1159))</f>
        <v/>
      </c>
      <c r="B1159" s="36"/>
      <c r="C1159" s="37"/>
      <c r="D1159" s="37"/>
      <c r="E1159" s="38"/>
      <c r="F1159" s="36"/>
      <c r="G1159" s="39"/>
      <c r="H1159" s="39"/>
      <c r="I1159" s="36"/>
      <c r="J1159" s="36"/>
      <c r="K1159" s="36"/>
      <c r="L1159" s="36"/>
      <c r="M1159" s="40" t="str">
        <f aca="false">IF($F1159="","",$F1159&amp;IF($G1159="",""," - RT "&amp;$G1159&amp;IF($H1159="","","/"&amp;$H1159)))</f>
        <v/>
      </c>
      <c r="N1159" s="36"/>
      <c r="O1159" s="37"/>
      <c r="P1159" s="39"/>
      <c r="Q1159" s="41"/>
      <c r="R1159" s="35" t="str">
        <f aca="true">IF(OR($B1159="",$Q1159=""),"",DATEDIF($Q1159,TODAY(),"Y"))</f>
        <v/>
      </c>
      <c r="S1159" s="40" t="str">
        <f aca="false">IF($R1159="","",INDEX(usia_label,MATCH($R1159,usia_min,1)))</f>
        <v/>
      </c>
      <c r="T1159" s="36"/>
      <c r="U1159" s="41"/>
      <c r="V1159" s="36"/>
      <c r="W1159" s="36"/>
      <c r="X1159" s="40" t="str">
        <f aca="false">IF($M1159="","",$M1159&amp;"#"&amp;COUNTIF($M$4:$M1159,$M1159))</f>
        <v/>
      </c>
      <c r="Y1159" s="40" t="str">
        <f aca="false">IF($B1159="","",IF($C1159="","NIK kosong",IF(LEN($C1159)&lt;&gt;16,"NIK bukan 16 digit",IF(COUNTIF($C$4:$C$2003,$C1159&amp;"*")&gt;1,"NIK ganda",IF(AND($D1159&lt;&gt;"",LEN($D1159)&lt;&gt;16),"No. KK bukan 16 digit",IF(AND($F1159="",$I1159=""),"Alamat kosong",IF($N1159="","Jabatan kosong",IF($O1159="","No. HP kosong",IF(AND($R1159&lt;&gt;"",$R1159&lt;17),"Usia di bawah 17","")))))))))</f>
        <v/>
      </c>
      <c r="Z1159" s="40" t="str">
        <f aca="false">IF($B1159="","",IF(AND(OR(CARI!$C$5="",ISNUMBER(SEARCH(CARI!$C$5,$B1159&amp;" "&amp;$C1159&amp;" "&amp;$D1159&amp;" "&amp;$O1159&amp;" "&amp;$I1159&amp;" "&amp;$F1159&amp;" "&amp;$J1159&amp;" "&amp;$K1159&amp;" "&amp;$L1159&amp;" "&amp;$V1159))),OR(CARI!$C$6="",$F1159=CARI!$C$6),OR(CARI!$C$7="",$G1159=CARI!$C$7),OR(CARI!$C$8="",$T1159=CARI!$C$8)),MAX($Z$3:Z1158)+1,""))</f>
        <v/>
      </c>
      <c r="AA1159" s="40" t="str">
        <f aca="false">IF($Y1159="","",MAX($AA$3:AA1158)+1)</f>
        <v/>
      </c>
      <c r="AB1159" s="40" t="str">
        <f aca="false">IF($F1159="","",$F1159&amp;"#"&amp;COUNTIF($F$4:$F1159,$F1159))</f>
        <v/>
      </c>
      <c r="AC1159" s="40" t="str">
        <f aca="false">IF($B1159="","",IF(AND(OR(CETAK!$J$10="",$F1159=CETAK!$J$10),OR(CETAK!$J$11="",$G1159=CETAK!$J$11),OR(CETAK!$J$12="",$P1159=CETAK!$J$12),OR(CETAK!$J$13="",$N1159=CETAK!$J$13),OR(CETAK!$J$14="",$T1159=CETAK!$J$14)),MAX($AC$3:AC1158)+1,""))</f>
        <v/>
      </c>
      <c r="AD1159" s="40" t="str">
        <f aca="false">IF($B1159="","",IF(AND(OR(ABSENSI!$H$10="",$F1159=ABSENSI!$H$10),OR(ABSENSI!$H$11="",$G1159=ABSENSI!$H$11),OR(ABSENSI!$H$12="",$P1159=ABSENSI!$H$12)),MAX($AD$3:AD1158)+1,""))</f>
        <v/>
      </c>
      <c r="AE1159" s="40" t="str">
        <f aca="false">IF($B1159="","",IF(AND(OR(KARTU!$K$6="",$F1159=KARTU!$K$6),OR(KARTU!$K$7="",$G1159=KARTU!$K$7),OR(KARTU!$K$8="",$P1159=KARTU!$K$8)),MAX($AE$3:AE1158)+1,""))</f>
        <v/>
      </c>
    </row>
    <row r="1160" customFormat="false" ht="15" hidden="false" customHeight="false" outlineLevel="0" collapsed="false">
      <c r="A1160" s="35" t="str">
        <f aca="false">IF($B1160="","",COUNTA($B$4:$B1160))</f>
        <v/>
      </c>
      <c r="B1160" s="36"/>
      <c r="C1160" s="37"/>
      <c r="D1160" s="37"/>
      <c r="E1160" s="38"/>
      <c r="F1160" s="36"/>
      <c r="G1160" s="39"/>
      <c r="H1160" s="39"/>
      <c r="I1160" s="36"/>
      <c r="J1160" s="36"/>
      <c r="K1160" s="36"/>
      <c r="L1160" s="36"/>
      <c r="M1160" s="40" t="str">
        <f aca="false">IF($F1160="","",$F1160&amp;IF($G1160="",""," - RT "&amp;$G1160&amp;IF($H1160="","","/"&amp;$H1160)))</f>
        <v/>
      </c>
      <c r="N1160" s="36"/>
      <c r="O1160" s="37"/>
      <c r="P1160" s="39"/>
      <c r="Q1160" s="41"/>
      <c r="R1160" s="35" t="str">
        <f aca="true">IF(OR($B1160="",$Q1160=""),"",DATEDIF($Q1160,TODAY(),"Y"))</f>
        <v/>
      </c>
      <c r="S1160" s="40" t="str">
        <f aca="false">IF($R1160="","",INDEX(usia_label,MATCH($R1160,usia_min,1)))</f>
        <v/>
      </c>
      <c r="T1160" s="36"/>
      <c r="U1160" s="41"/>
      <c r="V1160" s="36"/>
      <c r="W1160" s="36"/>
      <c r="X1160" s="40" t="str">
        <f aca="false">IF($M1160="","",$M1160&amp;"#"&amp;COUNTIF($M$4:$M1160,$M1160))</f>
        <v/>
      </c>
      <c r="Y1160" s="40" t="str">
        <f aca="false">IF($B1160="","",IF($C1160="","NIK kosong",IF(LEN($C1160)&lt;&gt;16,"NIK bukan 16 digit",IF(COUNTIF($C$4:$C$2003,$C1160&amp;"*")&gt;1,"NIK ganda",IF(AND($D1160&lt;&gt;"",LEN($D1160)&lt;&gt;16),"No. KK bukan 16 digit",IF(AND($F1160="",$I1160=""),"Alamat kosong",IF($N1160="","Jabatan kosong",IF($O1160="","No. HP kosong",IF(AND($R1160&lt;&gt;"",$R1160&lt;17),"Usia di bawah 17","")))))))))</f>
        <v/>
      </c>
      <c r="Z1160" s="40" t="str">
        <f aca="false">IF($B1160="","",IF(AND(OR(CARI!$C$5="",ISNUMBER(SEARCH(CARI!$C$5,$B1160&amp;" "&amp;$C1160&amp;" "&amp;$D1160&amp;" "&amp;$O1160&amp;" "&amp;$I1160&amp;" "&amp;$F1160&amp;" "&amp;$J1160&amp;" "&amp;$K1160&amp;" "&amp;$L1160&amp;" "&amp;$V1160))),OR(CARI!$C$6="",$F1160=CARI!$C$6),OR(CARI!$C$7="",$G1160=CARI!$C$7),OR(CARI!$C$8="",$T1160=CARI!$C$8)),MAX($Z$3:Z1159)+1,""))</f>
        <v/>
      </c>
      <c r="AA1160" s="40" t="str">
        <f aca="false">IF($Y1160="","",MAX($AA$3:AA1159)+1)</f>
        <v/>
      </c>
      <c r="AB1160" s="40" t="str">
        <f aca="false">IF($F1160="","",$F1160&amp;"#"&amp;COUNTIF($F$4:$F1160,$F1160))</f>
        <v/>
      </c>
      <c r="AC1160" s="40" t="str">
        <f aca="false">IF($B1160="","",IF(AND(OR(CETAK!$J$10="",$F1160=CETAK!$J$10),OR(CETAK!$J$11="",$G1160=CETAK!$J$11),OR(CETAK!$J$12="",$P1160=CETAK!$J$12),OR(CETAK!$J$13="",$N1160=CETAK!$J$13),OR(CETAK!$J$14="",$T1160=CETAK!$J$14)),MAX($AC$3:AC1159)+1,""))</f>
        <v/>
      </c>
      <c r="AD1160" s="40" t="str">
        <f aca="false">IF($B1160="","",IF(AND(OR(ABSENSI!$H$10="",$F1160=ABSENSI!$H$10),OR(ABSENSI!$H$11="",$G1160=ABSENSI!$H$11),OR(ABSENSI!$H$12="",$P1160=ABSENSI!$H$12)),MAX($AD$3:AD1159)+1,""))</f>
        <v/>
      </c>
      <c r="AE1160" s="40" t="str">
        <f aca="false">IF($B1160="","",IF(AND(OR(KARTU!$K$6="",$F1160=KARTU!$K$6),OR(KARTU!$K$7="",$G1160=KARTU!$K$7),OR(KARTU!$K$8="",$P1160=KARTU!$K$8)),MAX($AE$3:AE1159)+1,""))</f>
        <v/>
      </c>
    </row>
    <row r="1161" customFormat="false" ht="15" hidden="false" customHeight="false" outlineLevel="0" collapsed="false">
      <c r="A1161" s="35" t="str">
        <f aca="false">IF($B1161="","",COUNTA($B$4:$B1161))</f>
        <v/>
      </c>
      <c r="B1161" s="36"/>
      <c r="C1161" s="37"/>
      <c r="D1161" s="37"/>
      <c r="E1161" s="38"/>
      <c r="F1161" s="36"/>
      <c r="G1161" s="39"/>
      <c r="H1161" s="39"/>
      <c r="I1161" s="36"/>
      <c r="J1161" s="36"/>
      <c r="K1161" s="36"/>
      <c r="L1161" s="36"/>
      <c r="M1161" s="40" t="str">
        <f aca="false">IF($F1161="","",$F1161&amp;IF($G1161="",""," - RT "&amp;$G1161&amp;IF($H1161="","","/"&amp;$H1161)))</f>
        <v/>
      </c>
      <c r="N1161" s="36"/>
      <c r="O1161" s="37"/>
      <c r="P1161" s="39"/>
      <c r="Q1161" s="41"/>
      <c r="R1161" s="35" t="str">
        <f aca="true">IF(OR($B1161="",$Q1161=""),"",DATEDIF($Q1161,TODAY(),"Y"))</f>
        <v/>
      </c>
      <c r="S1161" s="40" t="str">
        <f aca="false">IF($R1161="","",INDEX(usia_label,MATCH($R1161,usia_min,1)))</f>
        <v/>
      </c>
      <c r="T1161" s="36"/>
      <c r="U1161" s="41"/>
      <c r="V1161" s="36"/>
      <c r="W1161" s="36"/>
      <c r="X1161" s="40" t="str">
        <f aca="false">IF($M1161="","",$M1161&amp;"#"&amp;COUNTIF($M$4:$M1161,$M1161))</f>
        <v/>
      </c>
      <c r="Y1161" s="40" t="str">
        <f aca="false">IF($B1161="","",IF($C1161="","NIK kosong",IF(LEN($C1161)&lt;&gt;16,"NIK bukan 16 digit",IF(COUNTIF($C$4:$C$2003,$C1161&amp;"*")&gt;1,"NIK ganda",IF(AND($D1161&lt;&gt;"",LEN($D1161)&lt;&gt;16),"No. KK bukan 16 digit",IF(AND($F1161="",$I1161=""),"Alamat kosong",IF($N1161="","Jabatan kosong",IF($O1161="","No. HP kosong",IF(AND($R1161&lt;&gt;"",$R1161&lt;17),"Usia di bawah 17","")))))))))</f>
        <v/>
      </c>
      <c r="Z1161" s="40" t="str">
        <f aca="false">IF($B1161="","",IF(AND(OR(CARI!$C$5="",ISNUMBER(SEARCH(CARI!$C$5,$B1161&amp;" "&amp;$C1161&amp;" "&amp;$D1161&amp;" "&amp;$O1161&amp;" "&amp;$I1161&amp;" "&amp;$F1161&amp;" "&amp;$J1161&amp;" "&amp;$K1161&amp;" "&amp;$L1161&amp;" "&amp;$V1161))),OR(CARI!$C$6="",$F1161=CARI!$C$6),OR(CARI!$C$7="",$G1161=CARI!$C$7),OR(CARI!$C$8="",$T1161=CARI!$C$8)),MAX($Z$3:Z1160)+1,""))</f>
        <v/>
      </c>
      <c r="AA1161" s="40" t="str">
        <f aca="false">IF($Y1161="","",MAX($AA$3:AA1160)+1)</f>
        <v/>
      </c>
      <c r="AB1161" s="40" t="str">
        <f aca="false">IF($F1161="","",$F1161&amp;"#"&amp;COUNTIF($F$4:$F1161,$F1161))</f>
        <v/>
      </c>
      <c r="AC1161" s="40" t="str">
        <f aca="false">IF($B1161="","",IF(AND(OR(CETAK!$J$10="",$F1161=CETAK!$J$10),OR(CETAK!$J$11="",$G1161=CETAK!$J$11),OR(CETAK!$J$12="",$P1161=CETAK!$J$12),OR(CETAK!$J$13="",$N1161=CETAK!$J$13),OR(CETAK!$J$14="",$T1161=CETAK!$J$14)),MAX($AC$3:AC1160)+1,""))</f>
        <v/>
      </c>
      <c r="AD1161" s="40" t="str">
        <f aca="false">IF($B1161="","",IF(AND(OR(ABSENSI!$H$10="",$F1161=ABSENSI!$H$10),OR(ABSENSI!$H$11="",$G1161=ABSENSI!$H$11),OR(ABSENSI!$H$12="",$P1161=ABSENSI!$H$12)),MAX($AD$3:AD1160)+1,""))</f>
        <v/>
      </c>
      <c r="AE1161" s="40" t="str">
        <f aca="false">IF($B1161="","",IF(AND(OR(KARTU!$K$6="",$F1161=KARTU!$K$6),OR(KARTU!$K$7="",$G1161=KARTU!$K$7),OR(KARTU!$K$8="",$P1161=KARTU!$K$8)),MAX($AE$3:AE1160)+1,""))</f>
        <v/>
      </c>
    </row>
    <row r="1162" customFormat="false" ht="15" hidden="false" customHeight="false" outlineLevel="0" collapsed="false">
      <c r="A1162" s="35" t="str">
        <f aca="false">IF($B1162="","",COUNTA($B$4:$B1162))</f>
        <v/>
      </c>
      <c r="B1162" s="36"/>
      <c r="C1162" s="37"/>
      <c r="D1162" s="37"/>
      <c r="E1162" s="38"/>
      <c r="F1162" s="36"/>
      <c r="G1162" s="39"/>
      <c r="H1162" s="39"/>
      <c r="I1162" s="36"/>
      <c r="J1162" s="36"/>
      <c r="K1162" s="36"/>
      <c r="L1162" s="36"/>
      <c r="M1162" s="40" t="str">
        <f aca="false">IF($F1162="","",$F1162&amp;IF($G1162="",""," - RT "&amp;$G1162&amp;IF($H1162="","","/"&amp;$H1162)))</f>
        <v/>
      </c>
      <c r="N1162" s="36"/>
      <c r="O1162" s="37"/>
      <c r="P1162" s="39"/>
      <c r="Q1162" s="41"/>
      <c r="R1162" s="35" t="str">
        <f aca="true">IF(OR($B1162="",$Q1162=""),"",DATEDIF($Q1162,TODAY(),"Y"))</f>
        <v/>
      </c>
      <c r="S1162" s="40" t="str">
        <f aca="false">IF($R1162="","",INDEX(usia_label,MATCH($R1162,usia_min,1)))</f>
        <v/>
      </c>
      <c r="T1162" s="36"/>
      <c r="U1162" s="41"/>
      <c r="V1162" s="36"/>
      <c r="W1162" s="36"/>
      <c r="X1162" s="40" t="str">
        <f aca="false">IF($M1162="","",$M1162&amp;"#"&amp;COUNTIF($M$4:$M1162,$M1162))</f>
        <v/>
      </c>
      <c r="Y1162" s="40" t="str">
        <f aca="false">IF($B1162="","",IF($C1162="","NIK kosong",IF(LEN($C1162)&lt;&gt;16,"NIK bukan 16 digit",IF(COUNTIF($C$4:$C$2003,$C1162&amp;"*")&gt;1,"NIK ganda",IF(AND($D1162&lt;&gt;"",LEN($D1162)&lt;&gt;16),"No. KK bukan 16 digit",IF(AND($F1162="",$I1162=""),"Alamat kosong",IF($N1162="","Jabatan kosong",IF($O1162="","No. HP kosong",IF(AND($R1162&lt;&gt;"",$R1162&lt;17),"Usia di bawah 17","")))))))))</f>
        <v/>
      </c>
      <c r="Z1162" s="40" t="str">
        <f aca="false">IF($B1162="","",IF(AND(OR(CARI!$C$5="",ISNUMBER(SEARCH(CARI!$C$5,$B1162&amp;" "&amp;$C1162&amp;" "&amp;$D1162&amp;" "&amp;$O1162&amp;" "&amp;$I1162&amp;" "&amp;$F1162&amp;" "&amp;$J1162&amp;" "&amp;$K1162&amp;" "&amp;$L1162&amp;" "&amp;$V1162))),OR(CARI!$C$6="",$F1162=CARI!$C$6),OR(CARI!$C$7="",$G1162=CARI!$C$7),OR(CARI!$C$8="",$T1162=CARI!$C$8)),MAX($Z$3:Z1161)+1,""))</f>
        <v/>
      </c>
      <c r="AA1162" s="40" t="str">
        <f aca="false">IF($Y1162="","",MAX($AA$3:AA1161)+1)</f>
        <v/>
      </c>
      <c r="AB1162" s="40" t="str">
        <f aca="false">IF($F1162="","",$F1162&amp;"#"&amp;COUNTIF($F$4:$F1162,$F1162))</f>
        <v/>
      </c>
      <c r="AC1162" s="40" t="str">
        <f aca="false">IF($B1162="","",IF(AND(OR(CETAK!$J$10="",$F1162=CETAK!$J$10),OR(CETAK!$J$11="",$G1162=CETAK!$J$11),OR(CETAK!$J$12="",$P1162=CETAK!$J$12),OR(CETAK!$J$13="",$N1162=CETAK!$J$13),OR(CETAK!$J$14="",$T1162=CETAK!$J$14)),MAX($AC$3:AC1161)+1,""))</f>
        <v/>
      </c>
      <c r="AD1162" s="40" t="str">
        <f aca="false">IF($B1162="","",IF(AND(OR(ABSENSI!$H$10="",$F1162=ABSENSI!$H$10),OR(ABSENSI!$H$11="",$G1162=ABSENSI!$H$11),OR(ABSENSI!$H$12="",$P1162=ABSENSI!$H$12)),MAX($AD$3:AD1161)+1,""))</f>
        <v/>
      </c>
      <c r="AE1162" s="40" t="str">
        <f aca="false">IF($B1162="","",IF(AND(OR(KARTU!$K$6="",$F1162=KARTU!$K$6),OR(KARTU!$K$7="",$G1162=KARTU!$K$7),OR(KARTU!$K$8="",$P1162=KARTU!$K$8)),MAX($AE$3:AE1161)+1,""))</f>
        <v/>
      </c>
    </row>
    <row r="1163" customFormat="false" ht="15" hidden="false" customHeight="false" outlineLevel="0" collapsed="false">
      <c r="A1163" s="35" t="str">
        <f aca="false">IF($B1163="","",COUNTA($B$4:$B1163))</f>
        <v/>
      </c>
      <c r="B1163" s="36"/>
      <c r="C1163" s="37"/>
      <c r="D1163" s="37"/>
      <c r="E1163" s="38"/>
      <c r="F1163" s="36"/>
      <c r="G1163" s="39"/>
      <c r="H1163" s="39"/>
      <c r="I1163" s="36"/>
      <c r="J1163" s="36"/>
      <c r="K1163" s="36"/>
      <c r="L1163" s="36"/>
      <c r="M1163" s="40" t="str">
        <f aca="false">IF($F1163="","",$F1163&amp;IF($G1163="",""," - RT "&amp;$G1163&amp;IF($H1163="","","/"&amp;$H1163)))</f>
        <v/>
      </c>
      <c r="N1163" s="36"/>
      <c r="O1163" s="37"/>
      <c r="P1163" s="39"/>
      <c r="Q1163" s="41"/>
      <c r="R1163" s="35" t="str">
        <f aca="true">IF(OR($B1163="",$Q1163=""),"",DATEDIF($Q1163,TODAY(),"Y"))</f>
        <v/>
      </c>
      <c r="S1163" s="40" t="str">
        <f aca="false">IF($R1163="","",INDEX(usia_label,MATCH($R1163,usia_min,1)))</f>
        <v/>
      </c>
      <c r="T1163" s="36"/>
      <c r="U1163" s="41"/>
      <c r="V1163" s="36"/>
      <c r="W1163" s="36"/>
      <c r="X1163" s="40" t="str">
        <f aca="false">IF($M1163="","",$M1163&amp;"#"&amp;COUNTIF($M$4:$M1163,$M1163))</f>
        <v/>
      </c>
      <c r="Y1163" s="40" t="str">
        <f aca="false">IF($B1163="","",IF($C1163="","NIK kosong",IF(LEN($C1163)&lt;&gt;16,"NIK bukan 16 digit",IF(COUNTIF($C$4:$C$2003,$C1163&amp;"*")&gt;1,"NIK ganda",IF(AND($D1163&lt;&gt;"",LEN($D1163)&lt;&gt;16),"No. KK bukan 16 digit",IF(AND($F1163="",$I1163=""),"Alamat kosong",IF($N1163="","Jabatan kosong",IF($O1163="","No. HP kosong",IF(AND($R1163&lt;&gt;"",$R1163&lt;17),"Usia di bawah 17","")))))))))</f>
        <v/>
      </c>
      <c r="Z1163" s="40" t="str">
        <f aca="false">IF($B1163="","",IF(AND(OR(CARI!$C$5="",ISNUMBER(SEARCH(CARI!$C$5,$B1163&amp;" "&amp;$C1163&amp;" "&amp;$D1163&amp;" "&amp;$O1163&amp;" "&amp;$I1163&amp;" "&amp;$F1163&amp;" "&amp;$J1163&amp;" "&amp;$K1163&amp;" "&amp;$L1163&amp;" "&amp;$V1163))),OR(CARI!$C$6="",$F1163=CARI!$C$6),OR(CARI!$C$7="",$G1163=CARI!$C$7),OR(CARI!$C$8="",$T1163=CARI!$C$8)),MAX($Z$3:Z1162)+1,""))</f>
        <v/>
      </c>
      <c r="AA1163" s="40" t="str">
        <f aca="false">IF($Y1163="","",MAX($AA$3:AA1162)+1)</f>
        <v/>
      </c>
      <c r="AB1163" s="40" t="str">
        <f aca="false">IF($F1163="","",$F1163&amp;"#"&amp;COUNTIF($F$4:$F1163,$F1163))</f>
        <v/>
      </c>
      <c r="AC1163" s="40" t="str">
        <f aca="false">IF($B1163="","",IF(AND(OR(CETAK!$J$10="",$F1163=CETAK!$J$10),OR(CETAK!$J$11="",$G1163=CETAK!$J$11),OR(CETAK!$J$12="",$P1163=CETAK!$J$12),OR(CETAK!$J$13="",$N1163=CETAK!$J$13),OR(CETAK!$J$14="",$T1163=CETAK!$J$14)),MAX($AC$3:AC1162)+1,""))</f>
        <v/>
      </c>
      <c r="AD1163" s="40" t="str">
        <f aca="false">IF($B1163="","",IF(AND(OR(ABSENSI!$H$10="",$F1163=ABSENSI!$H$10),OR(ABSENSI!$H$11="",$G1163=ABSENSI!$H$11),OR(ABSENSI!$H$12="",$P1163=ABSENSI!$H$12)),MAX($AD$3:AD1162)+1,""))</f>
        <v/>
      </c>
      <c r="AE1163" s="40" t="str">
        <f aca="false">IF($B1163="","",IF(AND(OR(KARTU!$K$6="",$F1163=KARTU!$K$6),OR(KARTU!$K$7="",$G1163=KARTU!$K$7),OR(KARTU!$K$8="",$P1163=KARTU!$K$8)),MAX($AE$3:AE1162)+1,""))</f>
        <v/>
      </c>
    </row>
    <row r="1164" customFormat="false" ht="15" hidden="false" customHeight="false" outlineLevel="0" collapsed="false">
      <c r="A1164" s="35" t="str">
        <f aca="false">IF($B1164="","",COUNTA($B$4:$B1164))</f>
        <v/>
      </c>
      <c r="B1164" s="36"/>
      <c r="C1164" s="37"/>
      <c r="D1164" s="37"/>
      <c r="E1164" s="38"/>
      <c r="F1164" s="36"/>
      <c r="G1164" s="39"/>
      <c r="H1164" s="39"/>
      <c r="I1164" s="36"/>
      <c r="J1164" s="36"/>
      <c r="K1164" s="36"/>
      <c r="L1164" s="36"/>
      <c r="M1164" s="40" t="str">
        <f aca="false">IF($F1164="","",$F1164&amp;IF($G1164="",""," - RT "&amp;$G1164&amp;IF($H1164="","","/"&amp;$H1164)))</f>
        <v/>
      </c>
      <c r="N1164" s="36"/>
      <c r="O1164" s="37"/>
      <c r="P1164" s="39"/>
      <c r="Q1164" s="41"/>
      <c r="R1164" s="35" t="str">
        <f aca="true">IF(OR($B1164="",$Q1164=""),"",DATEDIF($Q1164,TODAY(),"Y"))</f>
        <v/>
      </c>
      <c r="S1164" s="40" t="str">
        <f aca="false">IF($R1164="","",INDEX(usia_label,MATCH($R1164,usia_min,1)))</f>
        <v/>
      </c>
      <c r="T1164" s="36"/>
      <c r="U1164" s="41"/>
      <c r="V1164" s="36"/>
      <c r="W1164" s="36"/>
      <c r="X1164" s="40" t="str">
        <f aca="false">IF($M1164="","",$M1164&amp;"#"&amp;COUNTIF($M$4:$M1164,$M1164))</f>
        <v/>
      </c>
      <c r="Y1164" s="40" t="str">
        <f aca="false">IF($B1164="","",IF($C1164="","NIK kosong",IF(LEN($C1164)&lt;&gt;16,"NIK bukan 16 digit",IF(COUNTIF($C$4:$C$2003,$C1164&amp;"*")&gt;1,"NIK ganda",IF(AND($D1164&lt;&gt;"",LEN($D1164)&lt;&gt;16),"No. KK bukan 16 digit",IF(AND($F1164="",$I1164=""),"Alamat kosong",IF($N1164="","Jabatan kosong",IF($O1164="","No. HP kosong",IF(AND($R1164&lt;&gt;"",$R1164&lt;17),"Usia di bawah 17","")))))))))</f>
        <v/>
      </c>
      <c r="Z1164" s="40" t="str">
        <f aca="false">IF($B1164="","",IF(AND(OR(CARI!$C$5="",ISNUMBER(SEARCH(CARI!$C$5,$B1164&amp;" "&amp;$C1164&amp;" "&amp;$D1164&amp;" "&amp;$O1164&amp;" "&amp;$I1164&amp;" "&amp;$F1164&amp;" "&amp;$J1164&amp;" "&amp;$K1164&amp;" "&amp;$L1164&amp;" "&amp;$V1164))),OR(CARI!$C$6="",$F1164=CARI!$C$6),OR(CARI!$C$7="",$G1164=CARI!$C$7),OR(CARI!$C$8="",$T1164=CARI!$C$8)),MAX($Z$3:Z1163)+1,""))</f>
        <v/>
      </c>
      <c r="AA1164" s="40" t="str">
        <f aca="false">IF($Y1164="","",MAX($AA$3:AA1163)+1)</f>
        <v/>
      </c>
      <c r="AB1164" s="40" t="str">
        <f aca="false">IF($F1164="","",$F1164&amp;"#"&amp;COUNTIF($F$4:$F1164,$F1164))</f>
        <v/>
      </c>
      <c r="AC1164" s="40" t="str">
        <f aca="false">IF($B1164="","",IF(AND(OR(CETAK!$J$10="",$F1164=CETAK!$J$10),OR(CETAK!$J$11="",$G1164=CETAK!$J$11),OR(CETAK!$J$12="",$P1164=CETAK!$J$12),OR(CETAK!$J$13="",$N1164=CETAK!$J$13),OR(CETAK!$J$14="",$T1164=CETAK!$J$14)),MAX($AC$3:AC1163)+1,""))</f>
        <v/>
      </c>
      <c r="AD1164" s="40" t="str">
        <f aca="false">IF($B1164="","",IF(AND(OR(ABSENSI!$H$10="",$F1164=ABSENSI!$H$10),OR(ABSENSI!$H$11="",$G1164=ABSENSI!$H$11),OR(ABSENSI!$H$12="",$P1164=ABSENSI!$H$12)),MAX($AD$3:AD1163)+1,""))</f>
        <v/>
      </c>
      <c r="AE1164" s="40" t="str">
        <f aca="false">IF($B1164="","",IF(AND(OR(KARTU!$K$6="",$F1164=KARTU!$K$6),OR(KARTU!$K$7="",$G1164=KARTU!$K$7),OR(KARTU!$K$8="",$P1164=KARTU!$K$8)),MAX($AE$3:AE1163)+1,""))</f>
        <v/>
      </c>
    </row>
    <row r="1165" customFormat="false" ht="15" hidden="false" customHeight="false" outlineLevel="0" collapsed="false">
      <c r="A1165" s="35" t="str">
        <f aca="false">IF($B1165="","",COUNTA($B$4:$B1165))</f>
        <v/>
      </c>
      <c r="B1165" s="36"/>
      <c r="C1165" s="37"/>
      <c r="D1165" s="37"/>
      <c r="E1165" s="38"/>
      <c r="F1165" s="36"/>
      <c r="G1165" s="39"/>
      <c r="H1165" s="39"/>
      <c r="I1165" s="36"/>
      <c r="J1165" s="36"/>
      <c r="K1165" s="36"/>
      <c r="L1165" s="36"/>
      <c r="M1165" s="40" t="str">
        <f aca="false">IF($F1165="","",$F1165&amp;IF($G1165="",""," - RT "&amp;$G1165&amp;IF($H1165="","","/"&amp;$H1165)))</f>
        <v/>
      </c>
      <c r="N1165" s="36"/>
      <c r="O1165" s="37"/>
      <c r="P1165" s="39"/>
      <c r="Q1165" s="41"/>
      <c r="R1165" s="35" t="str">
        <f aca="true">IF(OR($B1165="",$Q1165=""),"",DATEDIF($Q1165,TODAY(),"Y"))</f>
        <v/>
      </c>
      <c r="S1165" s="40" t="str">
        <f aca="false">IF($R1165="","",INDEX(usia_label,MATCH($R1165,usia_min,1)))</f>
        <v/>
      </c>
      <c r="T1165" s="36"/>
      <c r="U1165" s="41"/>
      <c r="V1165" s="36"/>
      <c r="W1165" s="36"/>
      <c r="X1165" s="40" t="str">
        <f aca="false">IF($M1165="","",$M1165&amp;"#"&amp;COUNTIF($M$4:$M1165,$M1165))</f>
        <v/>
      </c>
      <c r="Y1165" s="40" t="str">
        <f aca="false">IF($B1165="","",IF($C1165="","NIK kosong",IF(LEN($C1165)&lt;&gt;16,"NIK bukan 16 digit",IF(COUNTIF($C$4:$C$2003,$C1165&amp;"*")&gt;1,"NIK ganda",IF(AND($D1165&lt;&gt;"",LEN($D1165)&lt;&gt;16),"No. KK bukan 16 digit",IF(AND($F1165="",$I1165=""),"Alamat kosong",IF($N1165="","Jabatan kosong",IF($O1165="","No. HP kosong",IF(AND($R1165&lt;&gt;"",$R1165&lt;17),"Usia di bawah 17","")))))))))</f>
        <v/>
      </c>
      <c r="Z1165" s="40" t="str">
        <f aca="false">IF($B1165="","",IF(AND(OR(CARI!$C$5="",ISNUMBER(SEARCH(CARI!$C$5,$B1165&amp;" "&amp;$C1165&amp;" "&amp;$D1165&amp;" "&amp;$O1165&amp;" "&amp;$I1165&amp;" "&amp;$F1165&amp;" "&amp;$J1165&amp;" "&amp;$K1165&amp;" "&amp;$L1165&amp;" "&amp;$V1165))),OR(CARI!$C$6="",$F1165=CARI!$C$6),OR(CARI!$C$7="",$G1165=CARI!$C$7),OR(CARI!$C$8="",$T1165=CARI!$C$8)),MAX($Z$3:Z1164)+1,""))</f>
        <v/>
      </c>
      <c r="AA1165" s="40" t="str">
        <f aca="false">IF($Y1165="","",MAX($AA$3:AA1164)+1)</f>
        <v/>
      </c>
      <c r="AB1165" s="40" t="str">
        <f aca="false">IF($F1165="","",$F1165&amp;"#"&amp;COUNTIF($F$4:$F1165,$F1165))</f>
        <v/>
      </c>
      <c r="AC1165" s="40" t="str">
        <f aca="false">IF($B1165="","",IF(AND(OR(CETAK!$J$10="",$F1165=CETAK!$J$10),OR(CETAK!$J$11="",$G1165=CETAK!$J$11),OR(CETAK!$J$12="",$P1165=CETAK!$J$12),OR(CETAK!$J$13="",$N1165=CETAK!$J$13),OR(CETAK!$J$14="",$T1165=CETAK!$J$14)),MAX($AC$3:AC1164)+1,""))</f>
        <v/>
      </c>
      <c r="AD1165" s="40" t="str">
        <f aca="false">IF($B1165="","",IF(AND(OR(ABSENSI!$H$10="",$F1165=ABSENSI!$H$10),OR(ABSENSI!$H$11="",$G1165=ABSENSI!$H$11),OR(ABSENSI!$H$12="",$P1165=ABSENSI!$H$12)),MAX($AD$3:AD1164)+1,""))</f>
        <v/>
      </c>
      <c r="AE1165" s="40" t="str">
        <f aca="false">IF($B1165="","",IF(AND(OR(KARTU!$K$6="",$F1165=KARTU!$K$6),OR(KARTU!$K$7="",$G1165=KARTU!$K$7),OR(KARTU!$K$8="",$P1165=KARTU!$K$8)),MAX($AE$3:AE1164)+1,""))</f>
        <v/>
      </c>
    </row>
    <row r="1166" customFormat="false" ht="15" hidden="false" customHeight="false" outlineLevel="0" collapsed="false">
      <c r="A1166" s="35" t="str">
        <f aca="false">IF($B1166="","",COUNTA($B$4:$B1166))</f>
        <v/>
      </c>
      <c r="B1166" s="36"/>
      <c r="C1166" s="37"/>
      <c r="D1166" s="37"/>
      <c r="E1166" s="38"/>
      <c r="F1166" s="36"/>
      <c r="G1166" s="39"/>
      <c r="H1166" s="39"/>
      <c r="I1166" s="36"/>
      <c r="J1166" s="36"/>
      <c r="K1166" s="36"/>
      <c r="L1166" s="36"/>
      <c r="M1166" s="40" t="str">
        <f aca="false">IF($F1166="","",$F1166&amp;IF($G1166="",""," - RT "&amp;$G1166&amp;IF($H1166="","","/"&amp;$H1166)))</f>
        <v/>
      </c>
      <c r="N1166" s="36"/>
      <c r="O1166" s="37"/>
      <c r="P1166" s="39"/>
      <c r="Q1166" s="41"/>
      <c r="R1166" s="35" t="str">
        <f aca="true">IF(OR($B1166="",$Q1166=""),"",DATEDIF($Q1166,TODAY(),"Y"))</f>
        <v/>
      </c>
      <c r="S1166" s="40" t="str">
        <f aca="false">IF($R1166="","",INDEX(usia_label,MATCH($R1166,usia_min,1)))</f>
        <v/>
      </c>
      <c r="T1166" s="36"/>
      <c r="U1166" s="41"/>
      <c r="V1166" s="36"/>
      <c r="W1166" s="36"/>
      <c r="X1166" s="40" t="str">
        <f aca="false">IF($M1166="","",$M1166&amp;"#"&amp;COUNTIF($M$4:$M1166,$M1166))</f>
        <v/>
      </c>
      <c r="Y1166" s="40" t="str">
        <f aca="false">IF($B1166="","",IF($C1166="","NIK kosong",IF(LEN($C1166)&lt;&gt;16,"NIK bukan 16 digit",IF(COUNTIF($C$4:$C$2003,$C1166&amp;"*")&gt;1,"NIK ganda",IF(AND($D1166&lt;&gt;"",LEN($D1166)&lt;&gt;16),"No. KK bukan 16 digit",IF(AND($F1166="",$I1166=""),"Alamat kosong",IF($N1166="","Jabatan kosong",IF($O1166="","No. HP kosong",IF(AND($R1166&lt;&gt;"",$R1166&lt;17),"Usia di bawah 17","")))))))))</f>
        <v/>
      </c>
      <c r="Z1166" s="40" t="str">
        <f aca="false">IF($B1166="","",IF(AND(OR(CARI!$C$5="",ISNUMBER(SEARCH(CARI!$C$5,$B1166&amp;" "&amp;$C1166&amp;" "&amp;$D1166&amp;" "&amp;$O1166&amp;" "&amp;$I1166&amp;" "&amp;$F1166&amp;" "&amp;$J1166&amp;" "&amp;$K1166&amp;" "&amp;$L1166&amp;" "&amp;$V1166))),OR(CARI!$C$6="",$F1166=CARI!$C$6),OR(CARI!$C$7="",$G1166=CARI!$C$7),OR(CARI!$C$8="",$T1166=CARI!$C$8)),MAX($Z$3:Z1165)+1,""))</f>
        <v/>
      </c>
      <c r="AA1166" s="40" t="str">
        <f aca="false">IF($Y1166="","",MAX($AA$3:AA1165)+1)</f>
        <v/>
      </c>
      <c r="AB1166" s="40" t="str">
        <f aca="false">IF($F1166="","",$F1166&amp;"#"&amp;COUNTIF($F$4:$F1166,$F1166))</f>
        <v/>
      </c>
      <c r="AC1166" s="40" t="str">
        <f aca="false">IF($B1166="","",IF(AND(OR(CETAK!$J$10="",$F1166=CETAK!$J$10),OR(CETAK!$J$11="",$G1166=CETAK!$J$11),OR(CETAK!$J$12="",$P1166=CETAK!$J$12),OR(CETAK!$J$13="",$N1166=CETAK!$J$13),OR(CETAK!$J$14="",$T1166=CETAK!$J$14)),MAX($AC$3:AC1165)+1,""))</f>
        <v/>
      </c>
      <c r="AD1166" s="40" t="str">
        <f aca="false">IF($B1166="","",IF(AND(OR(ABSENSI!$H$10="",$F1166=ABSENSI!$H$10),OR(ABSENSI!$H$11="",$G1166=ABSENSI!$H$11),OR(ABSENSI!$H$12="",$P1166=ABSENSI!$H$12)),MAX($AD$3:AD1165)+1,""))</f>
        <v/>
      </c>
      <c r="AE1166" s="40" t="str">
        <f aca="false">IF($B1166="","",IF(AND(OR(KARTU!$K$6="",$F1166=KARTU!$K$6),OR(KARTU!$K$7="",$G1166=KARTU!$K$7),OR(KARTU!$K$8="",$P1166=KARTU!$K$8)),MAX($AE$3:AE1165)+1,""))</f>
        <v/>
      </c>
    </row>
    <row r="1167" customFormat="false" ht="15" hidden="false" customHeight="false" outlineLevel="0" collapsed="false">
      <c r="A1167" s="35" t="str">
        <f aca="false">IF($B1167="","",COUNTA($B$4:$B1167))</f>
        <v/>
      </c>
      <c r="B1167" s="36"/>
      <c r="C1167" s="37"/>
      <c r="D1167" s="37"/>
      <c r="E1167" s="38"/>
      <c r="F1167" s="36"/>
      <c r="G1167" s="39"/>
      <c r="H1167" s="39"/>
      <c r="I1167" s="36"/>
      <c r="J1167" s="36"/>
      <c r="K1167" s="36"/>
      <c r="L1167" s="36"/>
      <c r="M1167" s="40" t="str">
        <f aca="false">IF($F1167="","",$F1167&amp;IF($G1167="",""," - RT "&amp;$G1167&amp;IF($H1167="","","/"&amp;$H1167)))</f>
        <v/>
      </c>
      <c r="N1167" s="36"/>
      <c r="O1167" s="37"/>
      <c r="P1167" s="39"/>
      <c r="Q1167" s="41"/>
      <c r="R1167" s="35" t="str">
        <f aca="true">IF(OR($B1167="",$Q1167=""),"",DATEDIF($Q1167,TODAY(),"Y"))</f>
        <v/>
      </c>
      <c r="S1167" s="40" t="str">
        <f aca="false">IF($R1167="","",INDEX(usia_label,MATCH($R1167,usia_min,1)))</f>
        <v/>
      </c>
      <c r="T1167" s="36"/>
      <c r="U1167" s="41"/>
      <c r="V1167" s="36"/>
      <c r="W1167" s="36"/>
      <c r="X1167" s="40" t="str">
        <f aca="false">IF($M1167="","",$M1167&amp;"#"&amp;COUNTIF($M$4:$M1167,$M1167))</f>
        <v/>
      </c>
      <c r="Y1167" s="40" t="str">
        <f aca="false">IF($B1167="","",IF($C1167="","NIK kosong",IF(LEN($C1167)&lt;&gt;16,"NIK bukan 16 digit",IF(COUNTIF($C$4:$C$2003,$C1167&amp;"*")&gt;1,"NIK ganda",IF(AND($D1167&lt;&gt;"",LEN($D1167)&lt;&gt;16),"No. KK bukan 16 digit",IF(AND($F1167="",$I1167=""),"Alamat kosong",IF($N1167="","Jabatan kosong",IF($O1167="","No. HP kosong",IF(AND($R1167&lt;&gt;"",$R1167&lt;17),"Usia di bawah 17","")))))))))</f>
        <v/>
      </c>
      <c r="Z1167" s="40" t="str">
        <f aca="false">IF($B1167="","",IF(AND(OR(CARI!$C$5="",ISNUMBER(SEARCH(CARI!$C$5,$B1167&amp;" "&amp;$C1167&amp;" "&amp;$D1167&amp;" "&amp;$O1167&amp;" "&amp;$I1167&amp;" "&amp;$F1167&amp;" "&amp;$J1167&amp;" "&amp;$K1167&amp;" "&amp;$L1167&amp;" "&amp;$V1167))),OR(CARI!$C$6="",$F1167=CARI!$C$6),OR(CARI!$C$7="",$G1167=CARI!$C$7),OR(CARI!$C$8="",$T1167=CARI!$C$8)),MAX($Z$3:Z1166)+1,""))</f>
        <v/>
      </c>
      <c r="AA1167" s="40" t="str">
        <f aca="false">IF($Y1167="","",MAX($AA$3:AA1166)+1)</f>
        <v/>
      </c>
      <c r="AB1167" s="40" t="str">
        <f aca="false">IF($F1167="","",$F1167&amp;"#"&amp;COUNTIF($F$4:$F1167,$F1167))</f>
        <v/>
      </c>
      <c r="AC1167" s="40" t="str">
        <f aca="false">IF($B1167="","",IF(AND(OR(CETAK!$J$10="",$F1167=CETAK!$J$10),OR(CETAK!$J$11="",$G1167=CETAK!$J$11),OR(CETAK!$J$12="",$P1167=CETAK!$J$12),OR(CETAK!$J$13="",$N1167=CETAK!$J$13),OR(CETAK!$J$14="",$T1167=CETAK!$J$14)),MAX($AC$3:AC1166)+1,""))</f>
        <v/>
      </c>
      <c r="AD1167" s="40" t="str">
        <f aca="false">IF($B1167="","",IF(AND(OR(ABSENSI!$H$10="",$F1167=ABSENSI!$H$10),OR(ABSENSI!$H$11="",$G1167=ABSENSI!$H$11),OR(ABSENSI!$H$12="",$P1167=ABSENSI!$H$12)),MAX($AD$3:AD1166)+1,""))</f>
        <v/>
      </c>
      <c r="AE1167" s="40" t="str">
        <f aca="false">IF($B1167="","",IF(AND(OR(KARTU!$K$6="",$F1167=KARTU!$K$6),OR(KARTU!$K$7="",$G1167=KARTU!$K$7),OR(KARTU!$K$8="",$P1167=KARTU!$K$8)),MAX($AE$3:AE1166)+1,""))</f>
        <v/>
      </c>
    </row>
    <row r="1168" customFormat="false" ht="15" hidden="false" customHeight="false" outlineLevel="0" collapsed="false">
      <c r="A1168" s="35" t="str">
        <f aca="false">IF($B1168="","",COUNTA($B$4:$B1168))</f>
        <v/>
      </c>
      <c r="B1168" s="36"/>
      <c r="C1168" s="37"/>
      <c r="D1168" s="37"/>
      <c r="E1168" s="38"/>
      <c r="F1168" s="36"/>
      <c r="G1168" s="39"/>
      <c r="H1168" s="39"/>
      <c r="I1168" s="36"/>
      <c r="J1168" s="36"/>
      <c r="K1168" s="36"/>
      <c r="L1168" s="36"/>
      <c r="M1168" s="40" t="str">
        <f aca="false">IF($F1168="","",$F1168&amp;IF($G1168="",""," - RT "&amp;$G1168&amp;IF($H1168="","","/"&amp;$H1168)))</f>
        <v/>
      </c>
      <c r="N1168" s="36"/>
      <c r="O1168" s="37"/>
      <c r="P1168" s="39"/>
      <c r="Q1168" s="41"/>
      <c r="R1168" s="35" t="str">
        <f aca="true">IF(OR($B1168="",$Q1168=""),"",DATEDIF($Q1168,TODAY(),"Y"))</f>
        <v/>
      </c>
      <c r="S1168" s="40" t="str">
        <f aca="false">IF($R1168="","",INDEX(usia_label,MATCH($R1168,usia_min,1)))</f>
        <v/>
      </c>
      <c r="T1168" s="36"/>
      <c r="U1168" s="41"/>
      <c r="V1168" s="36"/>
      <c r="W1168" s="36"/>
      <c r="X1168" s="40" t="str">
        <f aca="false">IF($M1168="","",$M1168&amp;"#"&amp;COUNTIF($M$4:$M1168,$M1168))</f>
        <v/>
      </c>
      <c r="Y1168" s="40" t="str">
        <f aca="false">IF($B1168="","",IF($C1168="","NIK kosong",IF(LEN($C1168)&lt;&gt;16,"NIK bukan 16 digit",IF(COUNTIF($C$4:$C$2003,$C1168&amp;"*")&gt;1,"NIK ganda",IF(AND($D1168&lt;&gt;"",LEN($D1168)&lt;&gt;16),"No. KK bukan 16 digit",IF(AND($F1168="",$I1168=""),"Alamat kosong",IF($N1168="","Jabatan kosong",IF($O1168="","No. HP kosong",IF(AND($R1168&lt;&gt;"",$R1168&lt;17),"Usia di bawah 17","")))))))))</f>
        <v/>
      </c>
      <c r="Z1168" s="40" t="str">
        <f aca="false">IF($B1168="","",IF(AND(OR(CARI!$C$5="",ISNUMBER(SEARCH(CARI!$C$5,$B1168&amp;" "&amp;$C1168&amp;" "&amp;$D1168&amp;" "&amp;$O1168&amp;" "&amp;$I1168&amp;" "&amp;$F1168&amp;" "&amp;$J1168&amp;" "&amp;$K1168&amp;" "&amp;$L1168&amp;" "&amp;$V1168))),OR(CARI!$C$6="",$F1168=CARI!$C$6),OR(CARI!$C$7="",$G1168=CARI!$C$7),OR(CARI!$C$8="",$T1168=CARI!$C$8)),MAX($Z$3:Z1167)+1,""))</f>
        <v/>
      </c>
      <c r="AA1168" s="40" t="str">
        <f aca="false">IF($Y1168="","",MAX($AA$3:AA1167)+1)</f>
        <v/>
      </c>
      <c r="AB1168" s="40" t="str">
        <f aca="false">IF($F1168="","",$F1168&amp;"#"&amp;COUNTIF($F$4:$F1168,$F1168))</f>
        <v/>
      </c>
      <c r="AC1168" s="40" t="str">
        <f aca="false">IF($B1168="","",IF(AND(OR(CETAK!$J$10="",$F1168=CETAK!$J$10),OR(CETAK!$J$11="",$G1168=CETAK!$J$11),OR(CETAK!$J$12="",$P1168=CETAK!$J$12),OR(CETAK!$J$13="",$N1168=CETAK!$J$13),OR(CETAK!$J$14="",$T1168=CETAK!$J$14)),MAX($AC$3:AC1167)+1,""))</f>
        <v/>
      </c>
      <c r="AD1168" s="40" t="str">
        <f aca="false">IF($B1168="","",IF(AND(OR(ABSENSI!$H$10="",$F1168=ABSENSI!$H$10),OR(ABSENSI!$H$11="",$G1168=ABSENSI!$H$11),OR(ABSENSI!$H$12="",$P1168=ABSENSI!$H$12)),MAX($AD$3:AD1167)+1,""))</f>
        <v/>
      </c>
      <c r="AE1168" s="40" t="str">
        <f aca="false">IF($B1168="","",IF(AND(OR(KARTU!$K$6="",$F1168=KARTU!$K$6),OR(KARTU!$K$7="",$G1168=KARTU!$K$7),OR(KARTU!$K$8="",$P1168=KARTU!$K$8)),MAX($AE$3:AE1167)+1,""))</f>
        <v/>
      </c>
    </row>
    <row r="1169" customFormat="false" ht="15" hidden="false" customHeight="false" outlineLevel="0" collapsed="false">
      <c r="A1169" s="35" t="str">
        <f aca="false">IF($B1169="","",COUNTA($B$4:$B1169))</f>
        <v/>
      </c>
      <c r="B1169" s="36"/>
      <c r="C1169" s="37"/>
      <c r="D1169" s="37"/>
      <c r="E1169" s="38"/>
      <c r="F1169" s="36"/>
      <c r="G1169" s="39"/>
      <c r="H1169" s="39"/>
      <c r="I1169" s="36"/>
      <c r="J1169" s="36"/>
      <c r="K1169" s="36"/>
      <c r="L1169" s="36"/>
      <c r="M1169" s="40" t="str">
        <f aca="false">IF($F1169="","",$F1169&amp;IF($G1169="",""," - RT "&amp;$G1169&amp;IF($H1169="","","/"&amp;$H1169)))</f>
        <v/>
      </c>
      <c r="N1169" s="36"/>
      <c r="O1169" s="37"/>
      <c r="P1169" s="39"/>
      <c r="Q1169" s="41"/>
      <c r="R1169" s="35" t="str">
        <f aca="true">IF(OR($B1169="",$Q1169=""),"",DATEDIF($Q1169,TODAY(),"Y"))</f>
        <v/>
      </c>
      <c r="S1169" s="40" t="str">
        <f aca="false">IF($R1169="","",INDEX(usia_label,MATCH($R1169,usia_min,1)))</f>
        <v/>
      </c>
      <c r="T1169" s="36"/>
      <c r="U1169" s="41"/>
      <c r="V1169" s="36"/>
      <c r="W1169" s="36"/>
      <c r="X1169" s="40" t="str">
        <f aca="false">IF($M1169="","",$M1169&amp;"#"&amp;COUNTIF($M$4:$M1169,$M1169))</f>
        <v/>
      </c>
      <c r="Y1169" s="40" t="str">
        <f aca="false">IF($B1169="","",IF($C1169="","NIK kosong",IF(LEN($C1169)&lt;&gt;16,"NIK bukan 16 digit",IF(COUNTIF($C$4:$C$2003,$C1169&amp;"*")&gt;1,"NIK ganda",IF(AND($D1169&lt;&gt;"",LEN($D1169)&lt;&gt;16),"No. KK bukan 16 digit",IF(AND($F1169="",$I1169=""),"Alamat kosong",IF($N1169="","Jabatan kosong",IF($O1169="","No. HP kosong",IF(AND($R1169&lt;&gt;"",$R1169&lt;17),"Usia di bawah 17","")))))))))</f>
        <v/>
      </c>
      <c r="Z1169" s="40" t="str">
        <f aca="false">IF($B1169="","",IF(AND(OR(CARI!$C$5="",ISNUMBER(SEARCH(CARI!$C$5,$B1169&amp;" "&amp;$C1169&amp;" "&amp;$D1169&amp;" "&amp;$O1169&amp;" "&amp;$I1169&amp;" "&amp;$F1169&amp;" "&amp;$J1169&amp;" "&amp;$K1169&amp;" "&amp;$L1169&amp;" "&amp;$V1169))),OR(CARI!$C$6="",$F1169=CARI!$C$6),OR(CARI!$C$7="",$G1169=CARI!$C$7),OR(CARI!$C$8="",$T1169=CARI!$C$8)),MAX($Z$3:Z1168)+1,""))</f>
        <v/>
      </c>
      <c r="AA1169" s="40" t="str">
        <f aca="false">IF($Y1169="","",MAX($AA$3:AA1168)+1)</f>
        <v/>
      </c>
      <c r="AB1169" s="40" t="str">
        <f aca="false">IF($F1169="","",$F1169&amp;"#"&amp;COUNTIF($F$4:$F1169,$F1169))</f>
        <v/>
      </c>
      <c r="AC1169" s="40" t="str">
        <f aca="false">IF($B1169="","",IF(AND(OR(CETAK!$J$10="",$F1169=CETAK!$J$10),OR(CETAK!$J$11="",$G1169=CETAK!$J$11),OR(CETAK!$J$12="",$P1169=CETAK!$J$12),OR(CETAK!$J$13="",$N1169=CETAK!$J$13),OR(CETAK!$J$14="",$T1169=CETAK!$J$14)),MAX($AC$3:AC1168)+1,""))</f>
        <v/>
      </c>
      <c r="AD1169" s="40" t="str">
        <f aca="false">IF($B1169="","",IF(AND(OR(ABSENSI!$H$10="",$F1169=ABSENSI!$H$10),OR(ABSENSI!$H$11="",$G1169=ABSENSI!$H$11),OR(ABSENSI!$H$12="",$P1169=ABSENSI!$H$12)),MAX($AD$3:AD1168)+1,""))</f>
        <v/>
      </c>
      <c r="AE1169" s="40" t="str">
        <f aca="false">IF($B1169="","",IF(AND(OR(KARTU!$K$6="",$F1169=KARTU!$K$6),OR(KARTU!$K$7="",$G1169=KARTU!$K$7),OR(KARTU!$K$8="",$P1169=KARTU!$K$8)),MAX($AE$3:AE1168)+1,""))</f>
        <v/>
      </c>
    </row>
    <row r="1170" customFormat="false" ht="15" hidden="false" customHeight="false" outlineLevel="0" collapsed="false">
      <c r="A1170" s="35" t="str">
        <f aca="false">IF($B1170="","",COUNTA($B$4:$B1170))</f>
        <v/>
      </c>
      <c r="B1170" s="36"/>
      <c r="C1170" s="37"/>
      <c r="D1170" s="37"/>
      <c r="E1170" s="38"/>
      <c r="F1170" s="36"/>
      <c r="G1170" s="39"/>
      <c r="H1170" s="39"/>
      <c r="I1170" s="36"/>
      <c r="J1170" s="36"/>
      <c r="K1170" s="36"/>
      <c r="L1170" s="36"/>
      <c r="M1170" s="40" t="str">
        <f aca="false">IF($F1170="","",$F1170&amp;IF($G1170="",""," - RT "&amp;$G1170&amp;IF($H1170="","","/"&amp;$H1170)))</f>
        <v/>
      </c>
      <c r="N1170" s="36"/>
      <c r="O1170" s="37"/>
      <c r="P1170" s="39"/>
      <c r="Q1170" s="41"/>
      <c r="R1170" s="35" t="str">
        <f aca="true">IF(OR($B1170="",$Q1170=""),"",DATEDIF($Q1170,TODAY(),"Y"))</f>
        <v/>
      </c>
      <c r="S1170" s="40" t="str">
        <f aca="false">IF($R1170="","",INDEX(usia_label,MATCH($R1170,usia_min,1)))</f>
        <v/>
      </c>
      <c r="T1170" s="36"/>
      <c r="U1170" s="41"/>
      <c r="V1170" s="36"/>
      <c r="W1170" s="36"/>
      <c r="X1170" s="40" t="str">
        <f aca="false">IF($M1170="","",$M1170&amp;"#"&amp;COUNTIF($M$4:$M1170,$M1170))</f>
        <v/>
      </c>
      <c r="Y1170" s="40" t="str">
        <f aca="false">IF($B1170="","",IF($C1170="","NIK kosong",IF(LEN($C1170)&lt;&gt;16,"NIK bukan 16 digit",IF(COUNTIF($C$4:$C$2003,$C1170&amp;"*")&gt;1,"NIK ganda",IF(AND($D1170&lt;&gt;"",LEN($D1170)&lt;&gt;16),"No. KK bukan 16 digit",IF(AND($F1170="",$I1170=""),"Alamat kosong",IF($N1170="","Jabatan kosong",IF($O1170="","No. HP kosong",IF(AND($R1170&lt;&gt;"",$R1170&lt;17),"Usia di bawah 17","")))))))))</f>
        <v/>
      </c>
      <c r="Z1170" s="40" t="str">
        <f aca="false">IF($B1170="","",IF(AND(OR(CARI!$C$5="",ISNUMBER(SEARCH(CARI!$C$5,$B1170&amp;" "&amp;$C1170&amp;" "&amp;$D1170&amp;" "&amp;$O1170&amp;" "&amp;$I1170&amp;" "&amp;$F1170&amp;" "&amp;$J1170&amp;" "&amp;$K1170&amp;" "&amp;$L1170&amp;" "&amp;$V1170))),OR(CARI!$C$6="",$F1170=CARI!$C$6),OR(CARI!$C$7="",$G1170=CARI!$C$7),OR(CARI!$C$8="",$T1170=CARI!$C$8)),MAX($Z$3:Z1169)+1,""))</f>
        <v/>
      </c>
      <c r="AA1170" s="40" t="str">
        <f aca="false">IF($Y1170="","",MAX($AA$3:AA1169)+1)</f>
        <v/>
      </c>
      <c r="AB1170" s="40" t="str">
        <f aca="false">IF($F1170="","",$F1170&amp;"#"&amp;COUNTIF($F$4:$F1170,$F1170))</f>
        <v/>
      </c>
      <c r="AC1170" s="40" t="str">
        <f aca="false">IF($B1170="","",IF(AND(OR(CETAK!$J$10="",$F1170=CETAK!$J$10),OR(CETAK!$J$11="",$G1170=CETAK!$J$11),OR(CETAK!$J$12="",$P1170=CETAK!$J$12),OR(CETAK!$J$13="",$N1170=CETAK!$J$13),OR(CETAK!$J$14="",$T1170=CETAK!$J$14)),MAX($AC$3:AC1169)+1,""))</f>
        <v/>
      </c>
      <c r="AD1170" s="40" t="str">
        <f aca="false">IF($B1170="","",IF(AND(OR(ABSENSI!$H$10="",$F1170=ABSENSI!$H$10),OR(ABSENSI!$H$11="",$G1170=ABSENSI!$H$11),OR(ABSENSI!$H$12="",$P1170=ABSENSI!$H$12)),MAX($AD$3:AD1169)+1,""))</f>
        <v/>
      </c>
      <c r="AE1170" s="40" t="str">
        <f aca="false">IF($B1170="","",IF(AND(OR(KARTU!$K$6="",$F1170=KARTU!$K$6),OR(KARTU!$K$7="",$G1170=KARTU!$K$7),OR(KARTU!$K$8="",$P1170=KARTU!$K$8)),MAX($AE$3:AE1169)+1,""))</f>
        <v/>
      </c>
    </row>
    <row r="1171" customFormat="false" ht="15" hidden="false" customHeight="false" outlineLevel="0" collapsed="false">
      <c r="A1171" s="35" t="str">
        <f aca="false">IF($B1171="","",COUNTA($B$4:$B1171))</f>
        <v/>
      </c>
      <c r="B1171" s="36"/>
      <c r="C1171" s="37"/>
      <c r="D1171" s="37"/>
      <c r="E1171" s="38"/>
      <c r="F1171" s="36"/>
      <c r="G1171" s="39"/>
      <c r="H1171" s="39"/>
      <c r="I1171" s="36"/>
      <c r="J1171" s="36"/>
      <c r="K1171" s="36"/>
      <c r="L1171" s="36"/>
      <c r="M1171" s="40" t="str">
        <f aca="false">IF($F1171="","",$F1171&amp;IF($G1171="",""," - RT "&amp;$G1171&amp;IF($H1171="","","/"&amp;$H1171)))</f>
        <v/>
      </c>
      <c r="N1171" s="36"/>
      <c r="O1171" s="37"/>
      <c r="P1171" s="39"/>
      <c r="Q1171" s="41"/>
      <c r="R1171" s="35" t="str">
        <f aca="true">IF(OR($B1171="",$Q1171=""),"",DATEDIF($Q1171,TODAY(),"Y"))</f>
        <v/>
      </c>
      <c r="S1171" s="40" t="str">
        <f aca="false">IF($R1171="","",INDEX(usia_label,MATCH($R1171,usia_min,1)))</f>
        <v/>
      </c>
      <c r="T1171" s="36"/>
      <c r="U1171" s="41"/>
      <c r="V1171" s="36"/>
      <c r="W1171" s="36"/>
      <c r="X1171" s="40" t="str">
        <f aca="false">IF($M1171="","",$M1171&amp;"#"&amp;COUNTIF($M$4:$M1171,$M1171))</f>
        <v/>
      </c>
      <c r="Y1171" s="40" t="str">
        <f aca="false">IF($B1171="","",IF($C1171="","NIK kosong",IF(LEN($C1171)&lt;&gt;16,"NIK bukan 16 digit",IF(COUNTIF($C$4:$C$2003,$C1171&amp;"*")&gt;1,"NIK ganda",IF(AND($D1171&lt;&gt;"",LEN($D1171)&lt;&gt;16),"No. KK bukan 16 digit",IF(AND($F1171="",$I1171=""),"Alamat kosong",IF($N1171="","Jabatan kosong",IF($O1171="","No. HP kosong",IF(AND($R1171&lt;&gt;"",$R1171&lt;17),"Usia di bawah 17","")))))))))</f>
        <v/>
      </c>
      <c r="Z1171" s="40" t="str">
        <f aca="false">IF($B1171="","",IF(AND(OR(CARI!$C$5="",ISNUMBER(SEARCH(CARI!$C$5,$B1171&amp;" "&amp;$C1171&amp;" "&amp;$D1171&amp;" "&amp;$O1171&amp;" "&amp;$I1171&amp;" "&amp;$F1171&amp;" "&amp;$J1171&amp;" "&amp;$K1171&amp;" "&amp;$L1171&amp;" "&amp;$V1171))),OR(CARI!$C$6="",$F1171=CARI!$C$6),OR(CARI!$C$7="",$G1171=CARI!$C$7),OR(CARI!$C$8="",$T1171=CARI!$C$8)),MAX($Z$3:Z1170)+1,""))</f>
        <v/>
      </c>
      <c r="AA1171" s="40" t="str">
        <f aca="false">IF($Y1171="","",MAX($AA$3:AA1170)+1)</f>
        <v/>
      </c>
      <c r="AB1171" s="40" t="str">
        <f aca="false">IF($F1171="","",$F1171&amp;"#"&amp;COUNTIF($F$4:$F1171,$F1171))</f>
        <v/>
      </c>
      <c r="AC1171" s="40" t="str">
        <f aca="false">IF($B1171="","",IF(AND(OR(CETAK!$J$10="",$F1171=CETAK!$J$10),OR(CETAK!$J$11="",$G1171=CETAK!$J$11),OR(CETAK!$J$12="",$P1171=CETAK!$J$12),OR(CETAK!$J$13="",$N1171=CETAK!$J$13),OR(CETAK!$J$14="",$T1171=CETAK!$J$14)),MAX($AC$3:AC1170)+1,""))</f>
        <v/>
      </c>
      <c r="AD1171" s="40" t="str">
        <f aca="false">IF($B1171="","",IF(AND(OR(ABSENSI!$H$10="",$F1171=ABSENSI!$H$10),OR(ABSENSI!$H$11="",$G1171=ABSENSI!$H$11),OR(ABSENSI!$H$12="",$P1171=ABSENSI!$H$12)),MAX($AD$3:AD1170)+1,""))</f>
        <v/>
      </c>
      <c r="AE1171" s="40" t="str">
        <f aca="false">IF($B1171="","",IF(AND(OR(KARTU!$K$6="",$F1171=KARTU!$K$6),OR(KARTU!$K$7="",$G1171=KARTU!$K$7),OR(KARTU!$K$8="",$P1171=KARTU!$K$8)),MAX($AE$3:AE1170)+1,""))</f>
        <v/>
      </c>
    </row>
    <row r="1172" customFormat="false" ht="15" hidden="false" customHeight="false" outlineLevel="0" collapsed="false">
      <c r="A1172" s="35" t="str">
        <f aca="false">IF($B1172="","",COUNTA($B$4:$B1172))</f>
        <v/>
      </c>
      <c r="B1172" s="36"/>
      <c r="C1172" s="37"/>
      <c r="D1172" s="37"/>
      <c r="E1172" s="38"/>
      <c r="F1172" s="36"/>
      <c r="G1172" s="39"/>
      <c r="H1172" s="39"/>
      <c r="I1172" s="36"/>
      <c r="J1172" s="36"/>
      <c r="K1172" s="36"/>
      <c r="L1172" s="36"/>
      <c r="M1172" s="40" t="str">
        <f aca="false">IF($F1172="","",$F1172&amp;IF($G1172="",""," - RT "&amp;$G1172&amp;IF($H1172="","","/"&amp;$H1172)))</f>
        <v/>
      </c>
      <c r="N1172" s="36"/>
      <c r="O1172" s="37"/>
      <c r="P1172" s="39"/>
      <c r="Q1172" s="41"/>
      <c r="R1172" s="35" t="str">
        <f aca="true">IF(OR($B1172="",$Q1172=""),"",DATEDIF($Q1172,TODAY(),"Y"))</f>
        <v/>
      </c>
      <c r="S1172" s="40" t="str">
        <f aca="false">IF($R1172="","",INDEX(usia_label,MATCH($R1172,usia_min,1)))</f>
        <v/>
      </c>
      <c r="T1172" s="36"/>
      <c r="U1172" s="41"/>
      <c r="V1172" s="36"/>
      <c r="W1172" s="36"/>
      <c r="X1172" s="40" t="str">
        <f aca="false">IF($M1172="","",$M1172&amp;"#"&amp;COUNTIF($M$4:$M1172,$M1172))</f>
        <v/>
      </c>
      <c r="Y1172" s="40" t="str">
        <f aca="false">IF($B1172="","",IF($C1172="","NIK kosong",IF(LEN($C1172)&lt;&gt;16,"NIK bukan 16 digit",IF(COUNTIF($C$4:$C$2003,$C1172&amp;"*")&gt;1,"NIK ganda",IF(AND($D1172&lt;&gt;"",LEN($D1172)&lt;&gt;16),"No. KK bukan 16 digit",IF(AND($F1172="",$I1172=""),"Alamat kosong",IF($N1172="","Jabatan kosong",IF($O1172="","No. HP kosong",IF(AND($R1172&lt;&gt;"",$R1172&lt;17),"Usia di bawah 17","")))))))))</f>
        <v/>
      </c>
      <c r="Z1172" s="40" t="str">
        <f aca="false">IF($B1172="","",IF(AND(OR(CARI!$C$5="",ISNUMBER(SEARCH(CARI!$C$5,$B1172&amp;" "&amp;$C1172&amp;" "&amp;$D1172&amp;" "&amp;$O1172&amp;" "&amp;$I1172&amp;" "&amp;$F1172&amp;" "&amp;$J1172&amp;" "&amp;$K1172&amp;" "&amp;$L1172&amp;" "&amp;$V1172))),OR(CARI!$C$6="",$F1172=CARI!$C$6),OR(CARI!$C$7="",$G1172=CARI!$C$7),OR(CARI!$C$8="",$T1172=CARI!$C$8)),MAX($Z$3:Z1171)+1,""))</f>
        <v/>
      </c>
      <c r="AA1172" s="40" t="str">
        <f aca="false">IF($Y1172="","",MAX($AA$3:AA1171)+1)</f>
        <v/>
      </c>
      <c r="AB1172" s="40" t="str">
        <f aca="false">IF($F1172="","",$F1172&amp;"#"&amp;COUNTIF($F$4:$F1172,$F1172))</f>
        <v/>
      </c>
      <c r="AC1172" s="40" t="str">
        <f aca="false">IF($B1172="","",IF(AND(OR(CETAK!$J$10="",$F1172=CETAK!$J$10),OR(CETAK!$J$11="",$G1172=CETAK!$J$11),OR(CETAK!$J$12="",$P1172=CETAK!$J$12),OR(CETAK!$J$13="",$N1172=CETAK!$J$13),OR(CETAK!$J$14="",$T1172=CETAK!$J$14)),MAX($AC$3:AC1171)+1,""))</f>
        <v/>
      </c>
      <c r="AD1172" s="40" t="str">
        <f aca="false">IF($B1172="","",IF(AND(OR(ABSENSI!$H$10="",$F1172=ABSENSI!$H$10),OR(ABSENSI!$H$11="",$G1172=ABSENSI!$H$11),OR(ABSENSI!$H$12="",$P1172=ABSENSI!$H$12)),MAX($AD$3:AD1171)+1,""))</f>
        <v/>
      </c>
      <c r="AE1172" s="40" t="str">
        <f aca="false">IF($B1172="","",IF(AND(OR(KARTU!$K$6="",$F1172=KARTU!$K$6),OR(KARTU!$K$7="",$G1172=KARTU!$K$7),OR(KARTU!$K$8="",$P1172=KARTU!$K$8)),MAX($AE$3:AE1171)+1,""))</f>
        <v/>
      </c>
    </row>
    <row r="1173" customFormat="false" ht="15" hidden="false" customHeight="false" outlineLevel="0" collapsed="false">
      <c r="A1173" s="35" t="str">
        <f aca="false">IF($B1173="","",COUNTA($B$4:$B1173))</f>
        <v/>
      </c>
      <c r="B1173" s="36"/>
      <c r="C1173" s="37"/>
      <c r="D1173" s="37"/>
      <c r="E1173" s="38"/>
      <c r="F1173" s="36"/>
      <c r="G1173" s="39"/>
      <c r="H1173" s="39"/>
      <c r="I1173" s="36"/>
      <c r="J1173" s="36"/>
      <c r="K1173" s="36"/>
      <c r="L1173" s="36"/>
      <c r="M1173" s="40" t="str">
        <f aca="false">IF($F1173="","",$F1173&amp;IF($G1173="",""," - RT "&amp;$G1173&amp;IF($H1173="","","/"&amp;$H1173)))</f>
        <v/>
      </c>
      <c r="N1173" s="36"/>
      <c r="O1173" s="37"/>
      <c r="P1173" s="39"/>
      <c r="Q1173" s="41"/>
      <c r="R1173" s="35" t="str">
        <f aca="true">IF(OR($B1173="",$Q1173=""),"",DATEDIF($Q1173,TODAY(),"Y"))</f>
        <v/>
      </c>
      <c r="S1173" s="40" t="str">
        <f aca="false">IF($R1173="","",INDEX(usia_label,MATCH($R1173,usia_min,1)))</f>
        <v/>
      </c>
      <c r="T1173" s="36"/>
      <c r="U1173" s="41"/>
      <c r="V1173" s="36"/>
      <c r="W1173" s="36"/>
      <c r="X1173" s="40" t="str">
        <f aca="false">IF($M1173="","",$M1173&amp;"#"&amp;COUNTIF($M$4:$M1173,$M1173))</f>
        <v/>
      </c>
      <c r="Y1173" s="40" t="str">
        <f aca="false">IF($B1173="","",IF($C1173="","NIK kosong",IF(LEN($C1173)&lt;&gt;16,"NIK bukan 16 digit",IF(COUNTIF($C$4:$C$2003,$C1173&amp;"*")&gt;1,"NIK ganda",IF(AND($D1173&lt;&gt;"",LEN($D1173)&lt;&gt;16),"No. KK bukan 16 digit",IF(AND($F1173="",$I1173=""),"Alamat kosong",IF($N1173="","Jabatan kosong",IF($O1173="","No. HP kosong",IF(AND($R1173&lt;&gt;"",$R1173&lt;17),"Usia di bawah 17","")))))))))</f>
        <v/>
      </c>
      <c r="Z1173" s="40" t="str">
        <f aca="false">IF($B1173="","",IF(AND(OR(CARI!$C$5="",ISNUMBER(SEARCH(CARI!$C$5,$B1173&amp;" "&amp;$C1173&amp;" "&amp;$D1173&amp;" "&amp;$O1173&amp;" "&amp;$I1173&amp;" "&amp;$F1173&amp;" "&amp;$J1173&amp;" "&amp;$K1173&amp;" "&amp;$L1173&amp;" "&amp;$V1173))),OR(CARI!$C$6="",$F1173=CARI!$C$6),OR(CARI!$C$7="",$G1173=CARI!$C$7),OR(CARI!$C$8="",$T1173=CARI!$C$8)),MAX($Z$3:Z1172)+1,""))</f>
        <v/>
      </c>
      <c r="AA1173" s="40" t="str">
        <f aca="false">IF($Y1173="","",MAX($AA$3:AA1172)+1)</f>
        <v/>
      </c>
      <c r="AB1173" s="40" t="str">
        <f aca="false">IF($F1173="","",$F1173&amp;"#"&amp;COUNTIF($F$4:$F1173,$F1173))</f>
        <v/>
      </c>
      <c r="AC1173" s="40" t="str">
        <f aca="false">IF($B1173="","",IF(AND(OR(CETAK!$J$10="",$F1173=CETAK!$J$10),OR(CETAK!$J$11="",$G1173=CETAK!$J$11),OR(CETAK!$J$12="",$P1173=CETAK!$J$12),OR(CETAK!$J$13="",$N1173=CETAK!$J$13),OR(CETAK!$J$14="",$T1173=CETAK!$J$14)),MAX($AC$3:AC1172)+1,""))</f>
        <v/>
      </c>
      <c r="AD1173" s="40" t="str">
        <f aca="false">IF($B1173="","",IF(AND(OR(ABSENSI!$H$10="",$F1173=ABSENSI!$H$10),OR(ABSENSI!$H$11="",$G1173=ABSENSI!$H$11),OR(ABSENSI!$H$12="",$P1173=ABSENSI!$H$12)),MAX($AD$3:AD1172)+1,""))</f>
        <v/>
      </c>
      <c r="AE1173" s="40" t="str">
        <f aca="false">IF($B1173="","",IF(AND(OR(KARTU!$K$6="",$F1173=KARTU!$K$6),OR(KARTU!$K$7="",$G1173=KARTU!$K$7),OR(KARTU!$K$8="",$P1173=KARTU!$K$8)),MAX($AE$3:AE1172)+1,""))</f>
        <v/>
      </c>
    </row>
    <row r="1174" customFormat="false" ht="15" hidden="false" customHeight="false" outlineLevel="0" collapsed="false">
      <c r="A1174" s="35" t="str">
        <f aca="false">IF($B1174="","",COUNTA($B$4:$B1174))</f>
        <v/>
      </c>
      <c r="B1174" s="36"/>
      <c r="C1174" s="37"/>
      <c r="D1174" s="37"/>
      <c r="E1174" s="38"/>
      <c r="F1174" s="36"/>
      <c r="G1174" s="39"/>
      <c r="H1174" s="39"/>
      <c r="I1174" s="36"/>
      <c r="J1174" s="36"/>
      <c r="K1174" s="36"/>
      <c r="L1174" s="36"/>
      <c r="M1174" s="40" t="str">
        <f aca="false">IF($F1174="","",$F1174&amp;IF($G1174="",""," - RT "&amp;$G1174&amp;IF($H1174="","","/"&amp;$H1174)))</f>
        <v/>
      </c>
      <c r="N1174" s="36"/>
      <c r="O1174" s="37"/>
      <c r="P1174" s="39"/>
      <c r="Q1174" s="41"/>
      <c r="R1174" s="35" t="str">
        <f aca="true">IF(OR($B1174="",$Q1174=""),"",DATEDIF($Q1174,TODAY(),"Y"))</f>
        <v/>
      </c>
      <c r="S1174" s="40" t="str">
        <f aca="false">IF($R1174="","",INDEX(usia_label,MATCH($R1174,usia_min,1)))</f>
        <v/>
      </c>
      <c r="T1174" s="36"/>
      <c r="U1174" s="41"/>
      <c r="V1174" s="36"/>
      <c r="W1174" s="36"/>
      <c r="X1174" s="40" t="str">
        <f aca="false">IF($M1174="","",$M1174&amp;"#"&amp;COUNTIF($M$4:$M1174,$M1174))</f>
        <v/>
      </c>
      <c r="Y1174" s="40" t="str">
        <f aca="false">IF($B1174="","",IF($C1174="","NIK kosong",IF(LEN($C1174)&lt;&gt;16,"NIK bukan 16 digit",IF(COUNTIF($C$4:$C$2003,$C1174&amp;"*")&gt;1,"NIK ganda",IF(AND($D1174&lt;&gt;"",LEN($D1174)&lt;&gt;16),"No. KK bukan 16 digit",IF(AND($F1174="",$I1174=""),"Alamat kosong",IF($N1174="","Jabatan kosong",IF($O1174="","No. HP kosong",IF(AND($R1174&lt;&gt;"",$R1174&lt;17),"Usia di bawah 17","")))))))))</f>
        <v/>
      </c>
      <c r="Z1174" s="40" t="str">
        <f aca="false">IF($B1174="","",IF(AND(OR(CARI!$C$5="",ISNUMBER(SEARCH(CARI!$C$5,$B1174&amp;" "&amp;$C1174&amp;" "&amp;$D1174&amp;" "&amp;$O1174&amp;" "&amp;$I1174&amp;" "&amp;$F1174&amp;" "&amp;$J1174&amp;" "&amp;$K1174&amp;" "&amp;$L1174&amp;" "&amp;$V1174))),OR(CARI!$C$6="",$F1174=CARI!$C$6),OR(CARI!$C$7="",$G1174=CARI!$C$7),OR(CARI!$C$8="",$T1174=CARI!$C$8)),MAX($Z$3:Z1173)+1,""))</f>
        <v/>
      </c>
      <c r="AA1174" s="40" t="str">
        <f aca="false">IF($Y1174="","",MAX($AA$3:AA1173)+1)</f>
        <v/>
      </c>
      <c r="AB1174" s="40" t="str">
        <f aca="false">IF($F1174="","",$F1174&amp;"#"&amp;COUNTIF($F$4:$F1174,$F1174))</f>
        <v/>
      </c>
      <c r="AC1174" s="40" t="str">
        <f aca="false">IF($B1174="","",IF(AND(OR(CETAK!$J$10="",$F1174=CETAK!$J$10),OR(CETAK!$J$11="",$G1174=CETAK!$J$11),OR(CETAK!$J$12="",$P1174=CETAK!$J$12),OR(CETAK!$J$13="",$N1174=CETAK!$J$13),OR(CETAK!$J$14="",$T1174=CETAK!$J$14)),MAX($AC$3:AC1173)+1,""))</f>
        <v/>
      </c>
      <c r="AD1174" s="40" t="str">
        <f aca="false">IF($B1174="","",IF(AND(OR(ABSENSI!$H$10="",$F1174=ABSENSI!$H$10),OR(ABSENSI!$H$11="",$G1174=ABSENSI!$H$11),OR(ABSENSI!$H$12="",$P1174=ABSENSI!$H$12)),MAX($AD$3:AD1173)+1,""))</f>
        <v/>
      </c>
      <c r="AE1174" s="40" t="str">
        <f aca="false">IF($B1174="","",IF(AND(OR(KARTU!$K$6="",$F1174=KARTU!$K$6),OR(KARTU!$K$7="",$G1174=KARTU!$K$7),OR(KARTU!$K$8="",$P1174=KARTU!$K$8)),MAX($AE$3:AE1173)+1,""))</f>
        <v/>
      </c>
    </row>
    <row r="1175" customFormat="false" ht="15" hidden="false" customHeight="false" outlineLevel="0" collapsed="false">
      <c r="A1175" s="35" t="str">
        <f aca="false">IF($B1175="","",COUNTA($B$4:$B1175))</f>
        <v/>
      </c>
      <c r="B1175" s="36"/>
      <c r="C1175" s="37"/>
      <c r="D1175" s="37"/>
      <c r="E1175" s="38"/>
      <c r="F1175" s="36"/>
      <c r="G1175" s="39"/>
      <c r="H1175" s="39"/>
      <c r="I1175" s="36"/>
      <c r="J1175" s="36"/>
      <c r="K1175" s="36"/>
      <c r="L1175" s="36"/>
      <c r="M1175" s="40" t="str">
        <f aca="false">IF($F1175="","",$F1175&amp;IF($G1175="",""," - RT "&amp;$G1175&amp;IF($H1175="","","/"&amp;$H1175)))</f>
        <v/>
      </c>
      <c r="N1175" s="36"/>
      <c r="O1175" s="37"/>
      <c r="P1175" s="39"/>
      <c r="Q1175" s="41"/>
      <c r="R1175" s="35" t="str">
        <f aca="true">IF(OR($B1175="",$Q1175=""),"",DATEDIF($Q1175,TODAY(),"Y"))</f>
        <v/>
      </c>
      <c r="S1175" s="40" t="str">
        <f aca="false">IF($R1175="","",INDEX(usia_label,MATCH($R1175,usia_min,1)))</f>
        <v/>
      </c>
      <c r="T1175" s="36"/>
      <c r="U1175" s="41"/>
      <c r="V1175" s="36"/>
      <c r="W1175" s="36"/>
      <c r="X1175" s="40" t="str">
        <f aca="false">IF($M1175="","",$M1175&amp;"#"&amp;COUNTIF($M$4:$M1175,$M1175))</f>
        <v/>
      </c>
      <c r="Y1175" s="40" t="str">
        <f aca="false">IF($B1175="","",IF($C1175="","NIK kosong",IF(LEN($C1175)&lt;&gt;16,"NIK bukan 16 digit",IF(COUNTIF($C$4:$C$2003,$C1175&amp;"*")&gt;1,"NIK ganda",IF(AND($D1175&lt;&gt;"",LEN($D1175)&lt;&gt;16),"No. KK bukan 16 digit",IF(AND($F1175="",$I1175=""),"Alamat kosong",IF($N1175="","Jabatan kosong",IF($O1175="","No. HP kosong",IF(AND($R1175&lt;&gt;"",$R1175&lt;17),"Usia di bawah 17","")))))))))</f>
        <v/>
      </c>
      <c r="Z1175" s="40" t="str">
        <f aca="false">IF($B1175="","",IF(AND(OR(CARI!$C$5="",ISNUMBER(SEARCH(CARI!$C$5,$B1175&amp;" "&amp;$C1175&amp;" "&amp;$D1175&amp;" "&amp;$O1175&amp;" "&amp;$I1175&amp;" "&amp;$F1175&amp;" "&amp;$J1175&amp;" "&amp;$K1175&amp;" "&amp;$L1175&amp;" "&amp;$V1175))),OR(CARI!$C$6="",$F1175=CARI!$C$6),OR(CARI!$C$7="",$G1175=CARI!$C$7),OR(CARI!$C$8="",$T1175=CARI!$C$8)),MAX($Z$3:Z1174)+1,""))</f>
        <v/>
      </c>
      <c r="AA1175" s="40" t="str">
        <f aca="false">IF($Y1175="","",MAX($AA$3:AA1174)+1)</f>
        <v/>
      </c>
      <c r="AB1175" s="40" t="str">
        <f aca="false">IF($F1175="","",$F1175&amp;"#"&amp;COUNTIF($F$4:$F1175,$F1175))</f>
        <v/>
      </c>
      <c r="AC1175" s="40" t="str">
        <f aca="false">IF($B1175="","",IF(AND(OR(CETAK!$J$10="",$F1175=CETAK!$J$10),OR(CETAK!$J$11="",$G1175=CETAK!$J$11),OR(CETAK!$J$12="",$P1175=CETAK!$J$12),OR(CETAK!$J$13="",$N1175=CETAK!$J$13),OR(CETAK!$J$14="",$T1175=CETAK!$J$14)),MAX($AC$3:AC1174)+1,""))</f>
        <v/>
      </c>
      <c r="AD1175" s="40" t="str">
        <f aca="false">IF($B1175="","",IF(AND(OR(ABSENSI!$H$10="",$F1175=ABSENSI!$H$10),OR(ABSENSI!$H$11="",$G1175=ABSENSI!$H$11),OR(ABSENSI!$H$12="",$P1175=ABSENSI!$H$12)),MAX($AD$3:AD1174)+1,""))</f>
        <v/>
      </c>
      <c r="AE1175" s="40" t="str">
        <f aca="false">IF($B1175="","",IF(AND(OR(KARTU!$K$6="",$F1175=KARTU!$K$6),OR(KARTU!$K$7="",$G1175=KARTU!$K$7),OR(KARTU!$K$8="",$P1175=KARTU!$K$8)),MAX($AE$3:AE1174)+1,""))</f>
        <v/>
      </c>
    </row>
    <row r="1176" customFormat="false" ht="15" hidden="false" customHeight="false" outlineLevel="0" collapsed="false">
      <c r="A1176" s="35" t="str">
        <f aca="false">IF($B1176="","",COUNTA($B$4:$B1176))</f>
        <v/>
      </c>
      <c r="B1176" s="36"/>
      <c r="C1176" s="37"/>
      <c r="D1176" s="37"/>
      <c r="E1176" s="38"/>
      <c r="F1176" s="36"/>
      <c r="G1176" s="39"/>
      <c r="H1176" s="39"/>
      <c r="I1176" s="36"/>
      <c r="J1176" s="36"/>
      <c r="K1176" s="36"/>
      <c r="L1176" s="36"/>
      <c r="M1176" s="40" t="str">
        <f aca="false">IF($F1176="","",$F1176&amp;IF($G1176="",""," - RT "&amp;$G1176&amp;IF($H1176="","","/"&amp;$H1176)))</f>
        <v/>
      </c>
      <c r="N1176" s="36"/>
      <c r="O1176" s="37"/>
      <c r="P1176" s="39"/>
      <c r="Q1176" s="41"/>
      <c r="R1176" s="35" t="str">
        <f aca="true">IF(OR($B1176="",$Q1176=""),"",DATEDIF($Q1176,TODAY(),"Y"))</f>
        <v/>
      </c>
      <c r="S1176" s="40" t="str">
        <f aca="false">IF($R1176="","",INDEX(usia_label,MATCH($R1176,usia_min,1)))</f>
        <v/>
      </c>
      <c r="T1176" s="36"/>
      <c r="U1176" s="41"/>
      <c r="V1176" s="36"/>
      <c r="W1176" s="36"/>
      <c r="X1176" s="40" t="str">
        <f aca="false">IF($M1176="","",$M1176&amp;"#"&amp;COUNTIF($M$4:$M1176,$M1176))</f>
        <v/>
      </c>
      <c r="Y1176" s="40" t="str">
        <f aca="false">IF($B1176="","",IF($C1176="","NIK kosong",IF(LEN($C1176)&lt;&gt;16,"NIK bukan 16 digit",IF(COUNTIF($C$4:$C$2003,$C1176&amp;"*")&gt;1,"NIK ganda",IF(AND($D1176&lt;&gt;"",LEN($D1176)&lt;&gt;16),"No. KK bukan 16 digit",IF(AND($F1176="",$I1176=""),"Alamat kosong",IF($N1176="","Jabatan kosong",IF($O1176="","No. HP kosong",IF(AND($R1176&lt;&gt;"",$R1176&lt;17),"Usia di bawah 17","")))))))))</f>
        <v/>
      </c>
      <c r="Z1176" s="40" t="str">
        <f aca="false">IF($B1176="","",IF(AND(OR(CARI!$C$5="",ISNUMBER(SEARCH(CARI!$C$5,$B1176&amp;" "&amp;$C1176&amp;" "&amp;$D1176&amp;" "&amp;$O1176&amp;" "&amp;$I1176&amp;" "&amp;$F1176&amp;" "&amp;$J1176&amp;" "&amp;$K1176&amp;" "&amp;$L1176&amp;" "&amp;$V1176))),OR(CARI!$C$6="",$F1176=CARI!$C$6),OR(CARI!$C$7="",$G1176=CARI!$C$7),OR(CARI!$C$8="",$T1176=CARI!$C$8)),MAX($Z$3:Z1175)+1,""))</f>
        <v/>
      </c>
      <c r="AA1176" s="40" t="str">
        <f aca="false">IF($Y1176="","",MAX($AA$3:AA1175)+1)</f>
        <v/>
      </c>
      <c r="AB1176" s="40" t="str">
        <f aca="false">IF($F1176="","",$F1176&amp;"#"&amp;COUNTIF($F$4:$F1176,$F1176))</f>
        <v/>
      </c>
      <c r="AC1176" s="40" t="str">
        <f aca="false">IF($B1176="","",IF(AND(OR(CETAK!$J$10="",$F1176=CETAK!$J$10),OR(CETAK!$J$11="",$G1176=CETAK!$J$11),OR(CETAK!$J$12="",$P1176=CETAK!$J$12),OR(CETAK!$J$13="",$N1176=CETAK!$J$13),OR(CETAK!$J$14="",$T1176=CETAK!$J$14)),MAX($AC$3:AC1175)+1,""))</f>
        <v/>
      </c>
      <c r="AD1176" s="40" t="str">
        <f aca="false">IF($B1176="","",IF(AND(OR(ABSENSI!$H$10="",$F1176=ABSENSI!$H$10),OR(ABSENSI!$H$11="",$G1176=ABSENSI!$H$11),OR(ABSENSI!$H$12="",$P1176=ABSENSI!$H$12)),MAX($AD$3:AD1175)+1,""))</f>
        <v/>
      </c>
      <c r="AE1176" s="40" t="str">
        <f aca="false">IF($B1176="","",IF(AND(OR(KARTU!$K$6="",$F1176=KARTU!$K$6),OR(KARTU!$K$7="",$G1176=KARTU!$K$7),OR(KARTU!$K$8="",$P1176=KARTU!$K$8)),MAX($AE$3:AE1175)+1,""))</f>
        <v/>
      </c>
    </row>
    <row r="1177" customFormat="false" ht="15" hidden="false" customHeight="false" outlineLevel="0" collapsed="false">
      <c r="A1177" s="35" t="str">
        <f aca="false">IF($B1177="","",COUNTA($B$4:$B1177))</f>
        <v/>
      </c>
      <c r="B1177" s="36"/>
      <c r="C1177" s="37"/>
      <c r="D1177" s="37"/>
      <c r="E1177" s="38"/>
      <c r="F1177" s="36"/>
      <c r="G1177" s="39"/>
      <c r="H1177" s="39"/>
      <c r="I1177" s="36"/>
      <c r="J1177" s="36"/>
      <c r="K1177" s="36"/>
      <c r="L1177" s="36"/>
      <c r="M1177" s="40" t="str">
        <f aca="false">IF($F1177="","",$F1177&amp;IF($G1177="",""," - RT "&amp;$G1177&amp;IF($H1177="","","/"&amp;$H1177)))</f>
        <v/>
      </c>
      <c r="N1177" s="36"/>
      <c r="O1177" s="37"/>
      <c r="P1177" s="39"/>
      <c r="Q1177" s="41"/>
      <c r="R1177" s="35" t="str">
        <f aca="true">IF(OR($B1177="",$Q1177=""),"",DATEDIF($Q1177,TODAY(),"Y"))</f>
        <v/>
      </c>
      <c r="S1177" s="40" t="str">
        <f aca="false">IF($R1177="","",INDEX(usia_label,MATCH($R1177,usia_min,1)))</f>
        <v/>
      </c>
      <c r="T1177" s="36"/>
      <c r="U1177" s="41"/>
      <c r="V1177" s="36"/>
      <c r="W1177" s="36"/>
      <c r="X1177" s="40" t="str">
        <f aca="false">IF($M1177="","",$M1177&amp;"#"&amp;COUNTIF($M$4:$M1177,$M1177))</f>
        <v/>
      </c>
      <c r="Y1177" s="40" t="str">
        <f aca="false">IF($B1177="","",IF($C1177="","NIK kosong",IF(LEN($C1177)&lt;&gt;16,"NIK bukan 16 digit",IF(COUNTIF($C$4:$C$2003,$C1177&amp;"*")&gt;1,"NIK ganda",IF(AND($D1177&lt;&gt;"",LEN($D1177)&lt;&gt;16),"No. KK bukan 16 digit",IF(AND($F1177="",$I1177=""),"Alamat kosong",IF($N1177="","Jabatan kosong",IF($O1177="","No. HP kosong",IF(AND($R1177&lt;&gt;"",$R1177&lt;17),"Usia di bawah 17","")))))))))</f>
        <v/>
      </c>
      <c r="Z1177" s="40" t="str">
        <f aca="false">IF($B1177="","",IF(AND(OR(CARI!$C$5="",ISNUMBER(SEARCH(CARI!$C$5,$B1177&amp;" "&amp;$C1177&amp;" "&amp;$D1177&amp;" "&amp;$O1177&amp;" "&amp;$I1177&amp;" "&amp;$F1177&amp;" "&amp;$J1177&amp;" "&amp;$K1177&amp;" "&amp;$L1177&amp;" "&amp;$V1177))),OR(CARI!$C$6="",$F1177=CARI!$C$6),OR(CARI!$C$7="",$G1177=CARI!$C$7),OR(CARI!$C$8="",$T1177=CARI!$C$8)),MAX($Z$3:Z1176)+1,""))</f>
        <v/>
      </c>
      <c r="AA1177" s="40" t="str">
        <f aca="false">IF($Y1177="","",MAX($AA$3:AA1176)+1)</f>
        <v/>
      </c>
      <c r="AB1177" s="40" t="str">
        <f aca="false">IF($F1177="","",$F1177&amp;"#"&amp;COUNTIF($F$4:$F1177,$F1177))</f>
        <v/>
      </c>
      <c r="AC1177" s="40" t="str">
        <f aca="false">IF($B1177="","",IF(AND(OR(CETAK!$J$10="",$F1177=CETAK!$J$10),OR(CETAK!$J$11="",$G1177=CETAK!$J$11),OR(CETAK!$J$12="",$P1177=CETAK!$J$12),OR(CETAK!$J$13="",$N1177=CETAK!$J$13),OR(CETAK!$J$14="",$T1177=CETAK!$J$14)),MAX($AC$3:AC1176)+1,""))</f>
        <v/>
      </c>
      <c r="AD1177" s="40" t="str">
        <f aca="false">IF($B1177="","",IF(AND(OR(ABSENSI!$H$10="",$F1177=ABSENSI!$H$10),OR(ABSENSI!$H$11="",$G1177=ABSENSI!$H$11),OR(ABSENSI!$H$12="",$P1177=ABSENSI!$H$12)),MAX($AD$3:AD1176)+1,""))</f>
        <v/>
      </c>
      <c r="AE1177" s="40" t="str">
        <f aca="false">IF($B1177="","",IF(AND(OR(KARTU!$K$6="",$F1177=KARTU!$K$6),OR(KARTU!$K$7="",$G1177=KARTU!$K$7),OR(KARTU!$K$8="",$P1177=KARTU!$K$8)),MAX($AE$3:AE1176)+1,""))</f>
        <v/>
      </c>
    </row>
    <row r="1178" customFormat="false" ht="15" hidden="false" customHeight="false" outlineLevel="0" collapsed="false">
      <c r="A1178" s="35" t="str">
        <f aca="false">IF($B1178="","",COUNTA($B$4:$B1178))</f>
        <v/>
      </c>
      <c r="B1178" s="36"/>
      <c r="C1178" s="37"/>
      <c r="D1178" s="37"/>
      <c r="E1178" s="38"/>
      <c r="F1178" s="36"/>
      <c r="G1178" s="39"/>
      <c r="H1178" s="39"/>
      <c r="I1178" s="36"/>
      <c r="J1178" s="36"/>
      <c r="K1178" s="36"/>
      <c r="L1178" s="36"/>
      <c r="M1178" s="40" t="str">
        <f aca="false">IF($F1178="","",$F1178&amp;IF($G1178="",""," - RT "&amp;$G1178&amp;IF($H1178="","","/"&amp;$H1178)))</f>
        <v/>
      </c>
      <c r="N1178" s="36"/>
      <c r="O1178" s="37"/>
      <c r="P1178" s="39"/>
      <c r="Q1178" s="41"/>
      <c r="R1178" s="35" t="str">
        <f aca="true">IF(OR($B1178="",$Q1178=""),"",DATEDIF($Q1178,TODAY(),"Y"))</f>
        <v/>
      </c>
      <c r="S1178" s="40" t="str">
        <f aca="false">IF($R1178="","",INDEX(usia_label,MATCH($R1178,usia_min,1)))</f>
        <v/>
      </c>
      <c r="T1178" s="36"/>
      <c r="U1178" s="41"/>
      <c r="V1178" s="36"/>
      <c r="W1178" s="36"/>
      <c r="X1178" s="40" t="str">
        <f aca="false">IF($M1178="","",$M1178&amp;"#"&amp;COUNTIF($M$4:$M1178,$M1178))</f>
        <v/>
      </c>
      <c r="Y1178" s="40" t="str">
        <f aca="false">IF($B1178="","",IF($C1178="","NIK kosong",IF(LEN($C1178)&lt;&gt;16,"NIK bukan 16 digit",IF(COUNTIF($C$4:$C$2003,$C1178&amp;"*")&gt;1,"NIK ganda",IF(AND($D1178&lt;&gt;"",LEN($D1178)&lt;&gt;16),"No. KK bukan 16 digit",IF(AND($F1178="",$I1178=""),"Alamat kosong",IF($N1178="","Jabatan kosong",IF($O1178="","No. HP kosong",IF(AND($R1178&lt;&gt;"",$R1178&lt;17),"Usia di bawah 17","")))))))))</f>
        <v/>
      </c>
      <c r="Z1178" s="40" t="str">
        <f aca="false">IF($B1178="","",IF(AND(OR(CARI!$C$5="",ISNUMBER(SEARCH(CARI!$C$5,$B1178&amp;" "&amp;$C1178&amp;" "&amp;$D1178&amp;" "&amp;$O1178&amp;" "&amp;$I1178&amp;" "&amp;$F1178&amp;" "&amp;$J1178&amp;" "&amp;$K1178&amp;" "&amp;$L1178&amp;" "&amp;$V1178))),OR(CARI!$C$6="",$F1178=CARI!$C$6),OR(CARI!$C$7="",$G1178=CARI!$C$7),OR(CARI!$C$8="",$T1178=CARI!$C$8)),MAX($Z$3:Z1177)+1,""))</f>
        <v/>
      </c>
      <c r="AA1178" s="40" t="str">
        <f aca="false">IF($Y1178="","",MAX($AA$3:AA1177)+1)</f>
        <v/>
      </c>
      <c r="AB1178" s="40" t="str">
        <f aca="false">IF($F1178="","",$F1178&amp;"#"&amp;COUNTIF($F$4:$F1178,$F1178))</f>
        <v/>
      </c>
      <c r="AC1178" s="40" t="str">
        <f aca="false">IF($B1178="","",IF(AND(OR(CETAK!$J$10="",$F1178=CETAK!$J$10),OR(CETAK!$J$11="",$G1178=CETAK!$J$11),OR(CETAK!$J$12="",$P1178=CETAK!$J$12),OR(CETAK!$J$13="",$N1178=CETAK!$J$13),OR(CETAK!$J$14="",$T1178=CETAK!$J$14)),MAX($AC$3:AC1177)+1,""))</f>
        <v/>
      </c>
      <c r="AD1178" s="40" t="str">
        <f aca="false">IF($B1178="","",IF(AND(OR(ABSENSI!$H$10="",$F1178=ABSENSI!$H$10),OR(ABSENSI!$H$11="",$G1178=ABSENSI!$H$11),OR(ABSENSI!$H$12="",$P1178=ABSENSI!$H$12)),MAX($AD$3:AD1177)+1,""))</f>
        <v/>
      </c>
      <c r="AE1178" s="40" t="str">
        <f aca="false">IF($B1178="","",IF(AND(OR(KARTU!$K$6="",$F1178=KARTU!$K$6),OR(KARTU!$K$7="",$G1178=KARTU!$K$7),OR(KARTU!$K$8="",$P1178=KARTU!$K$8)),MAX($AE$3:AE1177)+1,""))</f>
        <v/>
      </c>
    </row>
    <row r="1179" customFormat="false" ht="15" hidden="false" customHeight="false" outlineLevel="0" collapsed="false">
      <c r="A1179" s="35" t="str">
        <f aca="false">IF($B1179="","",COUNTA($B$4:$B1179))</f>
        <v/>
      </c>
      <c r="B1179" s="36"/>
      <c r="C1179" s="37"/>
      <c r="D1179" s="37"/>
      <c r="E1179" s="38"/>
      <c r="F1179" s="36"/>
      <c r="G1179" s="39"/>
      <c r="H1179" s="39"/>
      <c r="I1179" s="36"/>
      <c r="J1179" s="36"/>
      <c r="K1179" s="36"/>
      <c r="L1179" s="36"/>
      <c r="M1179" s="40" t="str">
        <f aca="false">IF($F1179="","",$F1179&amp;IF($G1179="",""," - RT "&amp;$G1179&amp;IF($H1179="","","/"&amp;$H1179)))</f>
        <v/>
      </c>
      <c r="N1179" s="36"/>
      <c r="O1179" s="37"/>
      <c r="P1179" s="39"/>
      <c r="Q1179" s="41"/>
      <c r="R1179" s="35" t="str">
        <f aca="true">IF(OR($B1179="",$Q1179=""),"",DATEDIF($Q1179,TODAY(),"Y"))</f>
        <v/>
      </c>
      <c r="S1179" s="40" t="str">
        <f aca="false">IF($R1179="","",INDEX(usia_label,MATCH($R1179,usia_min,1)))</f>
        <v/>
      </c>
      <c r="T1179" s="36"/>
      <c r="U1179" s="41"/>
      <c r="V1179" s="36"/>
      <c r="W1179" s="36"/>
      <c r="X1179" s="40" t="str">
        <f aca="false">IF($M1179="","",$M1179&amp;"#"&amp;COUNTIF($M$4:$M1179,$M1179))</f>
        <v/>
      </c>
      <c r="Y1179" s="40" t="str">
        <f aca="false">IF($B1179="","",IF($C1179="","NIK kosong",IF(LEN($C1179)&lt;&gt;16,"NIK bukan 16 digit",IF(COUNTIF($C$4:$C$2003,$C1179&amp;"*")&gt;1,"NIK ganda",IF(AND($D1179&lt;&gt;"",LEN($D1179)&lt;&gt;16),"No. KK bukan 16 digit",IF(AND($F1179="",$I1179=""),"Alamat kosong",IF($N1179="","Jabatan kosong",IF($O1179="","No. HP kosong",IF(AND($R1179&lt;&gt;"",$R1179&lt;17),"Usia di bawah 17","")))))))))</f>
        <v/>
      </c>
      <c r="Z1179" s="40" t="str">
        <f aca="false">IF($B1179="","",IF(AND(OR(CARI!$C$5="",ISNUMBER(SEARCH(CARI!$C$5,$B1179&amp;" "&amp;$C1179&amp;" "&amp;$D1179&amp;" "&amp;$O1179&amp;" "&amp;$I1179&amp;" "&amp;$F1179&amp;" "&amp;$J1179&amp;" "&amp;$K1179&amp;" "&amp;$L1179&amp;" "&amp;$V1179))),OR(CARI!$C$6="",$F1179=CARI!$C$6),OR(CARI!$C$7="",$G1179=CARI!$C$7),OR(CARI!$C$8="",$T1179=CARI!$C$8)),MAX($Z$3:Z1178)+1,""))</f>
        <v/>
      </c>
      <c r="AA1179" s="40" t="str">
        <f aca="false">IF($Y1179="","",MAX($AA$3:AA1178)+1)</f>
        <v/>
      </c>
      <c r="AB1179" s="40" t="str">
        <f aca="false">IF($F1179="","",$F1179&amp;"#"&amp;COUNTIF($F$4:$F1179,$F1179))</f>
        <v/>
      </c>
      <c r="AC1179" s="40" t="str">
        <f aca="false">IF($B1179="","",IF(AND(OR(CETAK!$J$10="",$F1179=CETAK!$J$10),OR(CETAK!$J$11="",$G1179=CETAK!$J$11),OR(CETAK!$J$12="",$P1179=CETAK!$J$12),OR(CETAK!$J$13="",$N1179=CETAK!$J$13),OR(CETAK!$J$14="",$T1179=CETAK!$J$14)),MAX($AC$3:AC1178)+1,""))</f>
        <v/>
      </c>
      <c r="AD1179" s="40" t="str">
        <f aca="false">IF($B1179="","",IF(AND(OR(ABSENSI!$H$10="",$F1179=ABSENSI!$H$10),OR(ABSENSI!$H$11="",$G1179=ABSENSI!$H$11),OR(ABSENSI!$H$12="",$P1179=ABSENSI!$H$12)),MAX($AD$3:AD1178)+1,""))</f>
        <v/>
      </c>
      <c r="AE1179" s="40" t="str">
        <f aca="false">IF($B1179="","",IF(AND(OR(KARTU!$K$6="",$F1179=KARTU!$K$6),OR(KARTU!$K$7="",$G1179=KARTU!$K$7),OR(KARTU!$K$8="",$P1179=KARTU!$K$8)),MAX($AE$3:AE1178)+1,""))</f>
        <v/>
      </c>
    </row>
    <row r="1180" customFormat="false" ht="15" hidden="false" customHeight="false" outlineLevel="0" collapsed="false">
      <c r="A1180" s="35" t="str">
        <f aca="false">IF($B1180="","",COUNTA($B$4:$B1180))</f>
        <v/>
      </c>
      <c r="B1180" s="36"/>
      <c r="C1180" s="37"/>
      <c r="D1180" s="37"/>
      <c r="E1180" s="38"/>
      <c r="F1180" s="36"/>
      <c r="G1180" s="39"/>
      <c r="H1180" s="39"/>
      <c r="I1180" s="36"/>
      <c r="J1180" s="36"/>
      <c r="K1180" s="36"/>
      <c r="L1180" s="36"/>
      <c r="M1180" s="40" t="str">
        <f aca="false">IF($F1180="","",$F1180&amp;IF($G1180="",""," - RT "&amp;$G1180&amp;IF($H1180="","","/"&amp;$H1180)))</f>
        <v/>
      </c>
      <c r="N1180" s="36"/>
      <c r="O1180" s="37"/>
      <c r="P1180" s="39"/>
      <c r="Q1180" s="41"/>
      <c r="R1180" s="35" t="str">
        <f aca="true">IF(OR($B1180="",$Q1180=""),"",DATEDIF($Q1180,TODAY(),"Y"))</f>
        <v/>
      </c>
      <c r="S1180" s="40" t="str">
        <f aca="false">IF($R1180="","",INDEX(usia_label,MATCH($R1180,usia_min,1)))</f>
        <v/>
      </c>
      <c r="T1180" s="36"/>
      <c r="U1180" s="41"/>
      <c r="V1180" s="36"/>
      <c r="W1180" s="36"/>
      <c r="X1180" s="40" t="str">
        <f aca="false">IF($M1180="","",$M1180&amp;"#"&amp;COUNTIF($M$4:$M1180,$M1180))</f>
        <v/>
      </c>
      <c r="Y1180" s="40" t="str">
        <f aca="false">IF($B1180="","",IF($C1180="","NIK kosong",IF(LEN($C1180)&lt;&gt;16,"NIK bukan 16 digit",IF(COUNTIF($C$4:$C$2003,$C1180&amp;"*")&gt;1,"NIK ganda",IF(AND($D1180&lt;&gt;"",LEN($D1180)&lt;&gt;16),"No. KK bukan 16 digit",IF(AND($F1180="",$I1180=""),"Alamat kosong",IF($N1180="","Jabatan kosong",IF($O1180="","No. HP kosong",IF(AND($R1180&lt;&gt;"",$R1180&lt;17),"Usia di bawah 17","")))))))))</f>
        <v/>
      </c>
      <c r="Z1180" s="40" t="str">
        <f aca="false">IF($B1180="","",IF(AND(OR(CARI!$C$5="",ISNUMBER(SEARCH(CARI!$C$5,$B1180&amp;" "&amp;$C1180&amp;" "&amp;$D1180&amp;" "&amp;$O1180&amp;" "&amp;$I1180&amp;" "&amp;$F1180&amp;" "&amp;$J1180&amp;" "&amp;$K1180&amp;" "&amp;$L1180&amp;" "&amp;$V1180))),OR(CARI!$C$6="",$F1180=CARI!$C$6),OR(CARI!$C$7="",$G1180=CARI!$C$7),OR(CARI!$C$8="",$T1180=CARI!$C$8)),MAX($Z$3:Z1179)+1,""))</f>
        <v/>
      </c>
      <c r="AA1180" s="40" t="str">
        <f aca="false">IF($Y1180="","",MAX($AA$3:AA1179)+1)</f>
        <v/>
      </c>
      <c r="AB1180" s="40" t="str">
        <f aca="false">IF($F1180="","",$F1180&amp;"#"&amp;COUNTIF($F$4:$F1180,$F1180))</f>
        <v/>
      </c>
      <c r="AC1180" s="40" t="str">
        <f aca="false">IF($B1180="","",IF(AND(OR(CETAK!$J$10="",$F1180=CETAK!$J$10),OR(CETAK!$J$11="",$G1180=CETAK!$J$11),OR(CETAK!$J$12="",$P1180=CETAK!$J$12),OR(CETAK!$J$13="",$N1180=CETAK!$J$13),OR(CETAK!$J$14="",$T1180=CETAK!$J$14)),MAX($AC$3:AC1179)+1,""))</f>
        <v/>
      </c>
      <c r="AD1180" s="40" t="str">
        <f aca="false">IF($B1180="","",IF(AND(OR(ABSENSI!$H$10="",$F1180=ABSENSI!$H$10),OR(ABSENSI!$H$11="",$G1180=ABSENSI!$H$11),OR(ABSENSI!$H$12="",$P1180=ABSENSI!$H$12)),MAX($AD$3:AD1179)+1,""))</f>
        <v/>
      </c>
      <c r="AE1180" s="40" t="str">
        <f aca="false">IF($B1180="","",IF(AND(OR(KARTU!$K$6="",$F1180=KARTU!$K$6),OR(KARTU!$K$7="",$G1180=KARTU!$K$7),OR(KARTU!$K$8="",$P1180=KARTU!$K$8)),MAX($AE$3:AE1179)+1,""))</f>
        <v/>
      </c>
    </row>
    <row r="1181" customFormat="false" ht="15" hidden="false" customHeight="false" outlineLevel="0" collapsed="false">
      <c r="A1181" s="35" t="str">
        <f aca="false">IF($B1181="","",COUNTA($B$4:$B1181))</f>
        <v/>
      </c>
      <c r="B1181" s="36"/>
      <c r="C1181" s="37"/>
      <c r="D1181" s="37"/>
      <c r="E1181" s="38"/>
      <c r="F1181" s="36"/>
      <c r="G1181" s="39"/>
      <c r="H1181" s="39"/>
      <c r="I1181" s="36"/>
      <c r="J1181" s="36"/>
      <c r="K1181" s="36"/>
      <c r="L1181" s="36"/>
      <c r="M1181" s="40" t="str">
        <f aca="false">IF($F1181="","",$F1181&amp;IF($G1181="",""," - RT "&amp;$G1181&amp;IF($H1181="","","/"&amp;$H1181)))</f>
        <v/>
      </c>
      <c r="N1181" s="36"/>
      <c r="O1181" s="37"/>
      <c r="P1181" s="39"/>
      <c r="Q1181" s="41"/>
      <c r="R1181" s="35" t="str">
        <f aca="true">IF(OR($B1181="",$Q1181=""),"",DATEDIF($Q1181,TODAY(),"Y"))</f>
        <v/>
      </c>
      <c r="S1181" s="40" t="str">
        <f aca="false">IF($R1181="","",INDEX(usia_label,MATCH($R1181,usia_min,1)))</f>
        <v/>
      </c>
      <c r="T1181" s="36"/>
      <c r="U1181" s="41"/>
      <c r="V1181" s="36"/>
      <c r="W1181" s="36"/>
      <c r="X1181" s="40" t="str">
        <f aca="false">IF($M1181="","",$M1181&amp;"#"&amp;COUNTIF($M$4:$M1181,$M1181))</f>
        <v/>
      </c>
      <c r="Y1181" s="40" t="str">
        <f aca="false">IF($B1181="","",IF($C1181="","NIK kosong",IF(LEN($C1181)&lt;&gt;16,"NIK bukan 16 digit",IF(COUNTIF($C$4:$C$2003,$C1181&amp;"*")&gt;1,"NIK ganda",IF(AND($D1181&lt;&gt;"",LEN($D1181)&lt;&gt;16),"No. KK bukan 16 digit",IF(AND($F1181="",$I1181=""),"Alamat kosong",IF($N1181="","Jabatan kosong",IF($O1181="","No. HP kosong",IF(AND($R1181&lt;&gt;"",$R1181&lt;17),"Usia di bawah 17","")))))))))</f>
        <v/>
      </c>
      <c r="Z1181" s="40" t="str">
        <f aca="false">IF($B1181="","",IF(AND(OR(CARI!$C$5="",ISNUMBER(SEARCH(CARI!$C$5,$B1181&amp;" "&amp;$C1181&amp;" "&amp;$D1181&amp;" "&amp;$O1181&amp;" "&amp;$I1181&amp;" "&amp;$F1181&amp;" "&amp;$J1181&amp;" "&amp;$K1181&amp;" "&amp;$L1181&amp;" "&amp;$V1181))),OR(CARI!$C$6="",$F1181=CARI!$C$6),OR(CARI!$C$7="",$G1181=CARI!$C$7),OR(CARI!$C$8="",$T1181=CARI!$C$8)),MAX($Z$3:Z1180)+1,""))</f>
        <v/>
      </c>
      <c r="AA1181" s="40" t="str">
        <f aca="false">IF($Y1181="","",MAX($AA$3:AA1180)+1)</f>
        <v/>
      </c>
      <c r="AB1181" s="40" t="str">
        <f aca="false">IF($F1181="","",$F1181&amp;"#"&amp;COUNTIF($F$4:$F1181,$F1181))</f>
        <v/>
      </c>
      <c r="AC1181" s="40" t="str">
        <f aca="false">IF($B1181="","",IF(AND(OR(CETAK!$J$10="",$F1181=CETAK!$J$10),OR(CETAK!$J$11="",$G1181=CETAK!$J$11),OR(CETAK!$J$12="",$P1181=CETAK!$J$12),OR(CETAK!$J$13="",$N1181=CETAK!$J$13),OR(CETAK!$J$14="",$T1181=CETAK!$J$14)),MAX($AC$3:AC1180)+1,""))</f>
        <v/>
      </c>
      <c r="AD1181" s="40" t="str">
        <f aca="false">IF($B1181="","",IF(AND(OR(ABSENSI!$H$10="",$F1181=ABSENSI!$H$10),OR(ABSENSI!$H$11="",$G1181=ABSENSI!$H$11),OR(ABSENSI!$H$12="",$P1181=ABSENSI!$H$12)),MAX($AD$3:AD1180)+1,""))</f>
        <v/>
      </c>
      <c r="AE1181" s="40" t="str">
        <f aca="false">IF($B1181="","",IF(AND(OR(KARTU!$K$6="",$F1181=KARTU!$K$6),OR(KARTU!$K$7="",$G1181=KARTU!$K$7),OR(KARTU!$K$8="",$P1181=KARTU!$K$8)),MAX($AE$3:AE1180)+1,""))</f>
        <v/>
      </c>
    </row>
    <row r="1182" customFormat="false" ht="15" hidden="false" customHeight="false" outlineLevel="0" collapsed="false">
      <c r="A1182" s="35" t="str">
        <f aca="false">IF($B1182="","",COUNTA($B$4:$B1182))</f>
        <v/>
      </c>
      <c r="B1182" s="36"/>
      <c r="C1182" s="37"/>
      <c r="D1182" s="37"/>
      <c r="E1182" s="38"/>
      <c r="F1182" s="36"/>
      <c r="G1182" s="39"/>
      <c r="H1182" s="39"/>
      <c r="I1182" s="36"/>
      <c r="J1182" s="36"/>
      <c r="K1182" s="36"/>
      <c r="L1182" s="36"/>
      <c r="M1182" s="40" t="str">
        <f aca="false">IF($F1182="","",$F1182&amp;IF($G1182="",""," - RT "&amp;$G1182&amp;IF($H1182="","","/"&amp;$H1182)))</f>
        <v/>
      </c>
      <c r="N1182" s="36"/>
      <c r="O1182" s="37"/>
      <c r="P1182" s="39"/>
      <c r="Q1182" s="41"/>
      <c r="R1182" s="35" t="str">
        <f aca="true">IF(OR($B1182="",$Q1182=""),"",DATEDIF($Q1182,TODAY(),"Y"))</f>
        <v/>
      </c>
      <c r="S1182" s="40" t="str">
        <f aca="false">IF($R1182="","",INDEX(usia_label,MATCH($R1182,usia_min,1)))</f>
        <v/>
      </c>
      <c r="T1182" s="36"/>
      <c r="U1182" s="41"/>
      <c r="V1182" s="36"/>
      <c r="W1182" s="36"/>
      <c r="X1182" s="40" t="str">
        <f aca="false">IF($M1182="","",$M1182&amp;"#"&amp;COUNTIF($M$4:$M1182,$M1182))</f>
        <v/>
      </c>
      <c r="Y1182" s="40" t="str">
        <f aca="false">IF($B1182="","",IF($C1182="","NIK kosong",IF(LEN($C1182)&lt;&gt;16,"NIK bukan 16 digit",IF(COUNTIF($C$4:$C$2003,$C1182&amp;"*")&gt;1,"NIK ganda",IF(AND($D1182&lt;&gt;"",LEN($D1182)&lt;&gt;16),"No. KK bukan 16 digit",IF(AND($F1182="",$I1182=""),"Alamat kosong",IF($N1182="","Jabatan kosong",IF($O1182="","No. HP kosong",IF(AND($R1182&lt;&gt;"",$R1182&lt;17),"Usia di bawah 17","")))))))))</f>
        <v/>
      </c>
      <c r="Z1182" s="40" t="str">
        <f aca="false">IF($B1182="","",IF(AND(OR(CARI!$C$5="",ISNUMBER(SEARCH(CARI!$C$5,$B1182&amp;" "&amp;$C1182&amp;" "&amp;$D1182&amp;" "&amp;$O1182&amp;" "&amp;$I1182&amp;" "&amp;$F1182&amp;" "&amp;$J1182&amp;" "&amp;$K1182&amp;" "&amp;$L1182&amp;" "&amp;$V1182))),OR(CARI!$C$6="",$F1182=CARI!$C$6),OR(CARI!$C$7="",$G1182=CARI!$C$7),OR(CARI!$C$8="",$T1182=CARI!$C$8)),MAX($Z$3:Z1181)+1,""))</f>
        <v/>
      </c>
      <c r="AA1182" s="40" t="str">
        <f aca="false">IF($Y1182="","",MAX($AA$3:AA1181)+1)</f>
        <v/>
      </c>
      <c r="AB1182" s="40" t="str">
        <f aca="false">IF($F1182="","",$F1182&amp;"#"&amp;COUNTIF($F$4:$F1182,$F1182))</f>
        <v/>
      </c>
      <c r="AC1182" s="40" t="str">
        <f aca="false">IF($B1182="","",IF(AND(OR(CETAK!$J$10="",$F1182=CETAK!$J$10),OR(CETAK!$J$11="",$G1182=CETAK!$J$11),OR(CETAK!$J$12="",$P1182=CETAK!$J$12),OR(CETAK!$J$13="",$N1182=CETAK!$J$13),OR(CETAK!$J$14="",$T1182=CETAK!$J$14)),MAX($AC$3:AC1181)+1,""))</f>
        <v/>
      </c>
      <c r="AD1182" s="40" t="str">
        <f aca="false">IF($B1182="","",IF(AND(OR(ABSENSI!$H$10="",$F1182=ABSENSI!$H$10),OR(ABSENSI!$H$11="",$G1182=ABSENSI!$H$11),OR(ABSENSI!$H$12="",$P1182=ABSENSI!$H$12)),MAX($AD$3:AD1181)+1,""))</f>
        <v/>
      </c>
      <c r="AE1182" s="40" t="str">
        <f aca="false">IF($B1182="","",IF(AND(OR(KARTU!$K$6="",$F1182=KARTU!$K$6),OR(KARTU!$K$7="",$G1182=KARTU!$K$7),OR(KARTU!$K$8="",$P1182=KARTU!$K$8)),MAX($AE$3:AE1181)+1,""))</f>
        <v/>
      </c>
    </row>
    <row r="1183" customFormat="false" ht="15" hidden="false" customHeight="false" outlineLevel="0" collapsed="false">
      <c r="A1183" s="35" t="str">
        <f aca="false">IF($B1183="","",COUNTA($B$4:$B1183))</f>
        <v/>
      </c>
      <c r="B1183" s="36"/>
      <c r="C1183" s="37"/>
      <c r="D1183" s="37"/>
      <c r="E1183" s="38"/>
      <c r="F1183" s="36"/>
      <c r="G1183" s="39"/>
      <c r="H1183" s="39"/>
      <c r="I1183" s="36"/>
      <c r="J1183" s="36"/>
      <c r="K1183" s="36"/>
      <c r="L1183" s="36"/>
      <c r="M1183" s="40" t="str">
        <f aca="false">IF($F1183="","",$F1183&amp;IF($G1183="",""," - RT "&amp;$G1183&amp;IF($H1183="","","/"&amp;$H1183)))</f>
        <v/>
      </c>
      <c r="N1183" s="36"/>
      <c r="O1183" s="37"/>
      <c r="P1183" s="39"/>
      <c r="Q1183" s="41"/>
      <c r="R1183" s="35" t="str">
        <f aca="true">IF(OR($B1183="",$Q1183=""),"",DATEDIF($Q1183,TODAY(),"Y"))</f>
        <v/>
      </c>
      <c r="S1183" s="40" t="str">
        <f aca="false">IF($R1183="","",INDEX(usia_label,MATCH($R1183,usia_min,1)))</f>
        <v/>
      </c>
      <c r="T1183" s="36"/>
      <c r="U1183" s="41"/>
      <c r="V1183" s="36"/>
      <c r="W1183" s="36"/>
      <c r="X1183" s="40" t="str">
        <f aca="false">IF($M1183="","",$M1183&amp;"#"&amp;COUNTIF($M$4:$M1183,$M1183))</f>
        <v/>
      </c>
      <c r="Y1183" s="40" t="str">
        <f aca="false">IF($B1183="","",IF($C1183="","NIK kosong",IF(LEN($C1183)&lt;&gt;16,"NIK bukan 16 digit",IF(COUNTIF($C$4:$C$2003,$C1183&amp;"*")&gt;1,"NIK ganda",IF(AND($D1183&lt;&gt;"",LEN($D1183)&lt;&gt;16),"No. KK bukan 16 digit",IF(AND($F1183="",$I1183=""),"Alamat kosong",IF($N1183="","Jabatan kosong",IF($O1183="","No. HP kosong",IF(AND($R1183&lt;&gt;"",$R1183&lt;17),"Usia di bawah 17","")))))))))</f>
        <v/>
      </c>
      <c r="Z1183" s="40" t="str">
        <f aca="false">IF($B1183="","",IF(AND(OR(CARI!$C$5="",ISNUMBER(SEARCH(CARI!$C$5,$B1183&amp;" "&amp;$C1183&amp;" "&amp;$D1183&amp;" "&amp;$O1183&amp;" "&amp;$I1183&amp;" "&amp;$F1183&amp;" "&amp;$J1183&amp;" "&amp;$K1183&amp;" "&amp;$L1183&amp;" "&amp;$V1183))),OR(CARI!$C$6="",$F1183=CARI!$C$6),OR(CARI!$C$7="",$G1183=CARI!$C$7),OR(CARI!$C$8="",$T1183=CARI!$C$8)),MAX($Z$3:Z1182)+1,""))</f>
        <v/>
      </c>
      <c r="AA1183" s="40" t="str">
        <f aca="false">IF($Y1183="","",MAX($AA$3:AA1182)+1)</f>
        <v/>
      </c>
      <c r="AB1183" s="40" t="str">
        <f aca="false">IF($F1183="","",$F1183&amp;"#"&amp;COUNTIF($F$4:$F1183,$F1183))</f>
        <v/>
      </c>
      <c r="AC1183" s="40" t="str">
        <f aca="false">IF($B1183="","",IF(AND(OR(CETAK!$J$10="",$F1183=CETAK!$J$10),OR(CETAK!$J$11="",$G1183=CETAK!$J$11),OR(CETAK!$J$12="",$P1183=CETAK!$J$12),OR(CETAK!$J$13="",$N1183=CETAK!$J$13),OR(CETAK!$J$14="",$T1183=CETAK!$J$14)),MAX($AC$3:AC1182)+1,""))</f>
        <v/>
      </c>
      <c r="AD1183" s="40" t="str">
        <f aca="false">IF($B1183="","",IF(AND(OR(ABSENSI!$H$10="",$F1183=ABSENSI!$H$10),OR(ABSENSI!$H$11="",$G1183=ABSENSI!$H$11),OR(ABSENSI!$H$12="",$P1183=ABSENSI!$H$12)),MAX($AD$3:AD1182)+1,""))</f>
        <v/>
      </c>
      <c r="AE1183" s="40" t="str">
        <f aca="false">IF($B1183="","",IF(AND(OR(KARTU!$K$6="",$F1183=KARTU!$K$6),OR(KARTU!$K$7="",$G1183=KARTU!$K$7),OR(KARTU!$K$8="",$P1183=KARTU!$K$8)),MAX($AE$3:AE1182)+1,""))</f>
        <v/>
      </c>
    </row>
    <row r="1184" customFormat="false" ht="15" hidden="false" customHeight="false" outlineLevel="0" collapsed="false">
      <c r="A1184" s="35" t="str">
        <f aca="false">IF($B1184="","",COUNTA($B$4:$B1184))</f>
        <v/>
      </c>
      <c r="B1184" s="36"/>
      <c r="C1184" s="37"/>
      <c r="D1184" s="37"/>
      <c r="E1184" s="38"/>
      <c r="F1184" s="36"/>
      <c r="G1184" s="39"/>
      <c r="H1184" s="39"/>
      <c r="I1184" s="36"/>
      <c r="J1184" s="36"/>
      <c r="K1184" s="36"/>
      <c r="L1184" s="36"/>
      <c r="M1184" s="40" t="str">
        <f aca="false">IF($F1184="","",$F1184&amp;IF($G1184="",""," - RT "&amp;$G1184&amp;IF($H1184="","","/"&amp;$H1184)))</f>
        <v/>
      </c>
      <c r="N1184" s="36"/>
      <c r="O1184" s="37"/>
      <c r="P1184" s="39"/>
      <c r="Q1184" s="41"/>
      <c r="R1184" s="35" t="str">
        <f aca="true">IF(OR($B1184="",$Q1184=""),"",DATEDIF($Q1184,TODAY(),"Y"))</f>
        <v/>
      </c>
      <c r="S1184" s="40" t="str">
        <f aca="false">IF($R1184="","",INDEX(usia_label,MATCH($R1184,usia_min,1)))</f>
        <v/>
      </c>
      <c r="T1184" s="36"/>
      <c r="U1184" s="41"/>
      <c r="V1184" s="36"/>
      <c r="W1184" s="36"/>
      <c r="X1184" s="40" t="str">
        <f aca="false">IF($M1184="","",$M1184&amp;"#"&amp;COUNTIF($M$4:$M1184,$M1184))</f>
        <v/>
      </c>
      <c r="Y1184" s="40" t="str">
        <f aca="false">IF($B1184="","",IF($C1184="","NIK kosong",IF(LEN($C1184)&lt;&gt;16,"NIK bukan 16 digit",IF(COUNTIF($C$4:$C$2003,$C1184&amp;"*")&gt;1,"NIK ganda",IF(AND($D1184&lt;&gt;"",LEN($D1184)&lt;&gt;16),"No. KK bukan 16 digit",IF(AND($F1184="",$I1184=""),"Alamat kosong",IF($N1184="","Jabatan kosong",IF($O1184="","No. HP kosong",IF(AND($R1184&lt;&gt;"",$R1184&lt;17),"Usia di bawah 17","")))))))))</f>
        <v/>
      </c>
      <c r="Z1184" s="40" t="str">
        <f aca="false">IF($B1184="","",IF(AND(OR(CARI!$C$5="",ISNUMBER(SEARCH(CARI!$C$5,$B1184&amp;" "&amp;$C1184&amp;" "&amp;$D1184&amp;" "&amp;$O1184&amp;" "&amp;$I1184&amp;" "&amp;$F1184&amp;" "&amp;$J1184&amp;" "&amp;$K1184&amp;" "&amp;$L1184&amp;" "&amp;$V1184))),OR(CARI!$C$6="",$F1184=CARI!$C$6),OR(CARI!$C$7="",$G1184=CARI!$C$7),OR(CARI!$C$8="",$T1184=CARI!$C$8)),MAX($Z$3:Z1183)+1,""))</f>
        <v/>
      </c>
      <c r="AA1184" s="40" t="str">
        <f aca="false">IF($Y1184="","",MAX($AA$3:AA1183)+1)</f>
        <v/>
      </c>
      <c r="AB1184" s="40" t="str">
        <f aca="false">IF($F1184="","",$F1184&amp;"#"&amp;COUNTIF($F$4:$F1184,$F1184))</f>
        <v/>
      </c>
      <c r="AC1184" s="40" t="str">
        <f aca="false">IF($B1184="","",IF(AND(OR(CETAK!$J$10="",$F1184=CETAK!$J$10),OR(CETAK!$J$11="",$G1184=CETAK!$J$11),OR(CETAK!$J$12="",$P1184=CETAK!$J$12),OR(CETAK!$J$13="",$N1184=CETAK!$J$13),OR(CETAK!$J$14="",$T1184=CETAK!$J$14)),MAX($AC$3:AC1183)+1,""))</f>
        <v/>
      </c>
      <c r="AD1184" s="40" t="str">
        <f aca="false">IF($B1184="","",IF(AND(OR(ABSENSI!$H$10="",$F1184=ABSENSI!$H$10),OR(ABSENSI!$H$11="",$G1184=ABSENSI!$H$11),OR(ABSENSI!$H$12="",$P1184=ABSENSI!$H$12)),MAX($AD$3:AD1183)+1,""))</f>
        <v/>
      </c>
      <c r="AE1184" s="40" t="str">
        <f aca="false">IF($B1184="","",IF(AND(OR(KARTU!$K$6="",$F1184=KARTU!$K$6),OR(KARTU!$K$7="",$G1184=KARTU!$K$7),OR(KARTU!$K$8="",$P1184=KARTU!$K$8)),MAX($AE$3:AE1183)+1,""))</f>
        <v/>
      </c>
    </row>
    <row r="1185" customFormat="false" ht="15" hidden="false" customHeight="false" outlineLevel="0" collapsed="false">
      <c r="A1185" s="35" t="str">
        <f aca="false">IF($B1185="","",COUNTA($B$4:$B1185))</f>
        <v/>
      </c>
      <c r="B1185" s="36"/>
      <c r="C1185" s="37"/>
      <c r="D1185" s="37"/>
      <c r="E1185" s="38"/>
      <c r="F1185" s="36"/>
      <c r="G1185" s="39"/>
      <c r="H1185" s="39"/>
      <c r="I1185" s="36"/>
      <c r="J1185" s="36"/>
      <c r="K1185" s="36"/>
      <c r="L1185" s="36"/>
      <c r="M1185" s="40" t="str">
        <f aca="false">IF($F1185="","",$F1185&amp;IF($G1185="",""," - RT "&amp;$G1185&amp;IF($H1185="","","/"&amp;$H1185)))</f>
        <v/>
      </c>
      <c r="N1185" s="36"/>
      <c r="O1185" s="37"/>
      <c r="P1185" s="39"/>
      <c r="Q1185" s="41"/>
      <c r="R1185" s="35" t="str">
        <f aca="true">IF(OR($B1185="",$Q1185=""),"",DATEDIF($Q1185,TODAY(),"Y"))</f>
        <v/>
      </c>
      <c r="S1185" s="40" t="str">
        <f aca="false">IF($R1185="","",INDEX(usia_label,MATCH($R1185,usia_min,1)))</f>
        <v/>
      </c>
      <c r="T1185" s="36"/>
      <c r="U1185" s="41"/>
      <c r="V1185" s="36"/>
      <c r="W1185" s="36"/>
      <c r="X1185" s="40" t="str">
        <f aca="false">IF($M1185="","",$M1185&amp;"#"&amp;COUNTIF($M$4:$M1185,$M1185))</f>
        <v/>
      </c>
      <c r="Y1185" s="40" t="str">
        <f aca="false">IF($B1185="","",IF($C1185="","NIK kosong",IF(LEN($C1185)&lt;&gt;16,"NIK bukan 16 digit",IF(COUNTIF($C$4:$C$2003,$C1185&amp;"*")&gt;1,"NIK ganda",IF(AND($D1185&lt;&gt;"",LEN($D1185)&lt;&gt;16),"No. KK bukan 16 digit",IF(AND($F1185="",$I1185=""),"Alamat kosong",IF($N1185="","Jabatan kosong",IF($O1185="","No. HP kosong",IF(AND($R1185&lt;&gt;"",$R1185&lt;17),"Usia di bawah 17","")))))))))</f>
        <v/>
      </c>
      <c r="Z1185" s="40" t="str">
        <f aca="false">IF($B1185="","",IF(AND(OR(CARI!$C$5="",ISNUMBER(SEARCH(CARI!$C$5,$B1185&amp;" "&amp;$C1185&amp;" "&amp;$D1185&amp;" "&amp;$O1185&amp;" "&amp;$I1185&amp;" "&amp;$F1185&amp;" "&amp;$J1185&amp;" "&amp;$K1185&amp;" "&amp;$L1185&amp;" "&amp;$V1185))),OR(CARI!$C$6="",$F1185=CARI!$C$6),OR(CARI!$C$7="",$G1185=CARI!$C$7),OR(CARI!$C$8="",$T1185=CARI!$C$8)),MAX($Z$3:Z1184)+1,""))</f>
        <v/>
      </c>
      <c r="AA1185" s="40" t="str">
        <f aca="false">IF($Y1185="","",MAX($AA$3:AA1184)+1)</f>
        <v/>
      </c>
      <c r="AB1185" s="40" t="str">
        <f aca="false">IF($F1185="","",$F1185&amp;"#"&amp;COUNTIF($F$4:$F1185,$F1185))</f>
        <v/>
      </c>
      <c r="AC1185" s="40" t="str">
        <f aca="false">IF($B1185="","",IF(AND(OR(CETAK!$J$10="",$F1185=CETAK!$J$10),OR(CETAK!$J$11="",$G1185=CETAK!$J$11),OR(CETAK!$J$12="",$P1185=CETAK!$J$12),OR(CETAK!$J$13="",$N1185=CETAK!$J$13),OR(CETAK!$J$14="",$T1185=CETAK!$J$14)),MAX($AC$3:AC1184)+1,""))</f>
        <v/>
      </c>
      <c r="AD1185" s="40" t="str">
        <f aca="false">IF($B1185="","",IF(AND(OR(ABSENSI!$H$10="",$F1185=ABSENSI!$H$10),OR(ABSENSI!$H$11="",$G1185=ABSENSI!$H$11),OR(ABSENSI!$H$12="",$P1185=ABSENSI!$H$12)),MAX($AD$3:AD1184)+1,""))</f>
        <v/>
      </c>
      <c r="AE1185" s="40" t="str">
        <f aca="false">IF($B1185="","",IF(AND(OR(KARTU!$K$6="",$F1185=KARTU!$K$6),OR(KARTU!$K$7="",$G1185=KARTU!$K$7),OR(KARTU!$K$8="",$P1185=KARTU!$K$8)),MAX($AE$3:AE1184)+1,""))</f>
        <v/>
      </c>
    </row>
    <row r="1186" customFormat="false" ht="15" hidden="false" customHeight="false" outlineLevel="0" collapsed="false">
      <c r="A1186" s="35" t="str">
        <f aca="false">IF($B1186="","",COUNTA($B$4:$B1186))</f>
        <v/>
      </c>
      <c r="B1186" s="36"/>
      <c r="C1186" s="37"/>
      <c r="D1186" s="37"/>
      <c r="E1186" s="38"/>
      <c r="F1186" s="36"/>
      <c r="G1186" s="39"/>
      <c r="H1186" s="39"/>
      <c r="I1186" s="36"/>
      <c r="J1186" s="36"/>
      <c r="K1186" s="36"/>
      <c r="L1186" s="36"/>
      <c r="M1186" s="40" t="str">
        <f aca="false">IF($F1186="","",$F1186&amp;IF($G1186="",""," - RT "&amp;$G1186&amp;IF($H1186="","","/"&amp;$H1186)))</f>
        <v/>
      </c>
      <c r="N1186" s="36"/>
      <c r="O1186" s="37"/>
      <c r="P1186" s="39"/>
      <c r="Q1186" s="41"/>
      <c r="R1186" s="35" t="str">
        <f aca="true">IF(OR($B1186="",$Q1186=""),"",DATEDIF($Q1186,TODAY(),"Y"))</f>
        <v/>
      </c>
      <c r="S1186" s="40" t="str">
        <f aca="false">IF($R1186="","",INDEX(usia_label,MATCH($R1186,usia_min,1)))</f>
        <v/>
      </c>
      <c r="T1186" s="36"/>
      <c r="U1186" s="41"/>
      <c r="V1186" s="36"/>
      <c r="W1186" s="36"/>
      <c r="X1186" s="40" t="str">
        <f aca="false">IF($M1186="","",$M1186&amp;"#"&amp;COUNTIF($M$4:$M1186,$M1186))</f>
        <v/>
      </c>
      <c r="Y1186" s="40" t="str">
        <f aca="false">IF($B1186="","",IF($C1186="","NIK kosong",IF(LEN($C1186)&lt;&gt;16,"NIK bukan 16 digit",IF(COUNTIF($C$4:$C$2003,$C1186&amp;"*")&gt;1,"NIK ganda",IF(AND($D1186&lt;&gt;"",LEN($D1186)&lt;&gt;16),"No. KK bukan 16 digit",IF(AND($F1186="",$I1186=""),"Alamat kosong",IF($N1186="","Jabatan kosong",IF($O1186="","No. HP kosong",IF(AND($R1186&lt;&gt;"",$R1186&lt;17),"Usia di bawah 17","")))))))))</f>
        <v/>
      </c>
      <c r="Z1186" s="40" t="str">
        <f aca="false">IF($B1186="","",IF(AND(OR(CARI!$C$5="",ISNUMBER(SEARCH(CARI!$C$5,$B1186&amp;" "&amp;$C1186&amp;" "&amp;$D1186&amp;" "&amp;$O1186&amp;" "&amp;$I1186&amp;" "&amp;$F1186&amp;" "&amp;$J1186&amp;" "&amp;$K1186&amp;" "&amp;$L1186&amp;" "&amp;$V1186))),OR(CARI!$C$6="",$F1186=CARI!$C$6),OR(CARI!$C$7="",$G1186=CARI!$C$7),OR(CARI!$C$8="",$T1186=CARI!$C$8)),MAX($Z$3:Z1185)+1,""))</f>
        <v/>
      </c>
      <c r="AA1186" s="40" t="str">
        <f aca="false">IF($Y1186="","",MAX($AA$3:AA1185)+1)</f>
        <v/>
      </c>
      <c r="AB1186" s="40" t="str">
        <f aca="false">IF($F1186="","",$F1186&amp;"#"&amp;COUNTIF($F$4:$F1186,$F1186))</f>
        <v/>
      </c>
      <c r="AC1186" s="40" t="str">
        <f aca="false">IF($B1186="","",IF(AND(OR(CETAK!$J$10="",$F1186=CETAK!$J$10),OR(CETAK!$J$11="",$G1186=CETAK!$J$11),OR(CETAK!$J$12="",$P1186=CETAK!$J$12),OR(CETAK!$J$13="",$N1186=CETAK!$J$13),OR(CETAK!$J$14="",$T1186=CETAK!$J$14)),MAX($AC$3:AC1185)+1,""))</f>
        <v/>
      </c>
      <c r="AD1186" s="40" t="str">
        <f aca="false">IF($B1186="","",IF(AND(OR(ABSENSI!$H$10="",$F1186=ABSENSI!$H$10),OR(ABSENSI!$H$11="",$G1186=ABSENSI!$H$11),OR(ABSENSI!$H$12="",$P1186=ABSENSI!$H$12)),MAX($AD$3:AD1185)+1,""))</f>
        <v/>
      </c>
      <c r="AE1186" s="40" t="str">
        <f aca="false">IF($B1186="","",IF(AND(OR(KARTU!$K$6="",$F1186=KARTU!$K$6),OR(KARTU!$K$7="",$G1186=KARTU!$K$7),OR(KARTU!$K$8="",$P1186=KARTU!$K$8)),MAX($AE$3:AE1185)+1,""))</f>
        <v/>
      </c>
    </row>
    <row r="1187" customFormat="false" ht="15" hidden="false" customHeight="false" outlineLevel="0" collapsed="false">
      <c r="A1187" s="35" t="str">
        <f aca="false">IF($B1187="","",COUNTA($B$4:$B1187))</f>
        <v/>
      </c>
      <c r="B1187" s="36"/>
      <c r="C1187" s="37"/>
      <c r="D1187" s="37"/>
      <c r="E1187" s="38"/>
      <c r="F1187" s="36"/>
      <c r="G1187" s="39"/>
      <c r="H1187" s="39"/>
      <c r="I1187" s="36"/>
      <c r="J1187" s="36"/>
      <c r="K1187" s="36"/>
      <c r="L1187" s="36"/>
      <c r="M1187" s="40" t="str">
        <f aca="false">IF($F1187="","",$F1187&amp;IF($G1187="",""," - RT "&amp;$G1187&amp;IF($H1187="","","/"&amp;$H1187)))</f>
        <v/>
      </c>
      <c r="N1187" s="36"/>
      <c r="O1187" s="37"/>
      <c r="P1187" s="39"/>
      <c r="Q1187" s="41"/>
      <c r="R1187" s="35" t="str">
        <f aca="true">IF(OR($B1187="",$Q1187=""),"",DATEDIF($Q1187,TODAY(),"Y"))</f>
        <v/>
      </c>
      <c r="S1187" s="40" t="str">
        <f aca="false">IF($R1187="","",INDEX(usia_label,MATCH($R1187,usia_min,1)))</f>
        <v/>
      </c>
      <c r="T1187" s="36"/>
      <c r="U1187" s="41"/>
      <c r="V1187" s="36"/>
      <c r="W1187" s="36"/>
      <c r="X1187" s="40" t="str">
        <f aca="false">IF($M1187="","",$M1187&amp;"#"&amp;COUNTIF($M$4:$M1187,$M1187))</f>
        <v/>
      </c>
      <c r="Y1187" s="40" t="str">
        <f aca="false">IF($B1187="","",IF($C1187="","NIK kosong",IF(LEN($C1187)&lt;&gt;16,"NIK bukan 16 digit",IF(COUNTIF($C$4:$C$2003,$C1187&amp;"*")&gt;1,"NIK ganda",IF(AND($D1187&lt;&gt;"",LEN($D1187)&lt;&gt;16),"No. KK bukan 16 digit",IF(AND($F1187="",$I1187=""),"Alamat kosong",IF($N1187="","Jabatan kosong",IF($O1187="","No. HP kosong",IF(AND($R1187&lt;&gt;"",$R1187&lt;17),"Usia di bawah 17","")))))))))</f>
        <v/>
      </c>
      <c r="Z1187" s="40" t="str">
        <f aca="false">IF($B1187="","",IF(AND(OR(CARI!$C$5="",ISNUMBER(SEARCH(CARI!$C$5,$B1187&amp;" "&amp;$C1187&amp;" "&amp;$D1187&amp;" "&amp;$O1187&amp;" "&amp;$I1187&amp;" "&amp;$F1187&amp;" "&amp;$J1187&amp;" "&amp;$K1187&amp;" "&amp;$L1187&amp;" "&amp;$V1187))),OR(CARI!$C$6="",$F1187=CARI!$C$6),OR(CARI!$C$7="",$G1187=CARI!$C$7),OR(CARI!$C$8="",$T1187=CARI!$C$8)),MAX($Z$3:Z1186)+1,""))</f>
        <v/>
      </c>
      <c r="AA1187" s="40" t="str">
        <f aca="false">IF($Y1187="","",MAX($AA$3:AA1186)+1)</f>
        <v/>
      </c>
      <c r="AB1187" s="40" t="str">
        <f aca="false">IF($F1187="","",$F1187&amp;"#"&amp;COUNTIF($F$4:$F1187,$F1187))</f>
        <v/>
      </c>
      <c r="AC1187" s="40" t="str">
        <f aca="false">IF($B1187="","",IF(AND(OR(CETAK!$J$10="",$F1187=CETAK!$J$10),OR(CETAK!$J$11="",$G1187=CETAK!$J$11),OR(CETAK!$J$12="",$P1187=CETAK!$J$12),OR(CETAK!$J$13="",$N1187=CETAK!$J$13),OR(CETAK!$J$14="",$T1187=CETAK!$J$14)),MAX($AC$3:AC1186)+1,""))</f>
        <v/>
      </c>
      <c r="AD1187" s="40" t="str">
        <f aca="false">IF($B1187="","",IF(AND(OR(ABSENSI!$H$10="",$F1187=ABSENSI!$H$10),OR(ABSENSI!$H$11="",$G1187=ABSENSI!$H$11),OR(ABSENSI!$H$12="",$P1187=ABSENSI!$H$12)),MAX($AD$3:AD1186)+1,""))</f>
        <v/>
      </c>
      <c r="AE1187" s="40" t="str">
        <f aca="false">IF($B1187="","",IF(AND(OR(KARTU!$K$6="",$F1187=KARTU!$K$6),OR(KARTU!$K$7="",$G1187=KARTU!$K$7),OR(KARTU!$K$8="",$P1187=KARTU!$K$8)),MAX($AE$3:AE1186)+1,""))</f>
        <v/>
      </c>
    </row>
    <row r="1188" customFormat="false" ht="15" hidden="false" customHeight="false" outlineLevel="0" collapsed="false">
      <c r="A1188" s="35" t="str">
        <f aca="false">IF($B1188="","",COUNTA($B$4:$B1188))</f>
        <v/>
      </c>
      <c r="B1188" s="36"/>
      <c r="C1188" s="37"/>
      <c r="D1188" s="37"/>
      <c r="E1188" s="38"/>
      <c r="F1188" s="36"/>
      <c r="G1188" s="39"/>
      <c r="H1188" s="39"/>
      <c r="I1188" s="36"/>
      <c r="J1188" s="36"/>
      <c r="K1188" s="36"/>
      <c r="L1188" s="36"/>
      <c r="M1188" s="40" t="str">
        <f aca="false">IF($F1188="","",$F1188&amp;IF($G1188="",""," - RT "&amp;$G1188&amp;IF($H1188="","","/"&amp;$H1188)))</f>
        <v/>
      </c>
      <c r="N1188" s="36"/>
      <c r="O1188" s="37"/>
      <c r="P1188" s="39"/>
      <c r="Q1188" s="41"/>
      <c r="R1188" s="35" t="str">
        <f aca="true">IF(OR($B1188="",$Q1188=""),"",DATEDIF($Q1188,TODAY(),"Y"))</f>
        <v/>
      </c>
      <c r="S1188" s="40" t="str">
        <f aca="false">IF($R1188="","",INDEX(usia_label,MATCH($R1188,usia_min,1)))</f>
        <v/>
      </c>
      <c r="T1188" s="36"/>
      <c r="U1188" s="41"/>
      <c r="V1188" s="36"/>
      <c r="W1188" s="36"/>
      <c r="X1188" s="40" t="str">
        <f aca="false">IF($M1188="","",$M1188&amp;"#"&amp;COUNTIF($M$4:$M1188,$M1188))</f>
        <v/>
      </c>
      <c r="Y1188" s="40" t="str">
        <f aca="false">IF($B1188="","",IF($C1188="","NIK kosong",IF(LEN($C1188)&lt;&gt;16,"NIK bukan 16 digit",IF(COUNTIF($C$4:$C$2003,$C1188&amp;"*")&gt;1,"NIK ganda",IF(AND($D1188&lt;&gt;"",LEN($D1188)&lt;&gt;16),"No. KK bukan 16 digit",IF(AND($F1188="",$I1188=""),"Alamat kosong",IF($N1188="","Jabatan kosong",IF($O1188="","No. HP kosong",IF(AND($R1188&lt;&gt;"",$R1188&lt;17),"Usia di bawah 17","")))))))))</f>
        <v/>
      </c>
      <c r="Z1188" s="40" t="str">
        <f aca="false">IF($B1188="","",IF(AND(OR(CARI!$C$5="",ISNUMBER(SEARCH(CARI!$C$5,$B1188&amp;" "&amp;$C1188&amp;" "&amp;$D1188&amp;" "&amp;$O1188&amp;" "&amp;$I1188&amp;" "&amp;$F1188&amp;" "&amp;$J1188&amp;" "&amp;$K1188&amp;" "&amp;$L1188&amp;" "&amp;$V1188))),OR(CARI!$C$6="",$F1188=CARI!$C$6),OR(CARI!$C$7="",$G1188=CARI!$C$7),OR(CARI!$C$8="",$T1188=CARI!$C$8)),MAX($Z$3:Z1187)+1,""))</f>
        <v/>
      </c>
      <c r="AA1188" s="40" t="str">
        <f aca="false">IF($Y1188="","",MAX($AA$3:AA1187)+1)</f>
        <v/>
      </c>
      <c r="AB1188" s="40" t="str">
        <f aca="false">IF($F1188="","",$F1188&amp;"#"&amp;COUNTIF($F$4:$F1188,$F1188))</f>
        <v/>
      </c>
      <c r="AC1188" s="40" t="str">
        <f aca="false">IF($B1188="","",IF(AND(OR(CETAK!$J$10="",$F1188=CETAK!$J$10),OR(CETAK!$J$11="",$G1188=CETAK!$J$11),OR(CETAK!$J$12="",$P1188=CETAK!$J$12),OR(CETAK!$J$13="",$N1188=CETAK!$J$13),OR(CETAK!$J$14="",$T1188=CETAK!$J$14)),MAX($AC$3:AC1187)+1,""))</f>
        <v/>
      </c>
      <c r="AD1188" s="40" t="str">
        <f aca="false">IF($B1188="","",IF(AND(OR(ABSENSI!$H$10="",$F1188=ABSENSI!$H$10),OR(ABSENSI!$H$11="",$G1188=ABSENSI!$H$11),OR(ABSENSI!$H$12="",$P1188=ABSENSI!$H$12)),MAX($AD$3:AD1187)+1,""))</f>
        <v/>
      </c>
      <c r="AE1188" s="40" t="str">
        <f aca="false">IF($B1188="","",IF(AND(OR(KARTU!$K$6="",$F1188=KARTU!$K$6),OR(KARTU!$K$7="",$G1188=KARTU!$K$7),OR(KARTU!$K$8="",$P1188=KARTU!$K$8)),MAX($AE$3:AE1187)+1,""))</f>
        <v/>
      </c>
    </row>
    <row r="1189" customFormat="false" ht="15" hidden="false" customHeight="false" outlineLevel="0" collapsed="false">
      <c r="A1189" s="35" t="str">
        <f aca="false">IF($B1189="","",COUNTA($B$4:$B1189))</f>
        <v/>
      </c>
      <c r="B1189" s="36"/>
      <c r="C1189" s="37"/>
      <c r="D1189" s="37"/>
      <c r="E1189" s="38"/>
      <c r="F1189" s="36"/>
      <c r="G1189" s="39"/>
      <c r="H1189" s="39"/>
      <c r="I1189" s="36"/>
      <c r="J1189" s="36"/>
      <c r="K1189" s="36"/>
      <c r="L1189" s="36"/>
      <c r="M1189" s="40" t="str">
        <f aca="false">IF($F1189="","",$F1189&amp;IF($G1189="",""," - RT "&amp;$G1189&amp;IF($H1189="","","/"&amp;$H1189)))</f>
        <v/>
      </c>
      <c r="N1189" s="36"/>
      <c r="O1189" s="37"/>
      <c r="P1189" s="39"/>
      <c r="Q1189" s="41"/>
      <c r="R1189" s="35" t="str">
        <f aca="true">IF(OR($B1189="",$Q1189=""),"",DATEDIF($Q1189,TODAY(),"Y"))</f>
        <v/>
      </c>
      <c r="S1189" s="40" t="str">
        <f aca="false">IF($R1189="","",INDEX(usia_label,MATCH($R1189,usia_min,1)))</f>
        <v/>
      </c>
      <c r="T1189" s="36"/>
      <c r="U1189" s="41"/>
      <c r="V1189" s="36"/>
      <c r="W1189" s="36"/>
      <c r="X1189" s="40" t="str">
        <f aca="false">IF($M1189="","",$M1189&amp;"#"&amp;COUNTIF($M$4:$M1189,$M1189))</f>
        <v/>
      </c>
      <c r="Y1189" s="40" t="str">
        <f aca="false">IF($B1189="","",IF($C1189="","NIK kosong",IF(LEN($C1189)&lt;&gt;16,"NIK bukan 16 digit",IF(COUNTIF($C$4:$C$2003,$C1189&amp;"*")&gt;1,"NIK ganda",IF(AND($D1189&lt;&gt;"",LEN($D1189)&lt;&gt;16),"No. KK bukan 16 digit",IF(AND($F1189="",$I1189=""),"Alamat kosong",IF($N1189="","Jabatan kosong",IF($O1189="","No. HP kosong",IF(AND($R1189&lt;&gt;"",$R1189&lt;17),"Usia di bawah 17","")))))))))</f>
        <v/>
      </c>
      <c r="Z1189" s="40" t="str">
        <f aca="false">IF($B1189="","",IF(AND(OR(CARI!$C$5="",ISNUMBER(SEARCH(CARI!$C$5,$B1189&amp;" "&amp;$C1189&amp;" "&amp;$D1189&amp;" "&amp;$O1189&amp;" "&amp;$I1189&amp;" "&amp;$F1189&amp;" "&amp;$J1189&amp;" "&amp;$K1189&amp;" "&amp;$L1189&amp;" "&amp;$V1189))),OR(CARI!$C$6="",$F1189=CARI!$C$6),OR(CARI!$C$7="",$G1189=CARI!$C$7),OR(CARI!$C$8="",$T1189=CARI!$C$8)),MAX($Z$3:Z1188)+1,""))</f>
        <v/>
      </c>
      <c r="AA1189" s="40" t="str">
        <f aca="false">IF($Y1189="","",MAX($AA$3:AA1188)+1)</f>
        <v/>
      </c>
      <c r="AB1189" s="40" t="str">
        <f aca="false">IF($F1189="","",$F1189&amp;"#"&amp;COUNTIF($F$4:$F1189,$F1189))</f>
        <v/>
      </c>
      <c r="AC1189" s="40" t="str">
        <f aca="false">IF($B1189="","",IF(AND(OR(CETAK!$J$10="",$F1189=CETAK!$J$10),OR(CETAK!$J$11="",$G1189=CETAK!$J$11),OR(CETAK!$J$12="",$P1189=CETAK!$J$12),OR(CETAK!$J$13="",$N1189=CETAK!$J$13),OR(CETAK!$J$14="",$T1189=CETAK!$J$14)),MAX($AC$3:AC1188)+1,""))</f>
        <v/>
      </c>
      <c r="AD1189" s="40" t="str">
        <f aca="false">IF($B1189="","",IF(AND(OR(ABSENSI!$H$10="",$F1189=ABSENSI!$H$10),OR(ABSENSI!$H$11="",$G1189=ABSENSI!$H$11),OR(ABSENSI!$H$12="",$P1189=ABSENSI!$H$12)),MAX($AD$3:AD1188)+1,""))</f>
        <v/>
      </c>
      <c r="AE1189" s="40" t="str">
        <f aca="false">IF($B1189="","",IF(AND(OR(KARTU!$K$6="",$F1189=KARTU!$K$6),OR(KARTU!$K$7="",$G1189=KARTU!$K$7),OR(KARTU!$K$8="",$P1189=KARTU!$K$8)),MAX($AE$3:AE1188)+1,""))</f>
        <v/>
      </c>
    </row>
    <row r="1190" customFormat="false" ht="15" hidden="false" customHeight="false" outlineLevel="0" collapsed="false">
      <c r="A1190" s="35" t="str">
        <f aca="false">IF($B1190="","",COUNTA($B$4:$B1190))</f>
        <v/>
      </c>
      <c r="B1190" s="36"/>
      <c r="C1190" s="37"/>
      <c r="D1190" s="37"/>
      <c r="E1190" s="38"/>
      <c r="F1190" s="36"/>
      <c r="G1190" s="39"/>
      <c r="H1190" s="39"/>
      <c r="I1190" s="36"/>
      <c r="J1190" s="36"/>
      <c r="K1190" s="36"/>
      <c r="L1190" s="36"/>
      <c r="M1190" s="40" t="str">
        <f aca="false">IF($F1190="","",$F1190&amp;IF($G1190="",""," - RT "&amp;$G1190&amp;IF($H1190="","","/"&amp;$H1190)))</f>
        <v/>
      </c>
      <c r="N1190" s="36"/>
      <c r="O1190" s="37"/>
      <c r="P1190" s="39"/>
      <c r="Q1190" s="41"/>
      <c r="R1190" s="35" t="str">
        <f aca="true">IF(OR($B1190="",$Q1190=""),"",DATEDIF($Q1190,TODAY(),"Y"))</f>
        <v/>
      </c>
      <c r="S1190" s="40" t="str">
        <f aca="false">IF($R1190="","",INDEX(usia_label,MATCH($R1190,usia_min,1)))</f>
        <v/>
      </c>
      <c r="T1190" s="36"/>
      <c r="U1190" s="41"/>
      <c r="V1190" s="36"/>
      <c r="W1190" s="36"/>
      <c r="X1190" s="40" t="str">
        <f aca="false">IF($M1190="","",$M1190&amp;"#"&amp;COUNTIF($M$4:$M1190,$M1190))</f>
        <v/>
      </c>
      <c r="Y1190" s="40" t="str">
        <f aca="false">IF($B1190="","",IF($C1190="","NIK kosong",IF(LEN($C1190)&lt;&gt;16,"NIK bukan 16 digit",IF(COUNTIF($C$4:$C$2003,$C1190&amp;"*")&gt;1,"NIK ganda",IF(AND($D1190&lt;&gt;"",LEN($D1190)&lt;&gt;16),"No. KK bukan 16 digit",IF(AND($F1190="",$I1190=""),"Alamat kosong",IF($N1190="","Jabatan kosong",IF($O1190="","No. HP kosong",IF(AND($R1190&lt;&gt;"",$R1190&lt;17),"Usia di bawah 17","")))))))))</f>
        <v/>
      </c>
      <c r="Z1190" s="40" t="str">
        <f aca="false">IF($B1190="","",IF(AND(OR(CARI!$C$5="",ISNUMBER(SEARCH(CARI!$C$5,$B1190&amp;" "&amp;$C1190&amp;" "&amp;$D1190&amp;" "&amp;$O1190&amp;" "&amp;$I1190&amp;" "&amp;$F1190&amp;" "&amp;$J1190&amp;" "&amp;$K1190&amp;" "&amp;$L1190&amp;" "&amp;$V1190))),OR(CARI!$C$6="",$F1190=CARI!$C$6),OR(CARI!$C$7="",$G1190=CARI!$C$7),OR(CARI!$C$8="",$T1190=CARI!$C$8)),MAX($Z$3:Z1189)+1,""))</f>
        <v/>
      </c>
      <c r="AA1190" s="40" t="str">
        <f aca="false">IF($Y1190="","",MAX($AA$3:AA1189)+1)</f>
        <v/>
      </c>
      <c r="AB1190" s="40" t="str">
        <f aca="false">IF($F1190="","",$F1190&amp;"#"&amp;COUNTIF($F$4:$F1190,$F1190))</f>
        <v/>
      </c>
      <c r="AC1190" s="40" t="str">
        <f aca="false">IF($B1190="","",IF(AND(OR(CETAK!$J$10="",$F1190=CETAK!$J$10),OR(CETAK!$J$11="",$G1190=CETAK!$J$11),OR(CETAK!$J$12="",$P1190=CETAK!$J$12),OR(CETAK!$J$13="",$N1190=CETAK!$J$13),OR(CETAK!$J$14="",$T1190=CETAK!$J$14)),MAX($AC$3:AC1189)+1,""))</f>
        <v/>
      </c>
      <c r="AD1190" s="40" t="str">
        <f aca="false">IF($B1190="","",IF(AND(OR(ABSENSI!$H$10="",$F1190=ABSENSI!$H$10),OR(ABSENSI!$H$11="",$G1190=ABSENSI!$H$11),OR(ABSENSI!$H$12="",$P1190=ABSENSI!$H$12)),MAX($AD$3:AD1189)+1,""))</f>
        <v/>
      </c>
      <c r="AE1190" s="40" t="str">
        <f aca="false">IF($B1190="","",IF(AND(OR(KARTU!$K$6="",$F1190=KARTU!$K$6),OR(KARTU!$K$7="",$G1190=KARTU!$K$7),OR(KARTU!$K$8="",$P1190=KARTU!$K$8)),MAX($AE$3:AE1189)+1,""))</f>
        <v/>
      </c>
    </row>
    <row r="1191" customFormat="false" ht="15" hidden="false" customHeight="false" outlineLevel="0" collapsed="false">
      <c r="A1191" s="35" t="str">
        <f aca="false">IF($B1191="","",COUNTA($B$4:$B1191))</f>
        <v/>
      </c>
      <c r="B1191" s="36"/>
      <c r="C1191" s="37"/>
      <c r="D1191" s="37"/>
      <c r="E1191" s="38"/>
      <c r="F1191" s="36"/>
      <c r="G1191" s="39"/>
      <c r="H1191" s="39"/>
      <c r="I1191" s="36"/>
      <c r="J1191" s="36"/>
      <c r="K1191" s="36"/>
      <c r="L1191" s="36"/>
      <c r="M1191" s="40" t="str">
        <f aca="false">IF($F1191="","",$F1191&amp;IF($G1191="",""," - RT "&amp;$G1191&amp;IF($H1191="","","/"&amp;$H1191)))</f>
        <v/>
      </c>
      <c r="N1191" s="36"/>
      <c r="O1191" s="37"/>
      <c r="P1191" s="39"/>
      <c r="Q1191" s="41"/>
      <c r="R1191" s="35" t="str">
        <f aca="true">IF(OR($B1191="",$Q1191=""),"",DATEDIF($Q1191,TODAY(),"Y"))</f>
        <v/>
      </c>
      <c r="S1191" s="40" t="str">
        <f aca="false">IF($R1191="","",INDEX(usia_label,MATCH($R1191,usia_min,1)))</f>
        <v/>
      </c>
      <c r="T1191" s="36"/>
      <c r="U1191" s="41"/>
      <c r="V1191" s="36"/>
      <c r="W1191" s="36"/>
      <c r="X1191" s="40" t="str">
        <f aca="false">IF($M1191="","",$M1191&amp;"#"&amp;COUNTIF($M$4:$M1191,$M1191))</f>
        <v/>
      </c>
      <c r="Y1191" s="40" t="str">
        <f aca="false">IF($B1191="","",IF($C1191="","NIK kosong",IF(LEN($C1191)&lt;&gt;16,"NIK bukan 16 digit",IF(COUNTIF($C$4:$C$2003,$C1191&amp;"*")&gt;1,"NIK ganda",IF(AND($D1191&lt;&gt;"",LEN($D1191)&lt;&gt;16),"No. KK bukan 16 digit",IF(AND($F1191="",$I1191=""),"Alamat kosong",IF($N1191="","Jabatan kosong",IF($O1191="","No. HP kosong",IF(AND($R1191&lt;&gt;"",$R1191&lt;17),"Usia di bawah 17","")))))))))</f>
        <v/>
      </c>
      <c r="Z1191" s="40" t="str">
        <f aca="false">IF($B1191="","",IF(AND(OR(CARI!$C$5="",ISNUMBER(SEARCH(CARI!$C$5,$B1191&amp;" "&amp;$C1191&amp;" "&amp;$D1191&amp;" "&amp;$O1191&amp;" "&amp;$I1191&amp;" "&amp;$F1191&amp;" "&amp;$J1191&amp;" "&amp;$K1191&amp;" "&amp;$L1191&amp;" "&amp;$V1191))),OR(CARI!$C$6="",$F1191=CARI!$C$6),OR(CARI!$C$7="",$G1191=CARI!$C$7),OR(CARI!$C$8="",$T1191=CARI!$C$8)),MAX($Z$3:Z1190)+1,""))</f>
        <v/>
      </c>
      <c r="AA1191" s="40" t="str">
        <f aca="false">IF($Y1191="","",MAX($AA$3:AA1190)+1)</f>
        <v/>
      </c>
      <c r="AB1191" s="40" t="str">
        <f aca="false">IF($F1191="","",$F1191&amp;"#"&amp;COUNTIF($F$4:$F1191,$F1191))</f>
        <v/>
      </c>
      <c r="AC1191" s="40" t="str">
        <f aca="false">IF($B1191="","",IF(AND(OR(CETAK!$J$10="",$F1191=CETAK!$J$10),OR(CETAK!$J$11="",$G1191=CETAK!$J$11),OR(CETAK!$J$12="",$P1191=CETAK!$J$12),OR(CETAK!$J$13="",$N1191=CETAK!$J$13),OR(CETAK!$J$14="",$T1191=CETAK!$J$14)),MAX($AC$3:AC1190)+1,""))</f>
        <v/>
      </c>
      <c r="AD1191" s="40" t="str">
        <f aca="false">IF($B1191="","",IF(AND(OR(ABSENSI!$H$10="",$F1191=ABSENSI!$H$10),OR(ABSENSI!$H$11="",$G1191=ABSENSI!$H$11),OR(ABSENSI!$H$12="",$P1191=ABSENSI!$H$12)),MAX($AD$3:AD1190)+1,""))</f>
        <v/>
      </c>
      <c r="AE1191" s="40" t="str">
        <f aca="false">IF($B1191="","",IF(AND(OR(KARTU!$K$6="",$F1191=KARTU!$K$6),OR(KARTU!$K$7="",$G1191=KARTU!$K$7),OR(KARTU!$K$8="",$P1191=KARTU!$K$8)),MAX($AE$3:AE1190)+1,""))</f>
        <v/>
      </c>
    </row>
    <row r="1192" customFormat="false" ht="15" hidden="false" customHeight="false" outlineLevel="0" collapsed="false">
      <c r="A1192" s="35" t="str">
        <f aca="false">IF($B1192="","",COUNTA($B$4:$B1192))</f>
        <v/>
      </c>
      <c r="B1192" s="36"/>
      <c r="C1192" s="37"/>
      <c r="D1192" s="37"/>
      <c r="E1192" s="38"/>
      <c r="F1192" s="36"/>
      <c r="G1192" s="39"/>
      <c r="H1192" s="39"/>
      <c r="I1192" s="36"/>
      <c r="J1192" s="36"/>
      <c r="K1192" s="36"/>
      <c r="L1192" s="36"/>
      <c r="M1192" s="40" t="str">
        <f aca="false">IF($F1192="","",$F1192&amp;IF($G1192="",""," - RT "&amp;$G1192&amp;IF($H1192="","","/"&amp;$H1192)))</f>
        <v/>
      </c>
      <c r="N1192" s="36"/>
      <c r="O1192" s="37"/>
      <c r="P1192" s="39"/>
      <c r="Q1192" s="41"/>
      <c r="R1192" s="35" t="str">
        <f aca="true">IF(OR($B1192="",$Q1192=""),"",DATEDIF($Q1192,TODAY(),"Y"))</f>
        <v/>
      </c>
      <c r="S1192" s="40" t="str">
        <f aca="false">IF($R1192="","",INDEX(usia_label,MATCH($R1192,usia_min,1)))</f>
        <v/>
      </c>
      <c r="T1192" s="36"/>
      <c r="U1192" s="41"/>
      <c r="V1192" s="36"/>
      <c r="W1192" s="36"/>
      <c r="X1192" s="40" t="str">
        <f aca="false">IF($M1192="","",$M1192&amp;"#"&amp;COUNTIF($M$4:$M1192,$M1192))</f>
        <v/>
      </c>
      <c r="Y1192" s="40" t="str">
        <f aca="false">IF($B1192="","",IF($C1192="","NIK kosong",IF(LEN($C1192)&lt;&gt;16,"NIK bukan 16 digit",IF(COUNTIF($C$4:$C$2003,$C1192&amp;"*")&gt;1,"NIK ganda",IF(AND($D1192&lt;&gt;"",LEN($D1192)&lt;&gt;16),"No. KK bukan 16 digit",IF(AND($F1192="",$I1192=""),"Alamat kosong",IF($N1192="","Jabatan kosong",IF($O1192="","No. HP kosong",IF(AND($R1192&lt;&gt;"",$R1192&lt;17),"Usia di bawah 17","")))))))))</f>
        <v/>
      </c>
      <c r="Z1192" s="40" t="str">
        <f aca="false">IF($B1192="","",IF(AND(OR(CARI!$C$5="",ISNUMBER(SEARCH(CARI!$C$5,$B1192&amp;" "&amp;$C1192&amp;" "&amp;$D1192&amp;" "&amp;$O1192&amp;" "&amp;$I1192&amp;" "&amp;$F1192&amp;" "&amp;$J1192&amp;" "&amp;$K1192&amp;" "&amp;$L1192&amp;" "&amp;$V1192))),OR(CARI!$C$6="",$F1192=CARI!$C$6),OR(CARI!$C$7="",$G1192=CARI!$C$7),OR(CARI!$C$8="",$T1192=CARI!$C$8)),MAX($Z$3:Z1191)+1,""))</f>
        <v/>
      </c>
      <c r="AA1192" s="40" t="str">
        <f aca="false">IF($Y1192="","",MAX($AA$3:AA1191)+1)</f>
        <v/>
      </c>
      <c r="AB1192" s="40" t="str">
        <f aca="false">IF($F1192="","",$F1192&amp;"#"&amp;COUNTIF($F$4:$F1192,$F1192))</f>
        <v/>
      </c>
      <c r="AC1192" s="40" t="str">
        <f aca="false">IF($B1192="","",IF(AND(OR(CETAK!$J$10="",$F1192=CETAK!$J$10),OR(CETAK!$J$11="",$G1192=CETAK!$J$11),OR(CETAK!$J$12="",$P1192=CETAK!$J$12),OR(CETAK!$J$13="",$N1192=CETAK!$J$13),OR(CETAK!$J$14="",$T1192=CETAK!$J$14)),MAX($AC$3:AC1191)+1,""))</f>
        <v/>
      </c>
      <c r="AD1192" s="40" t="str">
        <f aca="false">IF($B1192="","",IF(AND(OR(ABSENSI!$H$10="",$F1192=ABSENSI!$H$10),OR(ABSENSI!$H$11="",$G1192=ABSENSI!$H$11),OR(ABSENSI!$H$12="",$P1192=ABSENSI!$H$12)),MAX($AD$3:AD1191)+1,""))</f>
        <v/>
      </c>
      <c r="AE1192" s="40" t="str">
        <f aca="false">IF($B1192="","",IF(AND(OR(KARTU!$K$6="",$F1192=KARTU!$K$6),OR(KARTU!$K$7="",$G1192=KARTU!$K$7),OR(KARTU!$K$8="",$P1192=KARTU!$K$8)),MAX($AE$3:AE1191)+1,""))</f>
        <v/>
      </c>
    </row>
    <row r="1193" customFormat="false" ht="15" hidden="false" customHeight="false" outlineLevel="0" collapsed="false">
      <c r="A1193" s="35" t="str">
        <f aca="false">IF($B1193="","",COUNTA($B$4:$B1193))</f>
        <v/>
      </c>
      <c r="B1193" s="36"/>
      <c r="C1193" s="37"/>
      <c r="D1193" s="37"/>
      <c r="E1193" s="38"/>
      <c r="F1193" s="36"/>
      <c r="G1193" s="39"/>
      <c r="H1193" s="39"/>
      <c r="I1193" s="36"/>
      <c r="J1193" s="36"/>
      <c r="K1193" s="36"/>
      <c r="L1193" s="36"/>
      <c r="M1193" s="40" t="str">
        <f aca="false">IF($F1193="","",$F1193&amp;IF($G1193="",""," - RT "&amp;$G1193&amp;IF($H1193="","","/"&amp;$H1193)))</f>
        <v/>
      </c>
      <c r="N1193" s="36"/>
      <c r="O1193" s="37"/>
      <c r="P1193" s="39"/>
      <c r="Q1193" s="41"/>
      <c r="R1193" s="35" t="str">
        <f aca="true">IF(OR($B1193="",$Q1193=""),"",DATEDIF($Q1193,TODAY(),"Y"))</f>
        <v/>
      </c>
      <c r="S1193" s="40" t="str">
        <f aca="false">IF($R1193="","",INDEX(usia_label,MATCH($R1193,usia_min,1)))</f>
        <v/>
      </c>
      <c r="T1193" s="36"/>
      <c r="U1193" s="41"/>
      <c r="V1193" s="36"/>
      <c r="W1193" s="36"/>
      <c r="X1193" s="40" t="str">
        <f aca="false">IF($M1193="","",$M1193&amp;"#"&amp;COUNTIF($M$4:$M1193,$M1193))</f>
        <v/>
      </c>
      <c r="Y1193" s="40" t="str">
        <f aca="false">IF($B1193="","",IF($C1193="","NIK kosong",IF(LEN($C1193)&lt;&gt;16,"NIK bukan 16 digit",IF(COUNTIF($C$4:$C$2003,$C1193&amp;"*")&gt;1,"NIK ganda",IF(AND($D1193&lt;&gt;"",LEN($D1193)&lt;&gt;16),"No. KK bukan 16 digit",IF(AND($F1193="",$I1193=""),"Alamat kosong",IF($N1193="","Jabatan kosong",IF($O1193="","No. HP kosong",IF(AND($R1193&lt;&gt;"",$R1193&lt;17),"Usia di bawah 17","")))))))))</f>
        <v/>
      </c>
      <c r="Z1193" s="40" t="str">
        <f aca="false">IF($B1193="","",IF(AND(OR(CARI!$C$5="",ISNUMBER(SEARCH(CARI!$C$5,$B1193&amp;" "&amp;$C1193&amp;" "&amp;$D1193&amp;" "&amp;$O1193&amp;" "&amp;$I1193&amp;" "&amp;$F1193&amp;" "&amp;$J1193&amp;" "&amp;$K1193&amp;" "&amp;$L1193&amp;" "&amp;$V1193))),OR(CARI!$C$6="",$F1193=CARI!$C$6),OR(CARI!$C$7="",$G1193=CARI!$C$7),OR(CARI!$C$8="",$T1193=CARI!$C$8)),MAX($Z$3:Z1192)+1,""))</f>
        <v/>
      </c>
      <c r="AA1193" s="40" t="str">
        <f aca="false">IF($Y1193="","",MAX($AA$3:AA1192)+1)</f>
        <v/>
      </c>
      <c r="AB1193" s="40" t="str">
        <f aca="false">IF($F1193="","",$F1193&amp;"#"&amp;COUNTIF($F$4:$F1193,$F1193))</f>
        <v/>
      </c>
      <c r="AC1193" s="40" t="str">
        <f aca="false">IF($B1193="","",IF(AND(OR(CETAK!$J$10="",$F1193=CETAK!$J$10),OR(CETAK!$J$11="",$G1193=CETAK!$J$11),OR(CETAK!$J$12="",$P1193=CETAK!$J$12),OR(CETAK!$J$13="",$N1193=CETAK!$J$13),OR(CETAK!$J$14="",$T1193=CETAK!$J$14)),MAX($AC$3:AC1192)+1,""))</f>
        <v/>
      </c>
      <c r="AD1193" s="40" t="str">
        <f aca="false">IF($B1193="","",IF(AND(OR(ABSENSI!$H$10="",$F1193=ABSENSI!$H$10),OR(ABSENSI!$H$11="",$G1193=ABSENSI!$H$11),OR(ABSENSI!$H$12="",$P1193=ABSENSI!$H$12)),MAX($AD$3:AD1192)+1,""))</f>
        <v/>
      </c>
      <c r="AE1193" s="40" t="str">
        <f aca="false">IF($B1193="","",IF(AND(OR(KARTU!$K$6="",$F1193=KARTU!$K$6),OR(KARTU!$K$7="",$G1193=KARTU!$K$7),OR(KARTU!$K$8="",$P1193=KARTU!$K$8)),MAX($AE$3:AE1192)+1,""))</f>
        <v/>
      </c>
    </row>
    <row r="1194" customFormat="false" ht="15" hidden="false" customHeight="false" outlineLevel="0" collapsed="false">
      <c r="A1194" s="35" t="str">
        <f aca="false">IF($B1194="","",COUNTA($B$4:$B1194))</f>
        <v/>
      </c>
      <c r="B1194" s="36"/>
      <c r="C1194" s="37"/>
      <c r="D1194" s="37"/>
      <c r="E1194" s="38"/>
      <c r="F1194" s="36"/>
      <c r="G1194" s="39"/>
      <c r="H1194" s="39"/>
      <c r="I1194" s="36"/>
      <c r="J1194" s="36"/>
      <c r="K1194" s="36"/>
      <c r="L1194" s="36"/>
      <c r="M1194" s="40" t="str">
        <f aca="false">IF($F1194="","",$F1194&amp;IF($G1194="",""," - RT "&amp;$G1194&amp;IF($H1194="","","/"&amp;$H1194)))</f>
        <v/>
      </c>
      <c r="N1194" s="36"/>
      <c r="O1194" s="37"/>
      <c r="P1194" s="39"/>
      <c r="Q1194" s="41"/>
      <c r="R1194" s="35" t="str">
        <f aca="true">IF(OR($B1194="",$Q1194=""),"",DATEDIF($Q1194,TODAY(),"Y"))</f>
        <v/>
      </c>
      <c r="S1194" s="40" t="str">
        <f aca="false">IF($R1194="","",INDEX(usia_label,MATCH($R1194,usia_min,1)))</f>
        <v/>
      </c>
      <c r="T1194" s="36"/>
      <c r="U1194" s="41"/>
      <c r="V1194" s="36"/>
      <c r="W1194" s="36"/>
      <c r="X1194" s="40" t="str">
        <f aca="false">IF($M1194="","",$M1194&amp;"#"&amp;COUNTIF($M$4:$M1194,$M1194))</f>
        <v/>
      </c>
      <c r="Y1194" s="40" t="str">
        <f aca="false">IF($B1194="","",IF($C1194="","NIK kosong",IF(LEN($C1194)&lt;&gt;16,"NIK bukan 16 digit",IF(COUNTIF($C$4:$C$2003,$C1194&amp;"*")&gt;1,"NIK ganda",IF(AND($D1194&lt;&gt;"",LEN($D1194)&lt;&gt;16),"No. KK bukan 16 digit",IF(AND($F1194="",$I1194=""),"Alamat kosong",IF($N1194="","Jabatan kosong",IF($O1194="","No. HP kosong",IF(AND($R1194&lt;&gt;"",$R1194&lt;17),"Usia di bawah 17","")))))))))</f>
        <v/>
      </c>
      <c r="Z1194" s="40" t="str">
        <f aca="false">IF($B1194="","",IF(AND(OR(CARI!$C$5="",ISNUMBER(SEARCH(CARI!$C$5,$B1194&amp;" "&amp;$C1194&amp;" "&amp;$D1194&amp;" "&amp;$O1194&amp;" "&amp;$I1194&amp;" "&amp;$F1194&amp;" "&amp;$J1194&amp;" "&amp;$K1194&amp;" "&amp;$L1194&amp;" "&amp;$V1194))),OR(CARI!$C$6="",$F1194=CARI!$C$6),OR(CARI!$C$7="",$G1194=CARI!$C$7),OR(CARI!$C$8="",$T1194=CARI!$C$8)),MAX($Z$3:Z1193)+1,""))</f>
        <v/>
      </c>
      <c r="AA1194" s="40" t="str">
        <f aca="false">IF($Y1194="","",MAX($AA$3:AA1193)+1)</f>
        <v/>
      </c>
      <c r="AB1194" s="40" t="str">
        <f aca="false">IF($F1194="","",$F1194&amp;"#"&amp;COUNTIF($F$4:$F1194,$F1194))</f>
        <v/>
      </c>
      <c r="AC1194" s="40" t="str">
        <f aca="false">IF($B1194="","",IF(AND(OR(CETAK!$J$10="",$F1194=CETAK!$J$10),OR(CETAK!$J$11="",$G1194=CETAK!$J$11),OR(CETAK!$J$12="",$P1194=CETAK!$J$12),OR(CETAK!$J$13="",$N1194=CETAK!$J$13),OR(CETAK!$J$14="",$T1194=CETAK!$J$14)),MAX($AC$3:AC1193)+1,""))</f>
        <v/>
      </c>
      <c r="AD1194" s="40" t="str">
        <f aca="false">IF($B1194="","",IF(AND(OR(ABSENSI!$H$10="",$F1194=ABSENSI!$H$10),OR(ABSENSI!$H$11="",$G1194=ABSENSI!$H$11),OR(ABSENSI!$H$12="",$P1194=ABSENSI!$H$12)),MAX($AD$3:AD1193)+1,""))</f>
        <v/>
      </c>
      <c r="AE1194" s="40" t="str">
        <f aca="false">IF($B1194="","",IF(AND(OR(KARTU!$K$6="",$F1194=KARTU!$K$6),OR(KARTU!$K$7="",$G1194=KARTU!$K$7),OR(KARTU!$K$8="",$P1194=KARTU!$K$8)),MAX($AE$3:AE1193)+1,""))</f>
        <v/>
      </c>
    </row>
    <row r="1195" customFormat="false" ht="15" hidden="false" customHeight="false" outlineLevel="0" collapsed="false">
      <c r="A1195" s="35" t="str">
        <f aca="false">IF($B1195="","",COUNTA($B$4:$B1195))</f>
        <v/>
      </c>
      <c r="B1195" s="36"/>
      <c r="C1195" s="37"/>
      <c r="D1195" s="37"/>
      <c r="E1195" s="38"/>
      <c r="F1195" s="36"/>
      <c r="G1195" s="39"/>
      <c r="H1195" s="39"/>
      <c r="I1195" s="36"/>
      <c r="J1195" s="36"/>
      <c r="K1195" s="36"/>
      <c r="L1195" s="36"/>
      <c r="M1195" s="40" t="str">
        <f aca="false">IF($F1195="","",$F1195&amp;IF($G1195="",""," - RT "&amp;$G1195&amp;IF($H1195="","","/"&amp;$H1195)))</f>
        <v/>
      </c>
      <c r="N1195" s="36"/>
      <c r="O1195" s="37"/>
      <c r="P1195" s="39"/>
      <c r="Q1195" s="41"/>
      <c r="R1195" s="35" t="str">
        <f aca="true">IF(OR($B1195="",$Q1195=""),"",DATEDIF($Q1195,TODAY(),"Y"))</f>
        <v/>
      </c>
      <c r="S1195" s="40" t="str">
        <f aca="false">IF($R1195="","",INDEX(usia_label,MATCH($R1195,usia_min,1)))</f>
        <v/>
      </c>
      <c r="T1195" s="36"/>
      <c r="U1195" s="41"/>
      <c r="V1195" s="36"/>
      <c r="W1195" s="36"/>
      <c r="X1195" s="40" t="str">
        <f aca="false">IF($M1195="","",$M1195&amp;"#"&amp;COUNTIF($M$4:$M1195,$M1195))</f>
        <v/>
      </c>
      <c r="Y1195" s="40" t="str">
        <f aca="false">IF($B1195="","",IF($C1195="","NIK kosong",IF(LEN($C1195)&lt;&gt;16,"NIK bukan 16 digit",IF(COUNTIF($C$4:$C$2003,$C1195&amp;"*")&gt;1,"NIK ganda",IF(AND($D1195&lt;&gt;"",LEN($D1195)&lt;&gt;16),"No. KK bukan 16 digit",IF(AND($F1195="",$I1195=""),"Alamat kosong",IF($N1195="","Jabatan kosong",IF($O1195="","No. HP kosong",IF(AND($R1195&lt;&gt;"",$R1195&lt;17),"Usia di bawah 17","")))))))))</f>
        <v/>
      </c>
      <c r="Z1195" s="40" t="str">
        <f aca="false">IF($B1195="","",IF(AND(OR(CARI!$C$5="",ISNUMBER(SEARCH(CARI!$C$5,$B1195&amp;" "&amp;$C1195&amp;" "&amp;$D1195&amp;" "&amp;$O1195&amp;" "&amp;$I1195&amp;" "&amp;$F1195&amp;" "&amp;$J1195&amp;" "&amp;$K1195&amp;" "&amp;$L1195&amp;" "&amp;$V1195))),OR(CARI!$C$6="",$F1195=CARI!$C$6),OR(CARI!$C$7="",$G1195=CARI!$C$7),OR(CARI!$C$8="",$T1195=CARI!$C$8)),MAX($Z$3:Z1194)+1,""))</f>
        <v/>
      </c>
      <c r="AA1195" s="40" t="str">
        <f aca="false">IF($Y1195="","",MAX($AA$3:AA1194)+1)</f>
        <v/>
      </c>
      <c r="AB1195" s="40" t="str">
        <f aca="false">IF($F1195="","",$F1195&amp;"#"&amp;COUNTIF($F$4:$F1195,$F1195))</f>
        <v/>
      </c>
      <c r="AC1195" s="40" t="str">
        <f aca="false">IF($B1195="","",IF(AND(OR(CETAK!$J$10="",$F1195=CETAK!$J$10),OR(CETAK!$J$11="",$G1195=CETAK!$J$11),OR(CETAK!$J$12="",$P1195=CETAK!$J$12),OR(CETAK!$J$13="",$N1195=CETAK!$J$13),OR(CETAK!$J$14="",$T1195=CETAK!$J$14)),MAX($AC$3:AC1194)+1,""))</f>
        <v/>
      </c>
      <c r="AD1195" s="40" t="str">
        <f aca="false">IF($B1195="","",IF(AND(OR(ABSENSI!$H$10="",$F1195=ABSENSI!$H$10),OR(ABSENSI!$H$11="",$G1195=ABSENSI!$H$11),OR(ABSENSI!$H$12="",$P1195=ABSENSI!$H$12)),MAX($AD$3:AD1194)+1,""))</f>
        <v/>
      </c>
      <c r="AE1195" s="40" t="str">
        <f aca="false">IF($B1195="","",IF(AND(OR(KARTU!$K$6="",$F1195=KARTU!$K$6),OR(KARTU!$K$7="",$G1195=KARTU!$K$7),OR(KARTU!$K$8="",$P1195=KARTU!$K$8)),MAX($AE$3:AE1194)+1,""))</f>
        <v/>
      </c>
    </row>
    <row r="1196" customFormat="false" ht="15" hidden="false" customHeight="false" outlineLevel="0" collapsed="false">
      <c r="A1196" s="35" t="str">
        <f aca="false">IF($B1196="","",COUNTA($B$4:$B1196))</f>
        <v/>
      </c>
      <c r="B1196" s="36"/>
      <c r="C1196" s="37"/>
      <c r="D1196" s="37"/>
      <c r="E1196" s="38"/>
      <c r="F1196" s="36"/>
      <c r="G1196" s="39"/>
      <c r="H1196" s="39"/>
      <c r="I1196" s="36"/>
      <c r="J1196" s="36"/>
      <c r="K1196" s="36"/>
      <c r="L1196" s="36"/>
      <c r="M1196" s="40" t="str">
        <f aca="false">IF($F1196="","",$F1196&amp;IF($G1196="",""," - RT "&amp;$G1196&amp;IF($H1196="","","/"&amp;$H1196)))</f>
        <v/>
      </c>
      <c r="N1196" s="36"/>
      <c r="O1196" s="37"/>
      <c r="P1196" s="39"/>
      <c r="Q1196" s="41"/>
      <c r="R1196" s="35" t="str">
        <f aca="true">IF(OR($B1196="",$Q1196=""),"",DATEDIF($Q1196,TODAY(),"Y"))</f>
        <v/>
      </c>
      <c r="S1196" s="40" t="str">
        <f aca="false">IF($R1196="","",INDEX(usia_label,MATCH($R1196,usia_min,1)))</f>
        <v/>
      </c>
      <c r="T1196" s="36"/>
      <c r="U1196" s="41"/>
      <c r="V1196" s="36"/>
      <c r="W1196" s="36"/>
      <c r="X1196" s="40" t="str">
        <f aca="false">IF($M1196="","",$M1196&amp;"#"&amp;COUNTIF($M$4:$M1196,$M1196))</f>
        <v/>
      </c>
      <c r="Y1196" s="40" t="str">
        <f aca="false">IF($B1196="","",IF($C1196="","NIK kosong",IF(LEN($C1196)&lt;&gt;16,"NIK bukan 16 digit",IF(COUNTIF($C$4:$C$2003,$C1196&amp;"*")&gt;1,"NIK ganda",IF(AND($D1196&lt;&gt;"",LEN($D1196)&lt;&gt;16),"No. KK bukan 16 digit",IF(AND($F1196="",$I1196=""),"Alamat kosong",IF($N1196="","Jabatan kosong",IF($O1196="","No. HP kosong",IF(AND($R1196&lt;&gt;"",$R1196&lt;17),"Usia di bawah 17","")))))))))</f>
        <v/>
      </c>
      <c r="Z1196" s="40" t="str">
        <f aca="false">IF($B1196="","",IF(AND(OR(CARI!$C$5="",ISNUMBER(SEARCH(CARI!$C$5,$B1196&amp;" "&amp;$C1196&amp;" "&amp;$D1196&amp;" "&amp;$O1196&amp;" "&amp;$I1196&amp;" "&amp;$F1196&amp;" "&amp;$J1196&amp;" "&amp;$K1196&amp;" "&amp;$L1196&amp;" "&amp;$V1196))),OR(CARI!$C$6="",$F1196=CARI!$C$6),OR(CARI!$C$7="",$G1196=CARI!$C$7),OR(CARI!$C$8="",$T1196=CARI!$C$8)),MAX($Z$3:Z1195)+1,""))</f>
        <v/>
      </c>
      <c r="AA1196" s="40" t="str">
        <f aca="false">IF($Y1196="","",MAX($AA$3:AA1195)+1)</f>
        <v/>
      </c>
      <c r="AB1196" s="40" t="str">
        <f aca="false">IF($F1196="","",$F1196&amp;"#"&amp;COUNTIF($F$4:$F1196,$F1196))</f>
        <v/>
      </c>
      <c r="AC1196" s="40" t="str">
        <f aca="false">IF($B1196="","",IF(AND(OR(CETAK!$J$10="",$F1196=CETAK!$J$10),OR(CETAK!$J$11="",$G1196=CETAK!$J$11),OR(CETAK!$J$12="",$P1196=CETAK!$J$12),OR(CETAK!$J$13="",$N1196=CETAK!$J$13),OR(CETAK!$J$14="",$T1196=CETAK!$J$14)),MAX($AC$3:AC1195)+1,""))</f>
        <v/>
      </c>
      <c r="AD1196" s="40" t="str">
        <f aca="false">IF($B1196="","",IF(AND(OR(ABSENSI!$H$10="",$F1196=ABSENSI!$H$10),OR(ABSENSI!$H$11="",$G1196=ABSENSI!$H$11),OR(ABSENSI!$H$12="",$P1196=ABSENSI!$H$12)),MAX($AD$3:AD1195)+1,""))</f>
        <v/>
      </c>
      <c r="AE1196" s="40" t="str">
        <f aca="false">IF($B1196="","",IF(AND(OR(KARTU!$K$6="",$F1196=KARTU!$K$6),OR(KARTU!$K$7="",$G1196=KARTU!$K$7),OR(KARTU!$K$8="",$P1196=KARTU!$K$8)),MAX($AE$3:AE1195)+1,""))</f>
        <v/>
      </c>
    </row>
    <row r="1197" customFormat="false" ht="15" hidden="false" customHeight="false" outlineLevel="0" collapsed="false">
      <c r="A1197" s="35" t="str">
        <f aca="false">IF($B1197="","",COUNTA($B$4:$B1197))</f>
        <v/>
      </c>
      <c r="B1197" s="36"/>
      <c r="C1197" s="37"/>
      <c r="D1197" s="37"/>
      <c r="E1197" s="38"/>
      <c r="F1197" s="36"/>
      <c r="G1197" s="39"/>
      <c r="H1197" s="39"/>
      <c r="I1197" s="36"/>
      <c r="J1197" s="36"/>
      <c r="K1197" s="36"/>
      <c r="L1197" s="36"/>
      <c r="M1197" s="40" t="str">
        <f aca="false">IF($F1197="","",$F1197&amp;IF($G1197="",""," - RT "&amp;$G1197&amp;IF($H1197="","","/"&amp;$H1197)))</f>
        <v/>
      </c>
      <c r="N1197" s="36"/>
      <c r="O1197" s="37"/>
      <c r="P1197" s="39"/>
      <c r="Q1197" s="41"/>
      <c r="R1197" s="35" t="str">
        <f aca="true">IF(OR($B1197="",$Q1197=""),"",DATEDIF($Q1197,TODAY(),"Y"))</f>
        <v/>
      </c>
      <c r="S1197" s="40" t="str">
        <f aca="false">IF($R1197="","",INDEX(usia_label,MATCH($R1197,usia_min,1)))</f>
        <v/>
      </c>
      <c r="T1197" s="36"/>
      <c r="U1197" s="41"/>
      <c r="V1197" s="36"/>
      <c r="W1197" s="36"/>
      <c r="X1197" s="40" t="str">
        <f aca="false">IF($M1197="","",$M1197&amp;"#"&amp;COUNTIF($M$4:$M1197,$M1197))</f>
        <v/>
      </c>
      <c r="Y1197" s="40" t="str">
        <f aca="false">IF($B1197="","",IF($C1197="","NIK kosong",IF(LEN($C1197)&lt;&gt;16,"NIK bukan 16 digit",IF(COUNTIF($C$4:$C$2003,$C1197&amp;"*")&gt;1,"NIK ganda",IF(AND($D1197&lt;&gt;"",LEN($D1197)&lt;&gt;16),"No. KK bukan 16 digit",IF(AND($F1197="",$I1197=""),"Alamat kosong",IF($N1197="","Jabatan kosong",IF($O1197="","No. HP kosong",IF(AND($R1197&lt;&gt;"",$R1197&lt;17),"Usia di bawah 17","")))))))))</f>
        <v/>
      </c>
      <c r="Z1197" s="40" t="str">
        <f aca="false">IF($B1197="","",IF(AND(OR(CARI!$C$5="",ISNUMBER(SEARCH(CARI!$C$5,$B1197&amp;" "&amp;$C1197&amp;" "&amp;$D1197&amp;" "&amp;$O1197&amp;" "&amp;$I1197&amp;" "&amp;$F1197&amp;" "&amp;$J1197&amp;" "&amp;$K1197&amp;" "&amp;$L1197&amp;" "&amp;$V1197))),OR(CARI!$C$6="",$F1197=CARI!$C$6),OR(CARI!$C$7="",$G1197=CARI!$C$7),OR(CARI!$C$8="",$T1197=CARI!$C$8)),MAX($Z$3:Z1196)+1,""))</f>
        <v/>
      </c>
      <c r="AA1197" s="40" t="str">
        <f aca="false">IF($Y1197="","",MAX($AA$3:AA1196)+1)</f>
        <v/>
      </c>
      <c r="AB1197" s="40" t="str">
        <f aca="false">IF($F1197="","",$F1197&amp;"#"&amp;COUNTIF($F$4:$F1197,$F1197))</f>
        <v/>
      </c>
      <c r="AC1197" s="40" t="str">
        <f aca="false">IF($B1197="","",IF(AND(OR(CETAK!$J$10="",$F1197=CETAK!$J$10),OR(CETAK!$J$11="",$G1197=CETAK!$J$11),OR(CETAK!$J$12="",$P1197=CETAK!$J$12),OR(CETAK!$J$13="",$N1197=CETAK!$J$13),OR(CETAK!$J$14="",$T1197=CETAK!$J$14)),MAX($AC$3:AC1196)+1,""))</f>
        <v/>
      </c>
      <c r="AD1197" s="40" t="str">
        <f aca="false">IF($B1197="","",IF(AND(OR(ABSENSI!$H$10="",$F1197=ABSENSI!$H$10),OR(ABSENSI!$H$11="",$G1197=ABSENSI!$H$11),OR(ABSENSI!$H$12="",$P1197=ABSENSI!$H$12)),MAX($AD$3:AD1196)+1,""))</f>
        <v/>
      </c>
      <c r="AE1197" s="40" t="str">
        <f aca="false">IF($B1197="","",IF(AND(OR(KARTU!$K$6="",$F1197=KARTU!$K$6),OR(KARTU!$K$7="",$G1197=KARTU!$K$7),OR(KARTU!$K$8="",$P1197=KARTU!$K$8)),MAX($AE$3:AE1196)+1,""))</f>
        <v/>
      </c>
    </row>
    <row r="1198" customFormat="false" ht="15" hidden="false" customHeight="false" outlineLevel="0" collapsed="false">
      <c r="A1198" s="35" t="str">
        <f aca="false">IF($B1198="","",COUNTA($B$4:$B1198))</f>
        <v/>
      </c>
      <c r="B1198" s="36"/>
      <c r="C1198" s="37"/>
      <c r="D1198" s="37"/>
      <c r="E1198" s="38"/>
      <c r="F1198" s="36"/>
      <c r="G1198" s="39"/>
      <c r="H1198" s="39"/>
      <c r="I1198" s="36"/>
      <c r="J1198" s="36"/>
      <c r="K1198" s="36"/>
      <c r="L1198" s="36"/>
      <c r="M1198" s="40" t="str">
        <f aca="false">IF($F1198="","",$F1198&amp;IF($G1198="",""," - RT "&amp;$G1198&amp;IF($H1198="","","/"&amp;$H1198)))</f>
        <v/>
      </c>
      <c r="N1198" s="36"/>
      <c r="O1198" s="37"/>
      <c r="P1198" s="39"/>
      <c r="Q1198" s="41"/>
      <c r="R1198" s="35" t="str">
        <f aca="true">IF(OR($B1198="",$Q1198=""),"",DATEDIF($Q1198,TODAY(),"Y"))</f>
        <v/>
      </c>
      <c r="S1198" s="40" t="str">
        <f aca="false">IF($R1198="","",INDEX(usia_label,MATCH($R1198,usia_min,1)))</f>
        <v/>
      </c>
      <c r="T1198" s="36"/>
      <c r="U1198" s="41"/>
      <c r="V1198" s="36"/>
      <c r="W1198" s="36"/>
      <c r="X1198" s="40" t="str">
        <f aca="false">IF($M1198="","",$M1198&amp;"#"&amp;COUNTIF($M$4:$M1198,$M1198))</f>
        <v/>
      </c>
      <c r="Y1198" s="40" t="str">
        <f aca="false">IF($B1198="","",IF($C1198="","NIK kosong",IF(LEN($C1198)&lt;&gt;16,"NIK bukan 16 digit",IF(COUNTIF($C$4:$C$2003,$C1198&amp;"*")&gt;1,"NIK ganda",IF(AND($D1198&lt;&gt;"",LEN($D1198)&lt;&gt;16),"No. KK bukan 16 digit",IF(AND($F1198="",$I1198=""),"Alamat kosong",IF($N1198="","Jabatan kosong",IF($O1198="","No. HP kosong",IF(AND($R1198&lt;&gt;"",$R1198&lt;17),"Usia di bawah 17","")))))))))</f>
        <v/>
      </c>
      <c r="Z1198" s="40" t="str">
        <f aca="false">IF($B1198="","",IF(AND(OR(CARI!$C$5="",ISNUMBER(SEARCH(CARI!$C$5,$B1198&amp;" "&amp;$C1198&amp;" "&amp;$D1198&amp;" "&amp;$O1198&amp;" "&amp;$I1198&amp;" "&amp;$F1198&amp;" "&amp;$J1198&amp;" "&amp;$K1198&amp;" "&amp;$L1198&amp;" "&amp;$V1198))),OR(CARI!$C$6="",$F1198=CARI!$C$6),OR(CARI!$C$7="",$G1198=CARI!$C$7),OR(CARI!$C$8="",$T1198=CARI!$C$8)),MAX($Z$3:Z1197)+1,""))</f>
        <v/>
      </c>
      <c r="AA1198" s="40" t="str">
        <f aca="false">IF($Y1198="","",MAX($AA$3:AA1197)+1)</f>
        <v/>
      </c>
      <c r="AB1198" s="40" t="str">
        <f aca="false">IF($F1198="","",$F1198&amp;"#"&amp;COUNTIF($F$4:$F1198,$F1198))</f>
        <v/>
      </c>
      <c r="AC1198" s="40" t="str">
        <f aca="false">IF($B1198="","",IF(AND(OR(CETAK!$J$10="",$F1198=CETAK!$J$10),OR(CETAK!$J$11="",$G1198=CETAK!$J$11),OR(CETAK!$J$12="",$P1198=CETAK!$J$12),OR(CETAK!$J$13="",$N1198=CETAK!$J$13),OR(CETAK!$J$14="",$T1198=CETAK!$J$14)),MAX($AC$3:AC1197)+1,""))</f>
        <v/>
      </c>
      <c r="AD1198" s="40" t="str">
        <f aca="false">IF($B1198="","",IF(AND(OR(ABSENSI!$H$10="",$F1198=ABSENSI!$H$10),OR(ABSENSI!$H$11="",$G1198=ABSENSI!$H$11),OR(ABSENSI!$H$12="",$P1198=ABSENSI!$H$12)),MAX($AD$3:AD1197)+1,""))</f>
        <v/>
      </c>
      <c r="AE1198" s="40" t="str">
        <f aca="false">IF($B1198="","",IF(AND(OR(KARTU!$K$6="",$F1198=KARTU!$K$6),OR(KARTU!$K$7="",$G1198=KARTU!$K$7),OR(KARTU!$K$8="",$P1198=KARTU!$K$8)),MAX($AE$3:AE1197)+1,""))</f>
        <v/>
      </c>
    </row>
    <row r="1199" customFormat="false" ht="15" hidden="false" customHeight="false" outlineLevel="0" collapsed="false">
      <c r="A1199" s="35" t="str">
        <f aca="false">IF($B1199="","",COUNTA($B$4:$B1199))</f>
        <v/>
      </c>
      <c r="B1199" s="36"/>
      <c r="C1199" s="37"/>
      <c r="D1199" s="37"/>
      <c r="E1199" s="38"/>
      <c r="F1199" s="36"/>
      <c r="G1199" s="39"/>
      <c r="H1199" s="39"/>
      <c r="I1199" s="36"/>
      <c r="J1199" s="36"/>
      <c r="K1199" s="36"/>
      <c r="L1199" s="36"/>
      <c r="M1199" s="40" t="str">
        <f aca="false">IF($F1199="","",$F1199&amp;IF($G1199="",""," - RT "&amp;$G1199&amp;IF($H1199="","","/"&amp;$H1199)))</f>
        <v/>
      </c>
      <c r="N1199" s="36"/>
      <c r="O1199" s="37"/>
      <c r="P1199" s="39"/>
      <c r="Q1199" s="41"/>
      <c r="R1199" s="35" t="str">
        <f aca="true">IF(OR($B1199="",$Q1199=""),"",DATEDIF($Q1199,TODAY(),"Y"))</f>
        <v/>
      </c>
      <c r="S1199" s="40" t="str">
        <f aca="false">IF($R1199="","",INDEX(usia_label,MATCH($R1199,usia_min,1)))</f>
        <v/>
      </c>
      <c r="T1199" s="36"/>
      <c r="U1199" s="41"/>
      <c r="V1199" s="36"/>
      <c r="W1199" s="36"/>
      <c r="X1199" s="40" t="str">
        <f aca="false">IF($M1199="","",$M1199&amp;"#"&amp;COUNTIF($M$4:$M1199,$M1199))</f>
        <v/>
      </c>
      <c r="Y1199" s="40" t="str">
        <f aca="false">IF($B1199="","",IF($C1199="","NIK kosong",IF(LEN($C1199)&lt;&gt;16,"NIK bukan 16 digit",IF(COUNTIF($C$4:$C$2003,$C1199&amp;"*")&gt;1,"NIK ganda",IF(AND($D1199&lt;&gt;"",LEN($D1199)&lt;&gt;16),"No. KK bukan 16 digit",IF(AND($F1199="",$I1199=""),"Alamat kosong",IF($N1199="","Jabatan kosong",IF($O1199="","No. HP kosong",IF(AND($R1199&lt;&gt;"",$R1199&lt;17),"Usia di bawah 17","")))))))))</f>
        <v/>
      </c>
      <c r="Z1199" s="40" t="str">
        <f aca="false">IF($B1199="","",IF(AND(OR(CARI!$C$5="",ISNUMBER(SEARCH(CARI!$C$5,$B1199&amp;" "&amp;$C1199&amp;" "&amp;$D1199&amp;" "&amp;$O1199&amp;" "&amp;$I1199&amp;" "&amp;$F1199&amp;" "&amp;$J1199&amp;" "&amp;$K1199&amp;" "&amp;$L1199&amp;" "&amp;$V1199))),OR(CARI!$C$6="",$F1199=CARI!$C$6),OR(CARI!$C$7="",$G1199=CARI!$C$7),OR(CARI!$C$8="",$T1199=CARI!$C$8)),MAX($Z$3:Z1198)+1,""))</f>
        <v/>
      </c>
      <c r="AA1199" s="40" t="str">
        <f aca="false">IF($Y1199="","",MAX($AA$3:AA1198)+1)</f>
        <v/>
      </c>
      <c r="AB1199" s="40" t="str">
        <f aca="false">IF($F1199="","",$F1199&amp;"#"&amp;COUNTIF($F$4:$F1199,$F1199))</f>
        <v/>
      </c>
      <c r="AC1199" s="40" t="str">
        <f aca="false">IF($B1199="","",IF(AND(OR(CETAK!$J$10="",$F1199=CETAK!$J$10),OR(CETAK!$J$11="",$G1199=CETAK!$J$11),OR(CETAK!$J$12="",$P1199=CETAK!$J$12),OR(CETAK!$J$13="",$N1199=CETAK!$J$13),OR(CETAK!$J$14="",$T1199=CETAK!$J$14)),MAX($AC$3:AC1198)+1,""))</f>
        <v/>
      </c>
      <c r="AD1199" s="40" t="str">
        <f aca="false">IF($B1199="","",IF(AND(OR(ABSENSI!$H$10="",$F1199=ABSENSI!$H$10),OR(ABSENSI!$H$11="",$G1199=ABSENSI!$H$11),OR(ABSENSI!$H$12="",$P1199=ABSENSI!$H$12)),MAX($AD$3:AD1198)+1,""))</f>
        <v/>
      </c>
      <c r="AE1199" s="40" t="str">
        <f aca="false">IF($B1199="","",IF(AND(OR(KARTU!$K$6="",$F1199=KARTU!$K$6),OR(KARTU!$K$7="",$G1199=KARTU!$K$7),OR(KARTU!$K$8="",$P1199=KARTU!$K$8)),MAX($AE$3:AE1198)+1,""))</f>
        <v/>
      </c>
    </row>
    <row r="1200" customFormat="false" ht="15" hidden="false" customHeight="false" outlineLevel="0" collapsed="false">
      <c r="A1200" s="35" t="str">
        <f aca="false">IF($B1200="","",COUNTA($B$4:$B1200))</f>
        <v/>
      </c>
      <c r="B1200" s="36"/>
      <c r="C1200" s="37"/>
      <c r="D1200" s="37"/>
      <c r="E1200" s="38"/>
      <c r="F1200" s="36"/>
      <c r="G1200" s="39"/>
      <c r="H1200" s="39"/>
      <c r="I1200" s="36"/>
      <c r="J1200" s="36"/>
      <c r="K1200" s="36"/>
      <c r="L1200" s="36"/>
      <c r="M1200" s="40" t="str">
        <f aca="false">IF($F1200="","",$F1200&amp;IF($G1200="",""," - RT "&amp;$G1200&amp;IF($H1200="","","/"&amp;$H1200)))</f>
        <v/>
      </c>
      <c r="N1200" s="36"/>
      <c r="O1200" s="37"/>
      <c r="P1200" s="39"/>
      <c r="Q1200" s="41"/>
      <c r="R1200" s="35" t="str">
        <f aca="true">IF(OR($B1200="",$Q1200=""),"",DATEDIF($Q1200,TODAY(),"Y"))</f>
        <v/>
      </c>
      <c r="S1200" s="40" t="str">
        <f aca="false">IF($R1200="","",INDEX(usia_label,MATCH($R1200,usia_min,1)))</f>
        <v/>
      </c>
      <c r="T1200" s="36"/>
      <c r="U1200" s="41"/>
      <c r="V1200" s="36"/>
      <c r="W1200" s="36"/>
      <c r="X1200" s="40" t="str">
        <f aca="false">IF($M1200="","",$M1200&amp;"#"&amp;COUNTIF($M$4:$M1200,$M1200))</f>
        <v/>
      </c>
      <c r="Y1200" s="40" t="str">
        <f aca="false">IF($B1200="","",IF($C1200="","NIK kosong",IF(LEN($C1200)&lt;&gt;16,"NIK bukan 16 digit",IF(COUNTIF($C$4:$C$2003,$C1200&amp;"*")&gt;1,"NIK ganda",IF(AND($D1200&lt;&gt;"",LEN($D1200)&lt;&gt;16),"No. KK bukan 16 digit",IF(AND($F1200="",$I1200=""),"Alamat kosong",IF($N1200="","Jabatan kosong",IF($O1200="","No. HP kosong",IF(AND($R1200&lt;&gt;"",$R1200&lt;17),"Usia di bawah 17","")))))))))</f>
        <v/>
      </c>
      <c r="Z1200" s="40" t="str">
        <f aca="false">IF($B1200="","",IF(AND(OR(CARI!$C$5="",ISNUMBER(SEARCH(CARI!$C$5,$B1200&amp;" "&amp;$C1200&amp;" "&amp;$D1200&amp;" "&amp;$O1200&amp;" "&amp;$I1200&amp;" "&amp;$F1200&amp;" "&amp;$J1200&amp;" "&amp;$K1200&amp;" "&amp;$L1200&amp;" "&amp;$V1200))),OR(CARI!$C$6="",$F1200=CARI!$C$6),OR(CARI!$C$7="",$G1200=CARI!$C$7),OR(CARI!$C$8="",$T1200=CARI!$C$8)),MAX($Z$3:Z1199)+1,""))</f>
        <v/>
      </c>
      <c r="AA1200" s="40" t="str">
        <f aca="false">IF($Y1200="","",MAX($AA$3:AA1199)+1)</f>
        <v/>
      </c>
      <c r="AB1200" s="40" t="str">
        <f aca="false">IF($F1200="","",$F1200&amp;"#"&amp;COUNTIF($F$4:$F1200,$F1200))</f>
        <v/>
      </c>
      <c r="AC1200" s="40" t="str">
        <f aca="false">IF($B1200="","",IF(AND(OR(CETAK!$J$10="",$F1200=CETAK!$J$10),OR(CETAK!$J$11="",$G1200=CETAK!$J$11),OR(CETAK!$J$12="",$P1200=CETAK!$J$12),OR(CETAK!$J$13="",$N1200=CETAK!$J$13),OR(CETAK!$J$14="",$T1200=CETAK!$J$14)),MAX($AC$3:AC1199)+1,""))</f>
        <v/>
      </c>
      <c r="AD1200" s="40" t="str">
        <f aca="false">IF($B1200="","",IF(AND(OR(ABSENSI!$H$10="",$F1200=ABSENSI!$H$10),OR(ABSENSI!$H$11="",$G1200=ABSENSI!$H$11),OR(ABSENSI!$H$12="",$P1200=ABSENSI!$H$12)),MAX($AD$3:AD1199)+1,""))</f>
        <v/>
      </c>
      <c r="AE1200" s="40" t="str">
        <f aca="false">IF($B1200="","",IF(AND(OR(KARTU!$K$6="",$F1200=KARTU!$K$6),OR(KARTU!$K$7="",$G1200=KARTU!$K$7),OR(KARTU!$K$8="",$P1200=KARTU!$K$8)),MAX($AE$3:AE1199)+1,""))</f>
        <v/>
      </c>
    </row>
    <row r="1201" customFormat="false" ht="15" hidden="false" customHeight="false" outlineLevel="0" collapsed="false">
      <c r="A1201" s="35" t="str">
        <f aca="false">IF($B1201="","",COUNTA($B$4:$B1201))</f>
        <v/>
      </c>
      <c r="B1201" s="36"/>
      <c r="C1201" s="37"/>
      <c r="D1201" s="37"/>
      <c r="E1201" s="38"/>
      <c r="F1201" s="36"/>
      <c r="G1201" s="39"/>
      <c r="H1201" s="39"/>
      <c r="I1201" s="36"/>
      <c r="J1201" s="36"/>
      <c r="K1201" s="36"/>
      <c r="L1201" s="36"/>
      <c r="M1201" s="40" t="str">
        <f aca="false">IF($F1201="","",$F1201&amp;IF($G1201="",""," - RT "&amp;$G1201&amp;IF($H1201="","","/"&amp;$H1201)))</f>
        <v/>
      </c>
      <c r="N1201" s="36"/>
      <c r="O1201" s="37"/>
      <c r="P1201" s="39"/>
      <c r="Q1201" s="41"/>
      <c r="R1201" s="35" t="str">
        <f aca="true">IF(OR($B1201="",$Q1201=""),"",DATEDIF($Q1201,TODAY(),"Y"))</f>
        <v/>
      </c>
      <c r="S1201" s="40" t="str">
        <f aca="false">IF($R1201="","",INDEX(usia_label,MATCH($R1201,usia_min,1)))</f>
        <v/>
      </c>
      <c r="T1201" s="36"/>
      <c r="U1201" s="41"/>
      <c r="V1201" s="36"/>
      <c r="W1201" s="36"/>
      <c r="X1201" s="40" t="str">
        <f aca="false">IF($M1201="","",$M1201&amp;"#"&amp;COUNTIF($M$4:$M1201,$M1201))</f>
        <v/>
      </c>
      <c r="Y1201" s="40" t="str">
        <f aca="false">IF($B1201="","",IF($C1201="","NIK kosong",IF(LEN($C1201)&lt;&gt;16,"NIK bukan 16 digit",IF(COUNTIF($C$4:$C$2003,$C1201&amp;"*")&gt;1,"NIK ganda",IF(AND($D1201&lt;&gt;"",LEN($D1201)&lt;&gt;16),"No. KK bukan 16 digit",IF(AND($F1201="",$I1201=""),"Alamat kosong",IF($N1201="","Jabatan kosong",IF($O1201="","No. HP kosong",IF(AND($R1201&lt;&gt;"",$R1201&lt;17),"Usia di bawah 17","")))))))))</f>
        <v/>
      </c>
      <c r="Z1201" s="40" t="str">
        <f aca="false">IF($B1201="","",IF(AND(OR(CARI!$C$5="",ISNUMBER(SEARCH(CARI!$C$5,$B1201&amp;" "&amp;$C1201&amp;" "&amp;$D1201&amp;" "&amp;$O1201&amp;" "&amp;$I1201&amp;" "&amp;$F1201&amp;" "&amp;$J1201&amp;" "&amp;$K1201&amp;" "&amp;$L1201&amp;" "&amp;$V1201))),OR(CARI!$C$6="",$F1201=CARI!$C$6),OR(CARI!$C$7="",$G1201=CARI!$C$7),OR(CARI!$C$8="",$T1201=CARI!$C$8)),MAX($Z$3:Z1200)+1,""))</f>
        <v/>
      </c>
      <c r="AA1201" s="40" t="str">
        <f aca="false">IF($Y1201="","",MAX($AA$3:AA1200)+1)</f>
        <v/>
      </c>
      <c r="AB1201" s="40" t="str">
        <f aca="false">IF($F1201="","",$F1201&amp;"#"&amp;COUNTIF($F$4:$F1201,$F1201))</f>
        <v/>
      </c>
      <c r="AC1201" s="40" t="str">
        <f aca="false">IF($B1201="","",IF(AND(OR(CETAK!$J$10="",$F1201=CETAK!$J$10),OR(CETAK!$J$11="",$G1201=CETAK!$J$11),OR(CETAK!$J$12="",$P1201=CETAK!$J$12),OR(CETAK!$J$13="",$N1201=CETAK!$J$13),OR(CETAK!$J$14="",$T1201=CETAK!$J$14)),MAX($AC$3:AC1200)+1,""))</f>
        <v/>
      </c>
      <c r="AD1201" s="40" t="str">
        <f aca="false">IF($B1201="","",IF(AND(OR(ABSENSI!$H$10="",$F1201=ABSENSI!$H$10),OR(ABSENSI!$H$11="",$G1201=ABSENSI!$H$11),OR(ABSENSI!$H$12="",$P1201=ABSENSI!$H$12)),MAX($AD$3:AD1200)+1,""))</f>
        <v/>
      </c>
      <c r="AE1201" s="40" t="str">
        <f aca="false">IF($B1201="","",IF(AND(OR(KARTU!$K$6="",$F1201=KARTU!$K$6),OR(KARTU!$K$7="",$G1201=KARTU!$K$7),OR(KARTU!$K$8="",$P1201=KARTU!$K$8)),MAX($AE$3:AE1200)+1,""))</f>
        <v/>
      </c>
    </row>
    <row r="1202" customFormat="false" ht="15" hidden="false" customHeight="false" outlineLevel="0" collapsed="false">
      <c r="A1202" s="35" t="str">
        <f aca="false">IF($B1202="","",COUNTA($B$4:$B1202))</f>
        <v/>
      </c>
      <c r="B1202" s="36"/>
      <c r="C1202" s="37"/>
      <c r="D1202" s="37"/>
      <c r="E1202" s="38"/>
      <c r="F1202" s="36"/>
      <c r="G1202" s="39"/>
      <c r="H1202" s="39"/>
      <c r="I1202" s="36"/>
      <c r="J1202" s="36"/>
      <c r="K1202" s="36"/>
      <c r="L1202" s="36"/>
      <c r="M1202" s="40" t="str">
        <f aca="false">IF($F1202="","",$F1202&amp;IF($G1202="",""," - RT "&amp;$G1202&amp;IF($H1202="","","/"&amp;$H1202)))</f>
        <v/>
      </c>
      <c r="N1202" s="36"/>
      <c r="O1202" s="37"/>
      <c r="P1202" s="39"/>
      <c r="Q1202" s="41"/>
      <c r="R1202" s="35" t="str">
        <f aca="true">IF(OR($B1202="",$Q1202=""),"",DATEDIF($Q1202,TODAY(),"Y"))</f>
        <v/>
      </c>
      <c r="S1202" s="40" t="str">
        <f aca="false">IF($R1202="","",INDEX(usia_label,MATCH($R1202,usia_min,1)))</f>
        <v/>
      </c>
      <c r="T1202" s="36"/>
      <c r="U1202" s="41"/>
      <c r="V1202" s="36"/>
      <c r="W1202" s="36"/>
      <c r="X1202" s="40" t="str">
        <f aca="false">IF($M1202="","",$M1202&amp;"#"&amp;COUNTIF($M$4:$M1202,$M1202))</f>
        <v/>
      </c>
      <c r="Y1202" s="40" t="str">
        <f aca="false">IF($B1202="","",IF($C1202="","NIK kosong",IF(LEN($C1202)&lt;&gt;16,"NIK bukan 16 digit",IF(COUNTIF($C$4:$C$2003,$C1202&amp;"*")&gt;1,"NIK ganda",IF(AND($D1202&lt;&gt;"",LEN($D1202)&lt;&gt;16),"No. KK bukan 16 digit",IF(AND($F1202="",$I1202=""),"Alamat kosong",IF($N1202="","Jabatan kosong",IF($O1202="","No. HP kosong",IF(AND($R1202&lt;&gt;"",$R1202&lt;17),"Usia di bawah 17","")))))))))</f>
        <v/>
      </c>
      <c r="Z1202" s="40" t="str">
        <f aca="false">IF($B1202="","",IF(AND(OR(CARI!$C$5="",ISNUMBER(SEARCH(CARI!$C$5,$B1202&amp;" "&amp;$C1202&amp;" "&amp;$D1202&amp;" "&amp;$O1202&amp;" "&amp;$I1202&amp;" "&amp;$F1202&amp;" "&amp;$J1202&amp;" "&amp;$K1202&amp;" "&amp;$L1202&amp;" "&amp;$V1202))),OR(CARI!$C$6="",$F1202=CARI!$C$6),OR(CARI!$C$7="",$G1202=CARI!$C$7),OR(CARI!$C$8="",$T1202=CARI!$C$8)),MAX($Z$3:Z1201)+1,""))</f>
        <v/>
      </c>
      <c r="AA1202" s="40" t="str">
        <f aca="false">IF($Y1202="","",MAX($AA$3:AA1201)+1)</f>
        <v/>
      </c>
      <c r="AB1202" s="40" t="str">
        <f aca="false">IF($F1202="","",$F1202&amp;"#"&amp;COUNTIF($F$4:$F1202,$F1202))</f>
        <v/>
      </c>
      <c r="AC1202" s="40" t="str">
        <f aca="false">IF($B1202="","",IF(AND(OR(CETAK!$J$10="",$F1202=CETAK!$J$10),OR(CETAK!$J$11="",$G1202=CETAK!$J$11),OR(CETAK!$J$12="",$P1202=CETAK!$J$12),OR(CETAK!$J$13="",$N1202=CETAK!$J$13),OR(CETAK!$J$14="",$T1202=CETAK!$J$14)),MAX($AC$3:AC1201)+1,""))</f>
        <v/>
      </c>
      <c r="AD1202" s="40" t="str">
        <f aca="false">IF($B1202="","",IF(AND(OR(ABSENSI!$H$10="",$F1202=ABSENSI!$H$10),OR(ABSENSI!$H$11="",$G1202=ABSENSI!$H$11),OR(ABSENSI!$H$12="",$P1202=ABSENSI!$H$12)),MAX($AD$3:AD1201)+1,""))</f>
        <v/>
      </c>
      <c r="AE1202" s="40" t="str">
        <f aca="false">IF($B1202="","",IF(AND(OR(KARTU!$K$6="",$F1202=KARTU!$K$6),OR(KARTU!$K$7="",$G1202=KARTU!$K$7),OR(KARTU!$K$8="",$P1202=KARTU!$K$8)),MAX($AE$3:AE1201)+1,""))</f>
        <v/>
      </c>
    </row>
    <row r="1203" customFormat="false" ht="15" hidden="false" customHeight="false" outlineLevel="0" collapsed="false">
      <c r="A1203" s="35" t="str">
        <f aca="false">IF($B1203="","",COUNTA($B$4:$B1203))</f>
        <v/>
      </c>
      <c r="B1203" s="36"/>
      <c r="C1203" s="37"/>
      <c r="D1203" s="37"/>
      <c r="E1203" s="38"/>
      <c r="F1203" s="36"/>
      <c r="G1203" s="39"/>
      <c r="H1203" s="39"/>
      <c r="I1203" s="36"/>
      <c r="J1203" s="36"/>
      <c r="K1203" s="36"/>
      <c r="L1203" s="36"/>
      <c r="M1203" s="40" t="str">
        <f aca="false">IF($F1203="","",$F1203&amp;IF($G1203="",""," - RT "&amp;$G1203&amp;IF($H1203="","","/"&amp;$H1203)))</f>
        <v/>
      </c>
      <c r="N1203" s="36"/>
      <c r="O1203" s="37"/>
      <c r="P1203" s="39"/>
      <c r="Q1203" s="41"/>
      <c r="R1203" s="35" t="str">
        <f aca="true">IF(OR($B1203="",$Q1203=""),"",DATEDIF($Q1203,TODAY(),"Y"))</f>
        <v/>
      </c>
      <c r="S1203" s="40" t="str">
        <f aca="false">IF($R1203="","",INDEX(usia_label,MATCH($R1203,usia_min,1)))</f>
        <v/>
      </c>
      <c r="T1203" s="36"/>
      <c r="U1203" s="41"/>
      <c r="V1203" s="36"/>
      <c r="W1203" s="36"/>
      <c r="X1203" s="40" t="str">
        <f aca="false">IF($M1203="","",$M1203&amp;"#"&amp;COUNTIF($M$4:$M1203,$M1203))</f>
        <v/>
      </c>
      <c r="Y1203" s="40" t="str">
        <f aca="false">IF($B1203="","",IF($C1203="","NIK kosong",IF(LEN($C1203)&lt;&gt;16,"NIK bukan 16 digit",IF(COUNTIF($C$4:$C$2003,$C1203&amp;"*")&gt;1,"NIK ganda",IF(AND($D1203&lt;&gt;"",LEN($D1203)&lt;&gt;16),"No. KK bukan 16 digit",IF(AND($F1203="",$I1203=""),"Alamat kosong",IF($N1203="","Jabatan kosong",IF($O1203="","No. HP kosong",IF(AND($R1203&lt;&gt;"",$R1203&lt;17),"Usia di bawah 17","")))))))))</f>
        <v/>
      </c>
      <c r="Z1203" s="40" t="str">
        <f aca="false">IF($B1203="","",IF(AND(OR(CARI!$C$5="",ISNUMBER(SEARCH(CARI!$C$5,$B1203&amp;" "&amp;$C1203&amp;" "&amp;$D1203&amp;" "&amp;$O1203&amp;" "&amp;$I1203&amp;" "&amp;$F1203&amp;" "&amp;$J1203&amp;" "&amp;$K1203&amp;" "&amp;$L1203&amp;" "&amp;$V1203))),OR(CARI!$C$6="",$F1203=CARI!$C$6),OR(CARI!$C$7="",$G1203=CARI!$C$7),OR(CARI!$C$8="",$T1203=CARI!$C$8)),MAX($Z$3:Z1202)+1,""))</f>
        <v/>
      </c>
      <c r="AA1203" s="40" t="str">
        <f aca="false">IF($Y1203="","",MAX($AA$3:AA1202)+1)</f>
        <v/>
      </c>
      <c r="AB1203" s="40" t="str">
        <f aca="false">IF($F1203="","",$F1203&amp;"#"&amp;COUNTIF($F$4:$F1203,$F1203))</f>
        <v/>
      </c>
      <c r="AC1203" s="40" t="str">
        <f aca="false">IF($B1203="","",IF(AND(OR(CETAK!$J$10="",$F1203=CETAK!$J$10),OR(CETAK!$J$11="",$G1203=CETAK!$J$11),OR(CETAK!$J$12="",$P1203=CETAK!$J$12),OR(CETAK!$J$13="",$N1203=CETAK!$J$13),OR(CETAK!$J$14="",$T1203=CETAK!$J$14)),MAX($AC$3:AC1202)+1,""))</f>
        <v/>
      </c>
      <c r="AD1203" s="40" t="str">
        <f aca="false">IF($B1203="","",IF(AND(OR(ABSENSI!$H$10="",$F1203=ABSENSI!$H$10),OR(ABSENSI!$H$11="",$G1203=ABSENSI!$H$11),OR(ABSENSI!$H$12="",$P1203=ABSENSI!$H$12)),MAX($AD$3:AD1202)+1,""))</f>
        <v/>
      </c>
      <c r="AE1203" s="40" t="str">
        <f aca="false">IF($B1203="","",IF(AND(OR(KARTU!$K$6="",$F1203=KARTU!$K$6),OR(KARTU!$K$7="",$G1203=KARTU!$K$7),OR(KARTU!$K$8="",$P1203=KARTU!$K$8)),MAX($AE$3:AE1202)+1,""))</f>
        <v/>
      </c>
    </row>
    <row r="1204" customFormat="false" ht="15" hidden="false" customHeight="false" outlineLevel="0" collapsed="false">
      <c r="A1204" s="35" t="str">
        <f aca="false">IF($B1204="","",COUNTA($B$4:$B1204))</f>
        <v/>
      </c>
      <c r="B1204" s="36"/>
      <c r="C1204" s="37"/>
      <c r="D1204" s="37"/>
      <c r="E1204" s="38"/>
      <c r="F1204" s="36"/>
      <c r="G1204" s="39"/>
      <c r="H1204" s="39"/>
      <c r="I1204" s="36"/>
      <c r="J1204" s="36"/>
      <c r="K1204" s="36"/>
      <c r="L1204" s="36"/>
      <c r="M1204" s="40" t="str">
        <f aca="false">IF($F1204="","",$F1204&amp;IF($G1204="",""," - RT "&amp;$G1204&amp;IF($H1204="","","/"&amp;$H1204)))</f>
        <v/>
      </c>
      <c r="N1204" s="36"/>
      <c r="O1204" s="37"/>
      <c r="P1204" s="39"/>
      <c r="Q1204" s="41"/>
      <c r="R1204" s="35" t="str">
        <f aca="true">IF(OR($B1204="",$Q1204=""),"",DATEDIF($Q1204,TODAY(),"Y"))</f>
        <v/>
      </c>
      <c r="S1204" s="40" t="str">
        <f aca="false">IF($R1204="","",INDEX(usia_label,MATCH($R1204,usia_min,1)))</f>
        <v/>
      </c>
      <c r="T1204" s="36"/>
      <c r="U1204" s="41"/>
      <c r="V1204" s="36"/>
      <c r="W1204" s="36"/>
      <c r="X1204" s="40" t="str">
        <f aca="false">IF($M1204="","",$M1204&amp;"#"&amp;COUNTIF($M$4:$M1204,$M1204))</f>
        <v/>
      </c>
      <c r="Y1204" s="40" t="str">
        <f aca="false">IF($B1204="","",IF($C1204="","NIK kosong",IF(LEN($C1204)&lt;&gt;16,"NIK bukan 16 digit",IF(COUNTIF($C$4:$C$2003,$C1204&amp;"*")&gt;1,"NIK ganda",IF(AND($D1204&lt;&gt;"",LEN($D1204)&lt;&gt;16),"No. KK bukan 16 digit",IF(AND($F1204="",$I1204=""),"Alamat kosong",IF($N1204="","Jabatan kosong",IF($O1204="","No. HP kosong",IF(AND($R1204&lt;&gt;"",$R1204&lt;17),"Usia di bawah 17","")))))))))</f>
        <v/>
      </c>
      <c r="Z1204" s="40" t="str">
        <f aca="false">IF($B1204="","",IF(AND(OR(CARI!$C$5="",ISNUMBER(SEARCH(CARI!$C$5,$B1204&amp;" "&amp;$C1204&amp;" "&amp;$D1204&amp;" "&amp;$O1204&amp;" "&amp;$I1204&amp;" "&amp;$F1204&amp;" "&amp;$J1204&amp;" "&amp;$K1204&amp;" "&amp;$L1204&amp;" "&amp;$V1204))),OR(CARI!$C$6="",$F1204=CARI!$C$6),OR(CARI!$C$7="",$G1204=CARI!$C$7),OR(CARI!$C$8="",$T1204=CARI!$C$8)),MAX($Z$3:Z1203)+1,""))</f>
        <v/>
      </c>
      <c r="AA1204" s="40" t="str">
        <f aca="false">IF($Y1204="","",MAX($AA$3:AA1203)+1)</f>
        <v/>
      </c>
      <c r="AB1204" s="40" t="str">
        <f aca="false">IF($F1204="","",$F1204&amp;"#"&amp;COUNTIF($F$4:$F1204,$F1204))</f>
        <v/>
      </c>
      <c r="AC1204" s="40" t="str">
        <f aca="false">IF($B1204="","",IF(AND(OR(CETAK!$J$10="",$F1204=CETAK!$J$10),OR(CETAK!$J$11="",$G1204=CETAK!$J$11),OR(CETAK!$J$12="",$P1204=CETAK!$J$12),OR(CETAK!$J$13="",$N1204=CETAK!$J$13),OR(CETAK!$J$14="",$T1204=CETAK!$J$14)),MAX($AC$3:AC1203)+1,""))</f>
        <v/>
      </c>
      <c r="AD1204" s="40" t="str">
        <f aca="false">IF($B1204="","",IF(AND(OR(ABSENSI!$H$10="",$F1204=ABSENSI!$H$10),OR(ABSENSI!$H$11="",$G1204=ABSENSI!$H$11),OR(ABSENSI!$H$12="",$P1204=ABSENSI!$H$12)),MAX($AD$3:AD1203)+1,""))</f>
        <v/>
      </c>
      <c r="AE1204" s="40" t="str">
        <f aca="false">IF($B1204="","",IF(AND(OR(KARTU!$K$6="",$F1204=KARTU!$K$6),OR(KARTU!$K$7="",$G1204=KARTU!$K$7),OR(KARTU!$K$8="",$P1204=KARTU!$K$8)),MAX($AE$3:AE1203)+1,""))</f>
        <v/>
      </c>
    </row>
    <row r="1205" customFormat="false" ht="15" hidden="false" customHeight="false" outlineLevel="0" collapsed="false">
      <c r="A1205" s="35" t="str">
        <f aca="false">IF($B1205="","",COUNTA($B$4:$B1205))</f>
        <v/>
      </c>
      <c r="B1205" s="36"/>
      <c r="C1205" s="37"/>
      <c r="D1205" s="37"/>
      <c r="E1205" s="38"/>
      <c r="F1205" s="36"/>
      <c r="G1205" s="39"/>
      <c r="H1205" s="39"/>
      <c r="I1205" s="36"/>
      <c r="J1205" s="36"/>
      <c r="K1205" s="36"/>
      <c r="L1205" s="36"/>
      <c r="M1205" s="40" t="str">
        <f aca="false">IF($F1205="","",$F1205&amp;IF($G1205="",""," - RT "&amp;$G1205&amp;IF($H1205="","","/"&amp;$H1205)))</f>
        <v/>
      </c>
      <c r="N1205" s="36"/>
      <c r="O1205" s="37"/>
      <c r="P1205" s="39"/>
      <c r="Q1205" s="41"/>
      <c r="R1205" s="35" t="str">
        <f aca="true">IF(OR($B1205="",$Q1205=""),"",DATEDIF($Q1205,TODAY(),"Y"))</f>
        <v/>
      </c>
      <c r="S1205" s="40" t="str">
        <f aca="false">IF($R1205="","",INDEX(usia_label,MATCH($R1205,usia_min,1)))</f>
        <v/>
      </c>
      <c r="T1205" s="36"/>
      <c r="U1205" s="41"/>
      <c r="V1205" s="36"/>
      <c r="W1205" s="36"/>
      <c r="X1205" s="40" t="str">
        <f aca="false">IF($M1205="","",$M1205&amp;"#"&amp;COUNTIF($M$4:$M1205,$M1205))</f>
        <v/>
      </c>
      <c r="Y1205" s="40" t="str">
        <f aca="false">IF($B1205="","",IF($C1205="","NIK kosong",IF(LEN($C1205)&lt;&gt;16,"NIK bukan 16 digit",IF(COUNTIF($C$4:$C$2003,$C1205&amp;"*")&gt;1,"NIK ganda",IF(AND($D1205&lt;&gt;"",LEN($D1205)&lt;&gt;16),"No. KK bukan 16 digit",IF(AND($F1205="",$I1205=""),"Alamat kosong",IF($N1205="","Jabatan kosong",IF($O1205="","No. HP kosong",IF(AND($R1205&lt;&gt;"",$R1205&lt;17),"Usia di bawah 17","")))))))))</f>
        <v/>
      </c>
      <c r="Z1205" s="40" t="str">
        <f aca="false">IF($B1205="","",IF(AND(OR(CARI!$C$5="",ISNUMBER(SEARCH(CARI!$C$5,$B1205&amp;" "&amp;$C1205&amp;" "&amp;$D1205&amp;" "&amp;$O1205&amp;" "&amp;$I1205&amp;" "&amp;$F1205&amp;" "&amp;$J1205&amp;" "&amp;$K1205&amp;" "&amp;$L1205&amp;" "&amp;$V1205))),OR(CARI!$C$6="",$F1205=CARI!$C$6),OR(CARI!$C$7="",$G1205=CARI!$C$7),OR(CARI!$C$8="",$T1205=CARI!$C$8)),MAX($Z$3:Z1204)+1,""))</f>
        <v/>
      </c>
      <c r="AA1205" s="40" t="str">
        <f aca="false">IF($Y1205="","",MAX($AA$3:AA1204)+1)</f>
        <v/>
      </c>
      <c r="AB1205" s="40" t="str">
        <f aca="false">IF($F1205="","",$F1205&amp;"#"&amp;COUNTIF($F$4:$F1205,$F1205))</f>
        <v/>
      </c>
      <c r="AC1205" s="40" t="str">
        <f aca="false">IF($B1205="","",IF(AND(OR(CETAK!$J$10="",$F1205=CETAK!$J$10),OR(CETAK!$J$11="",$G1205=CETAK!$J$11),OR(CETAK!$J$12="",$P1205=CETAK!$J$12),OR(CETAK!$J$13="",$N1205=CETAK!$J$13),OR(CETAK!$J$14="",$T1205=CETAK!$J$14)),MAX($AC$3:AC1204)+1,""))</f>
        <v/>
      </c>
      <c r="AD1205" s="40" t="str">
        <f aca="false">IF($B1205="","",IF(AND(OR(ABSENSI!$H$10="",$F1205=ABSENSI!$H$10),OR(ABSENSI!$H$11="",$G1205=ABSENSI!$H$11),OR(ABSENSI!$H$12="",$P1205=ABSENSI!$H$12)),MAX($AD$3:AD1204)+1,""))</f>
        <v/>
      </c>
      <c r="AE1205" s="40" t="str">
        <f aca="false">IF($B1205="","",IF(AND(OR(KARTU!$K$6="",$F1205=KARTU!$K$6),OR(KARTU!$K$7="",$G1205=KARTU!$K$7),OR(KARTU!$K$8="",$P1205=KARTU!$K$8)),MAX($AE$3:AE1204)+1,""))</f>
        <v/>
      </c>
    </row>
    <row r="1206" customFormat="false" ht="15" hidden="false" customHeight="false" outlineLevel="0" collapsed="false">
      <c r="A1206" s="35" t="str">
        <f aca="false">IF($B1206="","",COUNTA($B$4:$B1206))</f>
        <v/>
      </c>
      <c r="B1206" s="36"/>
      <c r="C1206" s="37"/>
      <c r="D1206" s="37"/>
      <c r="E1206" s="38"/>
      <c r="F1206" s="36"/>
      <c r="G1206" s="39"/>
      <c r="H1206" s="39"/>
      <c r="I1206" s="36"/>
      <c r="J1206" s="36"/>
      <c r="K1206" s="36"/>
      <c r="L1206" s="36"/>
      <c r="M1206" s="40" t="str">
        <f aca="false">IF($F1206="","",$F1206&amp;IF($G1206="",""," - RT "&amp;$G1206&amp;IF($H1206="","","/"&amp;$H1206)))</f>
        <v/>
      </c>
      <c r="N1206" s="36"/>
      <c r="O1206" s="37"/>
      <c r="P1206" s="39"/>
      <c r="Q1206" s="41"/>
      <c r="R1206" s="35" t="str">
        <f aca="true">IF(OR($B1206="",$Q1206=""),"",DATEDIF($Q1206,TODAY(),"Y"))</f>
        <v/>
      </c>
      <c r="S1206" s="40" t="str">
        <f aca="false">IF($R1206="","",INDEX(usia_label,MATCH($R1206,usia_min,1)))</f>
        <v/>
      </c>
      <c r="T1206" s="36"/>
      <c r="U1206" s="41"/>
      <c r="V1206" s="36"/>
      <c r="W1206" s="36"/>
      <c r="X1206" s="40" t="str">
        <f aca="false">IF($M1206="","",$M1206&amp;"#"&amp;COUNTIF($M$4:$M1206,$M1206))</f>
        <v/>
      </c>
      <c r="Y1206" s="40" t="str">
        <f aca="false">IF($B1206="","",IF($C1206="","NIK kosong",IF(LEN($C1206)&lt;&gt;16,"NIK bukan 16 digit",IF(COUNTIF($C$4:$C$2003,$C1206&amp;"*")&gt;1,"NIK ganda",IF(AND($D1206&lt;&gt;"",LEN($D1206)&lt;&gt;16),"No. KK bukan 16 digit",IF(AND($F1206="",$I1206=""),"Alamat kosong",IF($N1206="","Jabatan kosong",IF($O1206="","No. HP kosong",IF(AND($R1206&lt;&gt;"",$R1206&lt;17),"Usia di bawah 17","")))))))))</f>
        <v/>
      </c>
      <c r="Z1206" s="40" t="str">
        <f aca="false">IF($B1206="","",IF(AND(OR(CARI!$C$5="",ISNUMBER(SEARCH(CARI!$C$5,$B1206&amp;" "&amp;$C1206&amp;" "&amp;$D1206&amp;" "&amp;$O1206&amp;" "&amp;$I1206&amp;" "&amp;$F1206&amp;" "&amp;$J1206&amp;" "&amp;$K1206&amp;" "&amp;$L1206&amp;" "&amp;$V1206))),OR(CARI!$C$6="",$F1206=CARI!$C$6),OR(CARI!$C$7="",$G1206=CARI!$C$7),OR(CARI!$C$8="",$T1206=CARI!$C$8)),MAX($Z$3:Z1205)+1,""))</f>
        <v/>
      </c>
      <c r="AA1206" s="40" t="str">
        <f aca="false">IF($Y1206="","",MAX($AA$3:AA1205)+1)</f>
        <v/>
      </c>
      <c r="AB1206" s="40" t="str">
        <f aca="false">IF($F1206="","",$F1206&amp;"#"&amp;COUNTIF($F$4:$F1206,$F1206))</f>
        <v/>
      </c>
      <c r="AC1206" s="40" t="str">
        <f aca="false">IF($B1206="","",IF(AND(OR(CETAK!$J$10="",$F1206=CETAK!$J$10),OR(CETAK!$J$11="",$G1206=CETAK!$J$11),OR(CETAK!$J$12="",$P1206=CETAK!$J$12),OR(CETAK!$J$13="",$N1206=CETAK!$J$13),OR(CETAK!$J$14="",$T1206=CETAK!$J$14)),MAX($AC$3:AC1205)+1,""))</f>
        <v/>
      </c>
      <c r="AD1206" s="40" t="str">
        <f aca="false">IF($B1206="","",IF(AND(OR(ABSENSI!$H$10="",$F1206=ABSENSI!$H$10),OR(ABSENSI!$H$11="",$G1206=ABSENSI!$H$11),OR(ABSENSI!$H$12="",$P1206=ABSENSI!$H$12)),MAX($AD$3:AD1205)+1,""))</f>
        <v/>
      </c>
      <c r="AE1206" s="40" t="str">
        <f aca="false">IF($B1206="","",IF(AND(OR(KARTU!$K$6="",$F1206=KARTU!$K$6),OR(KARTU!$K$7="",$G1206=KARTU!$K$7),OR(KARTU!$K$8="",$P1206=KARTU!$K$8)),MAX($AE$3:AE1205)+1,""))</f>
        <v/>
      </c>
    </row>
    <row r="1207" customFormat="false" ht="15" hidden="false" customHeight="false" outlineLevel="0" collapsed="false">
      <c r="A1207" s="35" t="str">
        <f aca="false">IF($B1207="","",COUNTA($B$4:$B1207))</f>
        <v/>
      </c>
      <c r="B1207" s="36"/>
      <c r="C1207" s="37"/>
      <c r="D1207" s="37"/>
      <c r="E1207" s="38"/>
      <c r="F1207" s="36"/>
      <c r="G1207" s="39"/>
      <c r="H1207" s="39"/>
      <c r="I1207" s="36"/>
      <c r="J1207" s="36"/>
      <c r="K1207" s="36"/>
      <c r="L1207" s="36"/>
      <c r="M1207" s="40" t="str">
        <f aca="false">IF($F1207="","",$F1207&amp;IF($G1207="",""," - RT "&amp;$G1207&amp;IF($H1207="","","/"&amp;$H1207)))</f>
        <v/>
      </c>
      <c r="N1207" s="36"/>
      <c r="O1207" s="37"/>
      <c r="P1207" s="39"/>
      <c r="Q1207" s="41"/>
      <c r="R1207" s="35" t="str">
        <f aca="true">IF(OR($B1207="",$Q1207=""),"",DATEDIF($Q1207,TODAY(),"Y"))</f>
        <v/>
      </c>
      <c r="S1207" s="40" t="str">
        <f aca="false">IF($R1207="","",INDEX(usia_label,MATCH($R1207,usia_min,1)))</f>
        <v/>
      </c>
      <c r="T1207" s="36"/>
      <c r="U1207" s="41"/>
      <c r="V1207" s="36"/>
      <c r="W1207" s="36"/>
      <c r="X1207" s="40" t="str">
        <f aca="false">IF($M1207="","",$M1207&amp;"#"&amp;COUNTIF($M$4:$M1207,$M1207))</f>
        <v/>
      </c>
      <c r="Y1207" s="40" t="str">
        <f aca="false">IF($B1207="","",IF($C1207="","NIK kosong",IF(LEN($C1207)&lt;&gt;16,"NIK bukan 16 digit",IF(COUNTIF($C$4:$C$2003,$C1207&amp;"*")&gt;1,"NIK ganda",IF(AND($D1207&lt;&gt;"",LEN($D1207)&lt;&gt;16),"No. KK bukan 16 digit",IF(AND($F1207="",$I1207=""),"Alamat kosong",IF($N1207="","Jabatan kosong",IF($O1207="","No. HP kosong",IF(AND($R1207&lt;&gt;"",$R1207&lt;17),"Usia di bawah 17","")))))))))</f>
        <v/>
      </c>
      <c r="Z1207" s="40" t="str">
        <f aca="false">IF($B1207="","",IF(AND(OR(CARI!$C$5="",ISNUMBER(SEARCH(CARI!$C$5,$B1207&amp;" "&amp;$C1207&amp;" "&amp;$D1207&amp;" "&amp;$O1207&amp;" "&amp;$I1207&amp;" "&amp;$F1207&amp;" "&amp;$J1207&amp;" "&amp;$K1207&amp;" "&amp;$L1207&amp;" "&amp;$V1207))),OR(CARI!$C$6="",$F1207=CARI!$C$6),OR(CARI!$C$7="",$G1207=CARI!$C$7),OR(CARI!$C$8="",$T1207=CARI!$C$8)),MAX($Z$3:Z1206)+1,""))</f>
        <v/>
      </c>
      <c r="AA1207" s="40" t="str">
        <f aca="false">IF($Y1207="","",MAX($AA$3:AA1206)+1)</f>
        <v/>
      </c>
      <c r="AB1207" s="40" t="str">
        <f aca="false">IF($F1207="","",$F1207&amp;"#"&amp;COUNTIF($F$4:$F1207,$F1207))</f>
        <v/>
      </c>
      <c r="AC1207" s="40" t="str">
        <f aca="false">IF($B1207="","",IF(AND(OR(CETAK!$J$10="",$F1207=CETAK!$J$10),OR(CETAK!$J$11="",$G1207=CETAK!$J$11),OR(CETAK!$J$12="",$P1207=CETAK!$J$12),OR(CETAK!$J$13="",$N1207=CETAK!$J$13),OR(CETAK!$J$14="",$T1207=CETAK!$J$14)),MAX($AC$3:AC1206)+1,""))</f>
        <v/>
      </c>
      <c r="AD1207" s="40" t="str">
        <f aca="false">IF($B1207="","",IF(AND(OR(ABSENSI!$H$10="",$F1207=ABSENSI!$H$10),OR(ABSENSI!$H$11="",$G1207=ABSENSI!$H$11),OR(ABSENSI!$H$12="",$P1207=ABSENSI!$H$12)),MAX($AD$3:AD1206)+1,""))</f>
        <v/>
      </c>
      <c r="AE1207" s="40" t="str">
        <f aca="false">IF($B1207="","",IF(AND(OR(KARTU!$K$6="",$F1207=KARTU!$K$6),OR(KARTU!$K$7="",$G1207=KARTU!$K$7),OR(KARTU!$K$8="",$P1207=KARTU!$K$8)),MAX($AE$3:AE1206)+1,""))</f>
        <v/>
      </c>
    </row>
    <row r="1208" customFormat="false" ht="15" hidden="false" customHeight="false" outlineLevel="0" collapsed="false">
      <c r="A1208" s="35" t="str">
        <f aca="false">IF($B1208="","",COUNTA($B$4:$B1208))</f>
        <v/>
      </c>
      <c r="B1208" s="36"/>
      <c r="C1208" s="37"/>
      <c r="D1208" s="37"/>
      <c r="E1208" s="38"/>
      <c r="F1208" s="36"/>
      <c r="G1208" s="39"/>
      <c r="H1208" s="39"/>
      <c r="I1208" s="36"/>
      <c r="J1208" s="36"/>
      <c r="K1208" s="36"/>
      <c r="L1208" s="36"/>
      <c r="M1208" s="40" t="str">
        <f aca="false">IF($F1208="","",$F1208&amp;IF($G1208="",""," - RT "&amp;$G1208&amp;IF($H1208="","","/"&amp;$H1208)))</f>
        <v/>
      </c>
      <c r="N1208" s="36"/>
      <c r="O1208" s="37"/>
      <c r="P1208" s="39"/>
      <c r="Q1208" s="41"/>
      <c r="R1208" s="35" t="str">
        <f aca="true">IF(OR($B1208="",$Q1208=""),"",DATEDIF($Q1208,TODAY(),"Y"))</f>
        <v/>
      </c>
      <c r="S1208" s="40" t="str">
        <f aca="false">IF($R1208="","",INDEX(usia_label,MATCH($R1208,usia_min,1)))</f>
        <v/>
      </c>
      <c r="T1208" s="36"/>
      <c r="U1208" s="41"/>
      <c r="V1208" s="36"/>
      <c r="W1208" s="36"/>
      <c r="X1208" s="40" t="str">
        <f aca="false">IF($M1208="","",$M1208&amp;"#"&amp;COUNTIF($M$4:$M1208,$M1208))</f>
        <v/>
      </c>
      <c r="Y1208" s="40" t="str">
        <f aca="false">IF($B1208="","",IF($C1208="","NIK kosong",IF(LEN($C1208)&lt;&gt;16,"NIK bukan 16 digit",IF(COUNTIF($C$4:$C$2003,$C1208&amp;"*")&gt;1,"NIK ganda",IF(AND($D1208&lt;&gt;"",LEN($D1208)&lt;&gt;16),"No. KK bukan 16 digit",IF(AND($F1208="",$I1208=""),"Alamat kosong",IF($N1208="","Jabatan kosong",IF($O1208="","No. HP kosong",IF(AND($R1208&lt;&gt;"",$R1208&lt;17),"Usia di bawah 17","")))))))))</f>
        <v/>
      </c>
      <c r="Z1208" s="40" t="str">
        <f aca="false">IF($B1208="","",IF(AND(OR(CARI!$C$5="",ISNUMBER(SEARCH(CARI!$C$5,$B1208&amp;" "&amp;$C1208&amp;" "&amp;$D1208&amp;" "&amp;$O1208&amp;" "&amp;$I1208&amp;" "&amp;$F1208&amp;" "&amp;$J1208&amp;" "&amp;$K1208&amp;" "&amp;$L1208&amp;" "&amp;$V1208))),OR(CARI!$C$6="",$F1208=CARI!$C$6),OR(CARI!$C$7="",$G1208=CARI!$C$7),OR(CARI!$C$8="",$T1208=CARI!$C$8)),MAX($Z$3:Z1207)+1,""))</f>
        <v/>
      </c>
      <c r="AA1208" s="40" t="str">
        <f aca="false">IF($Y1208="","",MAX($AA$3:AA1207)+1)</f>
        <v/>
      </c>
      <c r="AB1208" s="40" t="str">
        <f aca="false">IF($F1208="","",$F1208&amp;"#"&amp;COUNTIF($F$4:$F1208,$F1208))</f>
        <v/>
      </c>
      <c r="AC1208" s="40" t="str">
        <f aca="false">IF($B1208="","",IF(AND(OR(CETAK!$J$10="",$F1208=CETAK!$J$10),OR(CETAK!$J$11="",$G1208=CETAK!$J$11),OR(CETAK!$J$12="",$P1208=CETAK!$J$12),OR(CETAK!$J$13="",$N1208=CETAK!$J$13),OR(CETAK!$J$14="",$T1208=CETAK!$J$14)),MAX($AC$3:AC1207)+1,""))</f>
        <v/>
      </c>
      <c r="AD1208" s="40" t="str">
        <f aca="false">IF($B1208="","",IF(AND(OR(ABSENSI!$H$10="",$F1208=ABSENSI!$H$10),OR(ABSENSI!$H$11="",$G1208=ABSENSI!$H$11),OR(ABSENSI!$H$12="",$P1208=ABSENSI!$H$12)),MAX($AD$3:AD1207)+1,""))</f>
        <v/>
      </c>
      <c r="AE1208" s="40" t="str">
        <f aca="false">IF($B1208="","",IF(AND(OR(KARTU!$K$6="",$F1208=KARTU!$K$6),OR(KARTU!$K$7="",$G1208=KARTU!$K$7),OR(KARTU!$K$8="",$P1208=KARTU!$K$8)),MAX($AE$3:AE1207)+1,""))</f>
        <v/>
      </c>
    </row>
    <row r="1209" customFormat="false" ht="15" hidden="false" customHeight="false" outlineLevel="0" collapsed="false">
      <c r="A1209" s="35" t="str">
        <f aca="false">IF($B1209="","",COUNTA($B$4:$B1209))</f>
        <v/>
      </c>
      <c r="B1209" s="36"/>
      <c r="C1209" s="37"/>
      <c r="D1209" s="37"/>
      <c r="E1209" s="38"/>
      <c r="F1209" s="36"/>
      <c r="G1209" s="39"/>
      <c r="H1209" s="39"/>
      <c r="I1209" s="36"/>
      <c r="J1209" s="36"/>
      <c r="K1209" s="36"/>
      <c r="L1209" s="36"/>
      <c r="M1209" s="40" t="str">
        <f aca="false">IF($F1209="","",$F1209&amp;IF($G1209="",""," - RT "&amp;$G1209&amp;IF($H1209="","","/"&amp;$H1209)))</f>
        <v/>
      </c>
      <c r="N1209" s="36"/>
      <c r="O1209" s="37"/>
      <c r="P1209" s="39"/>
      <c r="Q1209" s="41"/>
      <c r="R1209" s="35" t="str">
        <f aca="true">IF(OR($B1209="",$Q1209=""),"",DATEDIF($Q1209,TODAY(),"Y"))</f>
        <v/>
      </c>
      <c r="S1209" s="40" t="str">
        <f aca="false">IF($R1209="","",INDEX(usia_label,MATCH($R1209,usia_min,1)))</f>
        <v/>
      </c>
      <c r="T1209" s="36"/>
      <c r="U1209" s="41"/>
      <c r="V1209" s="36"/>
      <c r="W1209" s="36"/>
      <c r="X1209" s="40" t="str">
        <f aca="false">IF($M1209="","",$M1209&amp;"#"&amp;COUNTIF($M$4:$M1209,$M1209))</f>
        <v/>
      </c>
      <c r="Y1209" s="40" t="str">
        <f aca="false">IF($B1209="","",IF($C1209="","NIK kosong",IF(LEN($C1209)&lt;&gt;16,"NIK bukan 16 digit",IF(COUNTIF($C$4:$C$2003,$C1209&amp;"*")&gt;1,"NIK ganda",IF(AND($D1209&lt;&gt;"",LEN($D1209)&lt;&gt;16),"No. KK bukan 16 digit",IF(AND($F1209="",$I1209=""),"Alamat kosong",IF($N1209="","Jabatan kosong",IF($O1209="","No. HP kosong",IF(AND($R1209&lt;&gt;"",$R1209&lt;17),"Usia di bawah 17","")))))))))</f>
        <v/>
      </c>
      <c r="Z1209" s="40" t="str">
        <f aca="false">IF($B1209="","",IF(AND(OR(CARI!$C$5="",ISNUMBER(SEARCH(CARI!$C$5,$B1209&amp;" "&amp;$C1209&amp;" "&amp;$D1209&amp;" "&amp;$O1209&amp;" "&amp;$I1209&amp;" "&amp;$F1209&amp;" "&amp;$J1209&amp;" "&amp;$K1209&amp;" "&amp;$L1209&amp;" "&amp;$V1209))),OR(CARI!$C$6="",$F1209=CARI!$C$6),OR(CARI!$C$7="",$G1209=CARI!$C$7),OR(CARI!$C$8="",$T1209=CARI!$C$8)),MAX($Z$3:Z1208)+1,""))</f>
        <v/>
      </c>
      <c r="AA1209" s="40" t="str">
        <f aca="false">IF($Y1209="","",MAX($AA$3:AA1208)+1)</f>
        <v/>
      </c>
      <c r="AB1209" s="40" t="str">
        <f aca="false">IF($F1209="","",$F1209&amp;"#"&amp;COUNTIF($F$4:$F1209,$F1209))</f>
        <v/>
      </c>
      <c r="AC1209" s="40" t="str">
        <f aca="false">IF($B1209="","",IF(AND(OR(CETAK!$J$10="",$F1209=CETAK!$J$10),OR(CETAK!$J$11="",$G1209=CETAK!$J$11),OR(CETAK!$J$12="",$P1209=CETAK!$J$12),OR(CETAK!$J$13="",$N1209=CETAK!$J$13),OR(CETAK!$J$14="",$T1209=CETAK!$J$14)),MAX($AC$3:AC1208)+1,""))</f>
        <v/>
      </c>
      <c r="AD1209" s="40" t="str">
        <f aca="false">IF($B1209="","",IF(AND(OR(ABSENSI!$H$10="",$F1209=ABSENSI!$H$10),OR(ABSENSI!$H$11="",$G1209=ABSENSI!$H$11),OR(ABSENSI!$H$12="",$P1209=ABSENSI!$H$12)),MAX($AD$3:AD1208)+1,""))</f>
        <v/>
      </c>
      <c r="AE1209" s="40" t="str">
        <f aca="false">IF($B1209="","",IF(AND(OR(KARTU!$K$6="",$F1209=KARTU!$K$6),OR(KARTU!$K$7="",$G1209=KARTU!$K$7),OR(KARTU!$K$8="",$P1209=KARTU!$K$8)),MAX($AE$3:AE1208)+1,""))</f>
        <v/>
      </c>
    </row>
    <row r="1210" customFormat="false" ht="15" hidden="false" customHeight="false" outlineLevel="0" collapsed="false">
      <c r="A1210" s="35" t="str">
        <f aca="false">IF($B1210="","",COUNTA($B$4:$B1210))</f>
        <v/>
      </c>
      <c r="B1210" s="36"/>
      <c r="C1210" s="37"/>
      <c r="D1210" s="37"/>
      <c r="E1210" s="38"/>
      <c r="F1210" s="36"/>
      <c r="G1210" s="39"/>
      <c r="H1210" s="39"/>
      <c r="I1210" s="36"/>
      <c r="J1210" s="36"/>
      <c r="K1210" s="36"/>
      <c r="L1210" s="36"/>
      <c r="M1210" s="40" t="str">
        <f aca="false">IF($F1210="","",$F1210&amp;IF($G1210="",""," - RT "&amp;$G1210&amp;IF($H1210="","","/"&amp;$H1210)))</f>
        <v/>
      </c>
      <c r="N1210" s="36"/>
      <c r="O1210" s="37"/>
      <c r="P1210" s="39"/>
      <c r="Q1210" s="41"/>
      <c r="R1210" s="35" t="str">
        <f aca="true">IF(OR($B1210="",$Q1210=""),"",DATEDIF($Q1210,TODAY(),"Y"))</f>
        <v/>
      </c>
      <c r="S1210" s="40" t="str">
        <f aca="false">IF($R1210="","",INDEX(usia_label,MATCH($R1210,usia_min,1)))</f>
        <v/>
      </c>
      <c r="T1210" s="36"/>
      <c r="U1210" s="41"/>
      <c r="V1210" s="36"/>
      <c r="W1210" s="36"/>
      <c r="X1210" s="40" t="str">
        <f aca="false">IF($M1210="","",$M1210&amp;"#"&amp;COUNTIF($M$4:$M1210,$M1210))</f>
        <v/>
      </c>
      <c r="Y1210" s="40" t="str">
        <f aca="false">IF($B1210="","",IF($C1210="","NIK kosong",IF(LEN($C1210)&lt;&gt;16,"NIK bukan 16 digit",IF(COUNTIF($C$4:$C$2003,$C1210&amp;"*")&gt;1,"NIK ganda",IF(AND($D1210&lt;&gt;"",LEN($D1210)&lt;&gt;16),"No. KK bukan 16 digit",IF(AND($F1210="",$I1210=""),"Alamat kosong",IF($N1210="","Jabatan kosong",IF($O1210="","No. HP kosong",IF(AND($R1210&lt;&gt;"",$R1210&lt;17),"Usia di bawah 17","")))))))))</f>
        <v/>
      </c>
      <c r="Z1210" s="40" t="str">
        <f aca="false">IF($B1210="","",IF(AND(OR(CARI!$C$5="",ISNUMBER(SEARCH(CARI!$C$5,$B1210&amp;" "&amp;$C1210&amp;" "&amp;$D1210&amp;" "&amp;$O1210&amp;" "&amp;$I1210&amp;" "&amp;$F1210&amp;" "&amp;$J1210&amp;" "&amp;$K1210&amp;" "&amp;$L1210&amp;" "&amp;$V1210))),OR(CARI!$C$6="",$F1210=CARI!$C$6),OR(CARI!$C$7="",$G1210=CARI!$C$7),OR(CARI!$C$8="",$T1210=CARI!$C$8)),MAX($Z$3:Z1209)+1,""))</f>
        <v/>
      </c>
      <c r="AA1210" s="40" t="str">
        <f aca="false">IF($Y1210="","",MAX($AA$3:AA1209)+1)</f>
        <v/>
      </c>
      <c r="AB1210" s="40" t="str">
        <f aca="false">IF($F1210="","",$F1210&amp;"#"&amp;COUNTIF($F$4:$F1210,$F1210))</f>
        <v/>
      </c>
      <c r="AC1210" s="40" t="str">
        <f aca="false">IF($B1210="","",IF(AND(OR(CETAK!$J$10="",$F1210=CETAK!$J$10),OR(CETAK!$J$11="",$G1210=CETAK!$J$11),OR(CETAK!$J$12="",$P1210=CETAK!$J$12),OR(CETAK!$J$13="",$N1210=CETAK!$J$13),OR(CETAK!$J$14="",$T1210=CETAK!$J$14)),MAX($AC$3:AC1209)+1,""))</f>
        <v/>
      </c>
      <c r="AD1210" s="40" t="str">
        <f aca="false">IF($B1210="","",IF(AND(OR(ABSENSI!$H$10="",$F1210=ABSENSI!$H$10),OR(ABSENSI!$H$11="",$G1210=ABSENSI!$H$11),OR(ABSENSI!$H$12="",$P1210=ABSENSI!$H$12)),MAX($AD$3:AD1209)+1,""))</f>
        <v/>
      </c>
      <c r="AE1210" s="40" t="str">
        <f aca="false">IF($B1210="","",IF(AND(OR(KARTU!$K$6="",$F1210=KARTU!$K$6),OR(KARTU!$K$7="",$G1210=KARTU!$K$7),OR(KARTU!$K$8="",$P1210=KARTU!$K$8)),MAX($AE$3:AE1209)+1,""))</f>
        <v/>
      </c>
    </row>
    <row r="1211" customFormat="false" ht="15" hidden="false" customHeight="false" outlineLevel="0" collapsed="false">
      <c r="A1211" s="35" t="str">
        <f aca="false">IF($B1211="","",COUNTA($B$4:$B1211))</f>
        <v/>
      </c>
      <c r="B1211" s="36"/>
      <c r="C1211" s="37"/>
      <c r="D1211" s="37"/>
      <c r="E1211" s="38"/>
      <c r="F1211" s="36"/>
      <c r="G1211" s="39"/>
      <c r="H1211" s="39"/>
      <c r="I1211" s="36"/>
      <c r="J1211" s="36"/>
      <c r="K1211" s="36"/>
      <c r="L1211" s="36"/>
      <c r="M1211" s="40" t="str">
        <f aca="false">IF($F1211="","",$F1211&amp;IF($G1211="",""," - RT "&amp;$G1211&amp;IF($H1211="","","/"&amp;$H1211)))</f>
        <v/>
      </c>
      <c r="N1211" s="36"/>
      <c r="O1211" s="37"/>
      <c r="P1211" s="39"/>
      <c r="Q1211" s="41"/>
      <c r="R1211" s="35" t="str">
        <f aca="true">IF(OR($B1211="",$Q1211=""),"",DATEDIF($Q1211,TODAY(),"Y"))</f>
        <v/>
      </c>
      <c r="S1211" s="40" t="str">
        <f aca="false">IF($R1211="","",INDEX(usia_label,MATCH($R1211,usia_min,1)))</f>
        <v/>
      </c>
      <c r="T1211" s="36"/>
      <c r="U1211" s="41"/>
      <c r="V1211" s="36"/>
      <c r="W1211" s="36"/>
      <c r="X1211" s="40" t="str">
        <f aca="false">IF($M1211="","",$M1211&amp;"#"&amp;COUNTIF($M$4:$M1211,$M1211))</f>
        <v/>
      </c>
      <c r="Y1211" s="40" t="str">
        <f aca="false">IF($B1211="","",IF($C1211="","NIK kosong",IF(LEN($C1211)&lt;&gt;16,"NIK bukan 16 digit",IF(COUNTIF($C$4:$C$2003,$C1211&amp;"*")&gt;1,"NIK ganda",IF(AND($D1211&lt;&gt;"",LEN($D1211)&lt;&gt;16),"No. KK bukan 16 digit",IF(AND($F1211="",$I1211=""),"Alamat kosong",IF($N1211="","Jabatan kosong",IF($O1211="","No. HP kosong",IF(AND($R1211&lt;&gt;"",$R1211&lt;17),"Usia di bawah 17","")))))))))</f>
        <v/>
      </c>
      <c r="Z1211" s="40" t="str">
        <f aca="false">IF($B1211="","",IF(AND(OR(CARI!$C$5="",ISNUMBER(SEARCH(CARI!$C$5,$B1211&amp;" "&amp;$C1211&amp;" "&amp;$D1211&amp;" "&amp;$O1211&amp;" "&amp;$I1211&amp;" "&amp;$F1211&amp;" "&amp;$J1211&amp;" "&amp;$K1211&amp;" "&amp;$L1211&amp;" "&amp;$V1211))),OR(CARI!$C$6="",$F1211=CARI!$C$6),OR(CARI!$C$7="",$G1211=CARI!$C$7),OR(CARI!$C$8="",$T1211=CARI!$C$8)),MAX($Z$3:Z1210)+1,""))</f>
        <v/>
      </c>
      <c r="AA1211" s="40" t="str">
        <f aca="false">IF($Y1211="","",MAX($AA$3:AA1210)+1)</f>
        <v/>
      </c>
      <c r="AB1211" s="40" t="str">
        <f aca="false">IF($F1211="","",$F1211&amp;"#"&amp;COUNTIF($F$4:$F1211,$F1211))</f>
        <v/>
      </c>
      <c r="AC1211" s="40" t="str">
        <f aca="false">IF($B1211="","",IF(AND(OR(CETAK!$J$10="",$F1211=CETAK!$J$10),OR(CETAK!$J$11="",$G1211=CETAK!$J$11),OR(CETAK!$J$12="",$P1211=CETAK!$J$12),OR(CETAK!$J$13="",$N1211=CETAK!$J$13),OR(CETAK!$J$14="",$T1211=CETAK!$J$14)),MAX($AC$3:AC1210)+1,""))</f>
        <v/>
      </c>
      <c r="AD1211" s="40" t="str">
        <f aca="false">IF($B1211="","",IF(AND(OR(ABSENSI!$H$10="",$F1211=ABSENSI!$H$10),OR(ABSENSI!$H$11="",$G1211=ABSENSI!$H$11),OR(ABSENSI!$H$12="",$P1211=ABSENSI!$H$12)),MAX($AD$3:AD1210)+1,""))</f>
        <v/>
      </c>
      <c r="AE1211" s="40" t="str">
        <f aca="false">IF($B1211="","",IF(AND(OR(KARTU!$K$6="",$F1211=KARTU!$K$6),OR(KARTU!$K$7="",$G1211=KARTU!$K$7),OR(KARTU!$K$8="",$P1211=KARTU!$K$8)),MAX($AE$3:AE1210)+1,""))</f>
        <v/>
      </c>
    </row>
    <row r="1212" customFormat="false" ht="15" hidden="false" customHeight="false" outlineLevel="0" collapsed="false">
      <c r="A1212" s="35" t="str">
        <f aca="false">IF($B1212="","",COUNTA($B$4:$B1212))</f>
        <v/>
      </c>
      <c r="B1212" s="36"/>
      <c r="C1212" s="37"/>
      <c r="D1212" s="37"/>
      <c r="E1212" s="38"/>
      <c r="F1212" s="36"/>
      <c r="G1212" s="39"/>
      <c r="H1212" s="39"/>
      <c r="I1212" s="36"/>
      <c r="J1212" s="36"/>
      <c r="K1212" s="36"/>
      <c r="L1212" s="36"/>
      <c r="M1212" s="40" t="str">
        <f aca="false">IF($F1212="","",$F1212&amp;IF($G1212="",""," - RT "&amp;$G1212&amp;IF($H1212="","","/"&amp;$H1212)))</f>
        <v/>
      </c>
      <c r="N1212" s="36"/>
      <c r="O1212" s="37"/>
      <c r="P1212" s="39"/>
      <c r="Q1212" s="41"/>
      <c r="R1212" s="35" t="str">
        <f aca="true">IF(OR($B1212="",$Q1212=""),"",DATEDIF($Q1212,TODAY(),"Y"))</f>
        <v/>
      </c>
      <c r="S1212" s="40" t="str">
        <f aca="false">IF($R1212="","",INDEX(usia_label,MATCH($R1212,usia_min,1)))</f>
        <v/>
      </c>
      <c r="T1212" s="36"/>
      <c r="U1212" s="41"/>
      <c r="V1212" s="36"/>
      <c r="W1212" s="36"/>
      <c r="X1212" s="40" t="str">
        <f aca="false">IF($M1212="","",$M1212&amp;"#"&amp;COUNTIF($M$4:$M1212,$M1212))</f>
        <v/>
      </c>
      <c r="Y1212" s="40" t="str">
        <f aca="false">IF($B1212="","",IF($C1212="","NIK kosong",IF(LEN($C1212)&lt;&gt;16,"NIK bukan 16 digit",IF(COUNTIF($C$4:$C$2003,$C1212&amp;"*")&gt;1,"NIK ganda",IF(AND($D1212&lt;&gt;"",LEN($D1212)&lt;&gt;16),"No. KK bukan 16 digit",IF(AND($F1212="",$I1212=""),"Alamat kosong",IF($N1212="","Jabatan kosong",IF($O1212="","No. HP kosong",IF(AND($R1212&lt;&gt;"",$R1212&lt;17),"Usia di bawah 17","")))))))))</f>
        <v/>
      </c>
      <c r="Z1212" s="40" t="str">
        <f aca="false">IF($B1212="","",IF(AND(OR(CARI!$C$5="",ISNUMBER(SEARCH(CARI!$C$5,$B1212&amp;" "&amp;$C1212&amp;" "&amp;$D1212&amp;" "&amp;$O1212&amp;" "&amp;$I1212&amp;" "&amp;$F1212&amp;" "&amp;$J1212&amp;" "&amp;$K1212&amp;" "&amp;$L1212&amp;" "&amp;$V1212))),OR(CARI!$C$6="",$F1212=CARI!$C$6),OR(CARI!$C$7="",$G1212=CARI!$C$7),OR(CARI!$C$8="",$T1212=CARI!$C$8)),MAX($Z$3:Z1211)+1,""))</f>
        <v/>
      </c>
      <c r="AA1212" s="40" t="str">
        <f aca="false">IF($Y1212="","",MAX($AA$3:AA1211)+1)</f>
        <v/>
      </c>
      <c r="AB1212" s="40" t="str">
        <f aca="false">IF($F1212="","",$F1212&amp;"#"&amp;COUNTIF($F$4:$F1212,$F1212))</f>
        <v/>
      </c>
      <c r="AC1212" s="40" t="str">
        <f aca="false">IF($B1212="","",IF(AND(OR(CETAK!$J$10="",$F1212=CETAK!$J$10),OR(CETAK!$J$11="",$G1212=CETAK!$J$11),OR(CETAK!$J$12="",$P1212=CETAK!$J$12),OR(CETAK!$J$13="",$N1212=CETAK!$J$13),OR(CETAK!$J$14="",$T1212=CETAK!$J$14)),MAX($AC$3:AC1211)+1,""))</f>
        <v/>
      </c>
      <c r="AD1212" s="40" t="str">
        <f aca="false">IF($B1212="","",IF(AND(OR(ABSENSI!$H$10="",$F1212=ABSENSI!$H$10),OR(ABSENSI!$H$11="",$G1212=ABSENSI!$H$11),OR(ABSENSI!$H$12="",$P1212=ABSENSI!$H$12)),MAX($AD$3:AD1211)+1,""))</f>
        <v/>
      </c>
      <c r="AE1212" s="40" t="str">
        <f aca="false">IF($B1212="","",IF(AND(OR(KARTU!$K$6="",$F1212=KARTU!$K$6),OR(KARTU!$K$7="",$G1212=KARTU!$K$7),OR(KARTU!$K$8="",$P1212=KARTU!$K$8)),MAX($AE$3:AE1211)+1,""))</f>
        <v/>
      </c>
    </row>
    <row r="1213" customFormat="false" ht="15" hidden="false" customHeight="false" outlineLevel="0" collapsed="false">
      <c r="A1213" s="35" t="str">
        <f aca="false">IF($B1213="","",COUNTA($B$4:$B1213))</f>
        <v/>
      </c>
      <c r="B1213" s="36"/>
      <c r="C1213" s="37"/>
      <c r="D1213" s="37"/>
      <c r="E1213" s="38"/>
      <c r="F1213" s="36"/>
      <c r="G1213" s="39"/>
      <c r="H1213" s="39"/>
      <c r="I1213" s="36"/>
      <c r="J1213" s="36"/>
      <c r="K1213" s="36"/>
      <c r="L1213" s="36"/>
      <c r="M1213" s="40" t="str">
        <f aca="false">IF($F1213="","",$F1213&amp;IF($G1213="",""," - RT "&amp;$G1213&amp;IF($H1213="","","/"&amp;$H1213)))</f>
        <v/>
      </c>
      <c r="N1213" s="36"/>
      <c r="O1213" s="37"/>
      <c r="P1213" s="39"/>
      <c r="Q1213" s="41"/>
      <c r="R1213" s="35" t="str">
        <f aca="true">IF(OR($B1213="",$Q1213=""),"",DATEDIF($Q1213,TODAY(),"Y"))</f>
        <v/>
      </c>
      <c r="S1213" s="40" t="str">
        <f aca="false">IF($R1213="","",INDEX(usia_label,MATCH($R1213,usia_min,1)))</f>
        <v/>
      </c>
      <c r="T1213" s="36"/>
      <c r="U1213" s="41"/>
      <c r="V1213" s="36"/>
      <c r="W1213" s="36"/>
      <c r="X1213" s="40" t="str">
        <f aca="false">IF($M1213="","",$M1213&amp;"#"&amp;COUNTIF($M$4:$M1213,$M1213))</f>
        <v/>
      </c>
      <c r="Y1213" s="40" t="str">
        <f aca="false">IF($B1213="","",IF($C1213="","NIK kosong",IF(LEN($C1213)&lt;&gt;16,"NIK bukan 16 digit",IF(COUNTIF($C$4:$C$2003,$C1213&amp;"*")&gt;1,"NIK ganda",IF(AND($D1213&lt;&gt;"",LEN($D1213)&lt;&gt;16),"No. KK bukan 16 digit",IF(AND($F1213="",$I1213=""),"Alamat kosong",IF($N1213="","Jabatan kosong",IF($O1213="","No. HP kosong",IF(AND($R1213&lt;&gt;"",$R1213&lt;17),"Usia di bawah 17","")))))))))</f>
        <v/>
      </c>
      <c r="Z1213" s="40" t="str">
        <f aca="false">IF($B1213="","",IF(AND(OR(CARI!$C$5="",ISNUMBER(SEARCH(CARI!$C$5,$B1213&amp;" "&amp;$C1213&amp;" "&amp;$D1213&amp;" "&amp;$O1213&amp;" "&amp;$I1213&amp;" "&amp;$F1213&amp;" "&amp;$J1213&amp;" "&amp;$K1213&amp;" "&amp;$L1213&amp;" "&amp;$V1213))),OR(CARI!$C$6="",$F1213=CARI!$C$6),OR(CARI!$C$7="",$G1213=CARI!$C$7),OR(CARI!$C$8="",$T1213=CARI!$C$8)),MAX($Z$3:Z1212)+1,""))</f>
        <v/>
      </c>
      <c r="AA1213" s="40" t="str">
        <f aca="false">IF($Y1213="","",MAX($AA$3:AA1212)+1)</f>
        <v/>
      </c>
      <c r="AB1213" s="40" t="str">
        <f aca="false">IF($F1213="","",$F1213&amp;"#"&amp;COUNTIF($F$4:$F1213,$F1213))</f>
        <v/>
      </c>
      <c r="AC1213" s="40" t="str">
        <f aca="false">IF($B1213="","",IF(AND(OR(CETAK!$J$10="",$F1213=CETAK!$J$10),OR(CETAK!$J$11="",$G1213=CETAK!$J$11),OR(CETAK!$J$12="",$P1213=CETAK!$J$12),OR(CETAK!$J$13="",$N1213=CETAK!$J$13),OR(CETAK!$J$14="",$T1213=CETAK!$J$14)),MAX($AC$3:AC1212)+1,""))</f>
        <v/>
      </c>
      <c r="AD1213" s="40" t="str">
        <f aca="false">IF($B1213="","",IF(AND(OR(ABSENSI!$H$10="",$F1213=ABSENSI!$H$10),OR(ABSENSI!$H$11="",$G1213=ABSENSI!$H$11),OR(ABSENSI!$H$12="",$P1213=ABSENSI!$H$12)),MAX($AD$3:AD1212)+1,""))</f>
        <v/>
      </c>
      <c r="AE1213" s="40" t="str">
        <f aca="false">IF($B1213="","",IF(AND(OR(KARTU!$K$6="",$F1213=KARTU!$K$6),OR(KARTU!$K$7="",$G1213=KARTU!$K$7),OR(KARTU!$K$8="",$P1213=KARTU!$K$8)),MAX($AE$3:AE1212)+1,""))</f>
        <v/>
      </c>
    </row>
    <row r="1214" customFormat="false" ht="15" hidden="false" customHeight="false" outlineLevel="0" collapsed="false">
      <c r="A1214" s="35" t="str">
        <f aca="false">IF($B1214="","",COUNTA($B$4:$B1214))</f>
        <v/>
      </c>
      <c r="B1214" s="36"/>
      <c r="C1214" s="37"/>
      <c r="D1214" s="37"/>
      <c r="E1214" s="38"/>
      <c r="F1214" s="36"/>
      <c r="G1214" s="39"/>
      <c r="H1214" s="39"/>
      <c r="I1214" s="36"/>
      <c r="J1214" s="36"/>
      <c r="K1214" s="36"/>
      <c r="L1214" s="36"/>
      <c r="M1214" s="40" t="str">
        <f aca="false">IF($F1214="","",$F1214&amp;IF($G1214="",""," - RT "&amp;$G1214&amp;IF($H1214="","","/"&amp;$H1214)))</f>
        <v/>
      </c>
      <c r="N1214" s="36"/>
      <c r="O1214" s="37"/>
      <c r="P1214" s="39"/>
      <c r="Q1214" s="41"/>
      <c r="R1214" s="35" t="str">
        <f aca="true">IF(OR($B1214="",$Q1214=""),"",DATEDIF($Q1214,TODAY(),"Y"))</f>
        <v/>
      </c>
      <c r="S1214" s="40" t="str">
        <f aca="false">IF($R1214="","",INDEX(usia_label,MATCH($R1214,usia_min,1)))</f>
        <v/>
      </c>
      <c r="T1214" s="36"/>
      <c r="U1214" s="41"/>
      <c r="V1214" s="36"/>
      <c r="W1214" s="36"/>
      <c r="X1214" s="40" t="str">
        <f aca="false">IF($M1214="","",$M1214&amp;"#"&amp;COUNTIF($M$4:$M1214,$M1214))</f>
        <v/>
      </c>
      <c r="Y1214" s="40" t="str">
        <f aca="false">IF($B1214="","",IF($C1214="","NIK kosong",IF(LEN($C1214)&lt;&gt;16,"NIK bukan 16 digit",IF(COUNTIF($C$4:$C$2003,$C1214&amp;"*")&gt;1,"NIK ganda",IF(AND($D1214&lt;&gt;"",LEN($D1214)&lt;&gt;16),"No. KK bukan 16 digit",IF(AND($F1214="",$I1214=""),"Alamat kosong",IF($N1214="","Jabatan kosong",IF($O1214="","No. HP kosong",IF(AND($R1214&lt;&gt;"",$R1214&lt;17),"Usia di bawah 17","")))))))))</f>
        <v/>
      </c>
      <c r="Z1214" s="40" t="str">
        <f aca="false">IF($B1214="","",IF(AND(OR(CARI!$C$5="",ISNUMBER(SEARCH(CARI!$C$5,$B1214&amp;" "&amp;$C1214&amp;" "&amp;$D1214&amp;" "&amp;$O1214&amp;" "&amp;$I1214&amp;" "&amp;$F1214&amp;" "&amp;$J1214&amp;" "&amp;$K1214&amp;" "&amp;$L1214&amp;" "&amp;$V1214))),OR(CARI!$C$6="",$F1214=CARI!$C$6),OR(CARI!$C$7="",$G1214=CARI!$C$7),OR(CARI!$C$8="",$T1214=CARI!$C$8)),MAX($Z$3:Z1213)+1,""))</f>
        <v/>
      </c>
      <c r="AA1214" s="40" t="str">
        <f aca="false">IF($Y1214="","",MAX($AA$3:AA1213)+1)</f>
        <v/>
      </c>
      <c r="AB1214" s="40" t="str">
        <f aca="false">IF($F1214="","",$F1214&amp;"#"&amp;COUNTIF($F$4:$F1214,$F1214))</f>
        <v/>
      </c>
      <c r="AC1214" s="40" t="str">
        <f aca="false">IF($B1214="","",IF(AND(OR(CETAK!$J$10="",$F1214=CETAK!$J$10),OR(CETAK!$J$11="",$G1214=CETAK!$J$11),OR(CETAK!$J$12="",$P1214=CETAK!$J$12),OR(CETAK!$J$13="",$N1214=CETAK!$J$13),OR(CETAK!$J$14="",$T1214=CETAK!$J$14)),MAX($AC$3:AC1213)+1,""))</f>
        <v/>
      </c>
      <c r="AD1214" s="40" t="str">
        <f aca="false">IF($B1214="","",IF(AND(OR(ABSENSI!$H$10="",$F1214=ABSENSI!$H$10),OR(ABSENSI!$H$11="",$G1214=ABSENSI!$H$11),OR(ABSENSI!$H$12="",$P1214=ABSENSI!$H$12)),MAX($AD$3:AD1213)+1,""))</f>
        <v/>
      </c>
      <c r="AE1214" s="40" t="str">
        <f aca="false">IF($B1214="","",IF(AND(OR(KARTU!$K$6="",$F1214=KARTU!$K$6),OR(KARTU!$K$7="",$G1214=KARTU!$K$7),OR(KARTU!$K$8="",$P1214=KARTU!$K$8)),MAX($AE$3:AE1213)+1,""))</f>
        <v/>
      </c>
    </row>
    <row r="1215" customFormat="false" ht="15" hidden="false" customHeight="false" outlineLevel="0" collapsed="false">
      <c r="A1215" s="35" t="str">
        <f aca="false">IF($B1215="","",COUNTA($B$4:$B1215))</f>
        <v/>
      </c>
      <c r="B1215" s="36"/>
      <c r="C1215" s="37"/>
      <c r="D1215" s="37"/>
      <c r="E1215" s="38"/>
      <c r="F1215" s="36"/>
      <c r="G1215" s="39"/>
      <c r="H1215" s="39"/>
      <c r="I1215" s="36"/>
      <c r="J1215" s="36"/>
      <c r="K1215" s="36"/>
      <c r="L1215" s="36"/>
      <c r="M1215" s="40" t="str">
        <f aca="false">IF($F1215="","",$F1215&amp;IF($G1215="",""," - RT "&amp;$G1215&amp;IF($H1215="","","/"&amp;$H1215)))</f>
        <v/>
      </c>
      <c r="N1215" s="36"/>
      <c r="O1215" s="37"/>
      <c r="P1215" s="39"/>
      <c r="Q1215" s="41"/>
      <c r="R1215" s="35" t="str">
        <f aca="true">IF(OR($B1215="",$Q1215=""),"",DATEDIF($Q1215,TODAY(),"Y"))</f>
        <v/>
      </c>
      <c r="S1215" s="40" t="str">
        <f aca="false">IF($R1215="","",INDEX(usia_label,MATCH($R1215,usia_min,1)))</f>
        <v/>
      </c>
      <c r="T1215" s="36"/>
      <c r="U1215" s="41"/>
      <c r="V1215" s="36"/>
      <c r="W1215" s="36"/>
      <c r="X1215" s="40" t="str">
        <f aca="false">IF($M1215="","",$M1215&amp;"#"&amp;COUNTIF($M$4:$M1215,$M1215))</f>
        <v/>
      </c>
      <c r="Y1215" s="40" t="str">
        <f aca="false">IF($B1215="","",IF($C1215="","NIK kosong",IF(LEN($C1215)&lt;&gt;16,"NIK bukan 16 digit",IF(COUNTIF($C$4:$C$2003,$C1215&amp;"*")&gt;1,"NIK ganda",IF(AND($D1215&lt;&gt;"",LEN($D1215)&lt;&gt;16),"No. KK bukan 16 digit",IF(AND($F1215="",$I1215=""),"Alamat kosong",IF($N1215="","Jabatan kosong",IF($O1215="","No. HP kosong",IF(AND($R1215&lt;&gt;"",$R1215&lt;17),"Usia di bawah 17","")))))))))</f>
        <v/>
      </c>
      <c r="Z1215" s="40" t="str">
        <f aca="false">IF($B1215="","",IF(AND(OR(CARI!$C$5="",ISNUMBER(SEARCH(CARI!$C$5,$B1215&amp;" "&amp;$C1215&amp;" "&amp;$D1215&amp;" "&amp;$O1215&amp;" "&amp;$I1215&amp;" "&amp;$F1215&amp;" "&amp;$J1215&amp;" "&amp;$K1215&amp;" "&amp;$L1215&amp;" "&amp;$V1215))),OR(CARI!$C$6="",$F1215=CARI!$C$6),OR(CARI!$C$7="",$G1215=CARI!$C$7),OR(CARI!$C$8="",$T1215=CARI!$C$8)),MAX($Z$3:Z1214)+1,""))</f>
        <v/>
      </c>
      <c r="AA1215" s="40" t="str">
        <f aca="false">IF($Y1215="","",MAX($AA$3:AA1214)+1)</f>
        <v/>
      </c>
      <c r="AB1215" s="40" t="str">
        <f aca="false">IF($F1215="","",$F1215&amp;"#"&amp;COUNTIF($F$4:$F1215,$F1215))</f>
        <v/>
      </c>
      <c r="AC1215" s="40" t="str">
        <f aca="false">IF($B1215="","",IF(AND(OR(CETAK!$J$10="",$F1215=CETAK!$J$10),OR(CETAK!$J$11="",$G1215=CETAK!$J$11),OR(CETAK!$J$12="",$P1215=CETAK!$J$12),OR(CETAK!$J$13="",$N1215=CETAK!$J$13),OR(CETAK!$J$14="",$T1215=CETAK!$J$14)),MAX($AC$3:AC1214)+1,""))</f>
        <v/>
      </c>
      <c r="AD1215" s="40" t="str">
        <f aca="false">IF($B1215="","",IF(AND(OR(ABSENSI!$H$10="",$F1215=ABSENSI!$H$10),OR(ABSENSI!$H$11="",$G1215=ABSENSI!$H$11),OR(ABSENSI!$H$12="",$P1215=ABSENSI!$H$12)),MAX($AD$3:AD1214)+1,""))</f>
        <v/>
      </c>
      <c r="AE1215" s="40" t="str">
        <f aca="false">IF($B1215="","",IF(AND(OR(KARTU!$K$6="",$F1215=KARTU!$K$6),OR(KARTU!$K$7="",$G1215=KARTU!$K$7),OR(KARTU!$K$8="",$P1215=KARTU!$K$8)),MAX($AE$3:AE1214)+1,""))</f>
        <v/>
      </c>
    </row>
    <row r="1216" customFormat="false" ht="15" hidden="false" customHeight="false" outlineLevel="0" collapsed="false">
      <c r="A1216" s="35" t="str">
        <f aca="false">IF($B1216="","",COUNTA($B$4:$B1216))</f>
        <v/>
      </c>
      <c r="B1216" s="36"/>
      <c r="C1216" s="37"/>
      <c r="D1216" s="37"/>
      <c r="E1216" s="38"/>
      <c r="F1216" s="36"/>
      <c r="G1216" s="39"/>
      <c r="H1216" s="39"/>
      <c r="I1216" s="36"/>
      <c r="J1216" s="36"/>
      <c r="K1216" s="36"/>
      <c r="L1216" s="36"/>
      <c r="M1216" s="40" t="str">
        <f aca="false">IF($F1216="","",$F1216&amp;IF($G1216="",""," - RT "&amp;$G1216&amp;IF($H1216="","","/"&amp;$H1216)))</f>
        <v/>
      </c>
      <c r="N1216" s="36"/>
      <c r="O1216" s="37"/>
      <c r="P1216" s="39"/>
      <c r="Q1216" s="41"/>
      <c r="R1216" s="35" t="str">
        <f aca="true">IF(OR($B1216="",$Q1216=""),"",DATEDIF($Q1216,TODAY(),"Y"))</f>
        <v/>
      </c>
      <c r="S1216" s="40" t="str">
        <f aca="false">IF($R1216="","",INDEX(usia_label,MATCH($R1216,usia_min,1)))</f>
        <v/>
      </c>
      <c r="T1216" s="36"/>
      <c r="U1216" s="41"/>
      <c r="V1216" s="36"/>
      <c r="W1216" s="36"/>
      <c r="X1216" s="40" t="str">
        <f aca="false">IF($M1216="","",$M1216&amp;"#"&amp;COUNTIF($M$4:$M1216,$M1216))</f>
        <v/>
      </c>
      <c r="Y1216" s="40" t="str">
        <f aca="false">IF($B1216="","",IF($C1216="","NIK kosong",IF(LEN($C1216)&lt;&gt;16,"NIK bukan 16 digit",IF(COUNTIF($C$4:$C$2003,$C1216&amp;"*")&gt;1,"NIK ganda",IF(AND($D1216&lt;&gt;"",LEN($D1216)&lt;&gt;16),"No. KK bukan 16 digit",IF(AND($F1216="",$I1216=""),"Alamat kosong",IF($N1216="","Jabatan kosong",IF($O1216="","No. HP kosong",IF(AND($R1216&lt;&gt;"",$R1216&lt;17),"Usia di bawah 17","")))))))))</f>
        <v/>
      </c>
      <c r="Z1216" s="40" t="str">
        <f aca="false">IF($B1216="","",IF(AND(OR(CARI!$C$5="",ISNUMBER(SEARCH(CARI!$C$5,$B1216&amp;" "&amp;$C1216&amp;" "&amp;$D1216&amp;" "&amp;$O1216&amp;" "&amp;$I1216&amp;" "&amp;$F1216&amp;" "&amp;$J1216&amp;" "&amp;$K1216&amp;" "&amp;$L1216&amp;" "&amp;$V1216))),OR(CARI!$C$6="",$F1216=CARI!$C$6),OR(CARI!$C$7="",$G1216=CARI!$C$7),OR(CARI!$C$8="",$T1216=CARI!$C$8)),MAX($Z$3:Z1215)+1,""))</f>
        <v/>
      </c>
      <c r="AA1216" s="40" t="str">
        <f aca="false">IF($Y1216="","",MAX($AA$3:AA1215)+1)</f>
        <v/>
      </c>
      <c r="AB1216" s="40" t="str">
        <f aca="false">IF($F1216="","",$F1216&amp;"#"&amp;COUNTIF($F$4:$F1216,$F1216))</f>
        <v/>
      </c>
      <c r="AC1216" s="40" t="str">
        <f aca="false">IF($B1216="","",IF(AND(OR(CETAK!$J$10="",$F1216=CETAK!$J$10),OR(CETAK!$J$11="",$G1216=CETAK!$J$11),OR(CETAK!$J$12="",$P1216=CETAK!$J$12),OR(CETAK!$J$13="",$N1216=CETAK!$J$13),OR(CETAK!$J$14="",$T1216=CETAK!$J$14)),MAX($AC$3:AC1215)+1,""))</f>
        <v/>
      </c>
      <c r="AD1216" s="40" t="str">
        <f aca="false">IF($B1216="","",IF(AND(OR(ABSENSI!$H$10="",$F1216=ABSENSI!$H$10),OR(ABSENSI!$H$11="",$G1216=ABSENSI!$H$11),OR(ABSENSI!$H$12="",$P1216=ABSENSI!$H$12)),MAX($AD$3:AD1215)+1,""))</f>
        <v/>
      </c>
      <c r="AE1216" s="40" t="str">
        <f aca="false">IF($B1216="","",IF(AND(OR(KARTU!$K$6="",$F1216=KARTU!$K$6),OR(KARTU!$K$7="",$G1216=KARTU!$K$7),OR(KARTU!$K$8="",$P1216=KARTU!$K$8)),MAX($AE$3:AE1215)+1,""))</f>
        <v/>
      </c>
    </row>
    <row r="1217" customFormat="false" ht="15" hidden="false" customHeight="false" outlineLevel="0" collapsed="false">
      <c r="A1217" s="35" t="str">
        <f aca="false">IF($B1217="","",COUNTA($B$4:$B1217))</f>
        <v/>
      </c>
      <c r="B1217" s="36"/>
      <c r="C1217" s="37"/>
      <c r="D1217" s="37"/>
      <c r="E1217" s="38"/>
      <c r="F1217" s="36"/>
      <c r="G1217" s="39"/>
      <c r="H1217" s="39"/>
      <c r="I1217" s="36"/>
      <c r="J1217" s="36"/>
      <c r="K1217" s="36"/>
      <c r="L1217" s="36"/>
      <c r="M1217" s="40" t="str">
        <f aca="false">IF($F1217="","",$F1217&amp;IF($G1217="",""," - RT "&amp;$G1217&amp;IF($H1217="","","/"&amp;$H1217)))</f>
        <v/>
      </c>
      <c r="N1217" s="36"/>
      <c r="O1217" s="37"/>
      <c r="P1217" s="39"/>
      <c r="Q1217" s="41"/>
      <c r="R1217" s="35" t="str">
        <f aca="true">IF(OR($B1217="",$Q1217=""),"",DATEDIF($Q1217,TODAY(),"Y"))</f>
        <v/>
      </c>
      <c r="S1217" s="40" t="str">
        <f aca="false">IF($R1217="","",INDEX(usia_label,MATCH($R1217,usia_min,1)))</f>
        <v/>
      </c>
      <c r="T1217" s="36"/>
      <c r="U1217" s="41"/>
      <c r="V1217" s="36"/>
      <c r="W1217" s="36"/>
      <c r="X1217" s="40" t="str">
        <f aca="false">IF($M1217="","",$M1217&amp;"#"&amp;COUNTIF($M$4:$M1217,$M1217))</f>
        <v/>
      </c>
      <c r="Y1217" s="40" t="str">
        <f aca="false">IF($B1217="","",IF($C1217="","NIK kosong",IF(LEN($C1217)&lt;&gt;16,"NIK bukan 16 digit",IF(COUNTIF($C$4:$C$2003,$C1217&amp;"*")&gt;1,"NIK ganda",IF(AND($D1217&lt;&gt;"",LEN($D1217)&lt;&gt;16),"No. KK bukan 16 digit",IF(AND($F1217="",$I1217=""),"Alamat kosong",IF($N1217="","Jabatan kosong",IF($O1217="","No. HP kosong",IF(AND($R1217&lt;&gt;"",$R1217&lt;17),"Usia di bawah 17","")))))))))</f>
        <v/>
      </c>
      <c r="Z1217" s="40" t="str">
        <f aca="false">IF($B1217="","",IF(AND(OR(CARI!$C$5="",ISNUMBER(SEARCH(CARI!$C$5,$B1217&amp;" "&amp;$C1217&amp;" "&amp;$D1217&amp;" "&amp;$O1217&amp;" "&amp;$I1217&amp;" "&amp;$F1217&amp;" "&amp;$J1217&amp;" "&amp;$K1217&amp;" "&amp;$L1217&amp;" "&amp;$V1217))),OR(CARI!$C$6="",$F1217=CARI!$C$6),OR(CARI!$C$7="",$G1217=CARI!$C$7),OR(CARI!$C$8="",$T1217=CARI!$C$8)),MAX($Z$3:Z1216)+1,""))</f>
        <v/>
      </c>
      <c r="AA1217" s="40" t="str">
        <f aca="false">IF($Y1217="","",MAX($AA$3:AA1216)+1)</f>
        <v/>
      </c>
      <c r="AB1217" s="40" t="str">
        <f aca="false">IF($F1217="","",$F1217&amp;"#"&amp;COUNTIF($F$4:$F1217,$F1217))</f>
        <v/>
      </c>
      <c r="AC1217" s="40" t="str">
        <f aca="false">IF($B1217="","",IF(AND(OR(CETAK!$J$10="",$F1217=CETAK!$J$10),OR(CETAK!$J$11="",$G1217=CETAK!$J$11),OR(CETAK!$J$12="",$P1217=CETAK!$J$12),OR(CETAK!$J$13="",$N1217=CETAK!$J$13),OR(CETAK!$J$14="",$T1217=CETAK!$J$14)),MAX($AC$3:AC1216)+1,""))</f>
        <v/>
      </c>
      <c r="AD1217" s="40" t="str">
        <f aca="false">IF($B1217="","",IF(AND(OR(ABSENSI!$H$10="",$F1217=ABSENSI!$H$10),OR(ABSENSI!$H$11="",$G1217=ABSENSI!$H$11),OR(ABSENSI!$H$12="",$P1217=ABSENSI!$H$12)),MAX($AD$3:AD1216)+1,""))</f>
        <v/>
      </c>
      <c r="AE1217" s="40" t="str">
        <f aca="false">IF($B1217="","",IF(AND(OR(KARTU!$K$6="",$F1217=KARTU!$K$6),OR(KARTU!$K$7="",$G1217=KARTU!$K$7),OR(KARTU!$K$8="",$P1217=KARTU!$K$8)),MAX($AE$3:AE1216)+1,""))</f>
        <v/>
      </c>
    </row>
    <row r="1218" customFormat="false" ht="15" hidden="false" customHeight="false" outlineLevel="0" collapsed="false">
      <c r="A1218" s="35" t="str">
        <f aca="false">IF($B1218="","",COUNTA($B$4:$B1218))</f>
        <v/>
      </c>
      <c r="B1218" s="36"/>
      <c r="C1218" s="37"/>
      <c r="D1218" s="37"/>
      <c r="E1218" s="38"/>
      <c r="F1218" s="36"/>
      <c r="G1218" s="39"/>
      <c r="H1218" s="39"/>
      <c r="I1218" s="36"/>
      <c r="J1218" s="36"/>
      <c r="K1218" s="36"/>
      <c r="L1218" s="36"/>
      <c r="M1218" s="40" t="str">
        <f aca="false">IF($F1218="","",$F1218&amp;IF($G1218="",""," - RT "&amp;$G1218&amp;IF($H1218="","","/"&amp;$H1218)))</f>
        <v/>
      </c>
      <c r="N1218" s="36"/>
      <c r="O1218" s="37"/>
      <c r="P1218" s="39"/>
      <c r="Q1218" s="41"/>
      <c r="R1218" s="35" t="str">
        <f aca="true">IF(OR($B1218="",$Q1218=""),"",DATEDIF($Q1218,TODAY(),"Y"))</f>
        <v/>
      </c>
      <c r="S1218" s="40" t="str">
        <f aca="false">IF($R1218="","",INDEX(usia_label,MATCH($R1218,usia_min,1)))</f>
        <v/>
      </c>
      <c r="T1218" s="36"/>
      <c r="U1218" s="41"/>
      <c r="V1218" s="36"/>
      <c r="W1218" s="36"/>
      <c r="X1218" s="40" t="str">
        <f aca="false">IF($M1218="","",$M1218&amp;"#"&amp;COUNTIF($M$4:$M1218,$M1218))</f>
        <v/>
      </c>
      <c r="Y1218" s="40" t="str">
        <f aca="false">IF($B1218="","",IF($C1218="","NIK kosong",IF(LEN($C1218)&lt;&gt;16,"NIK bukan 16 digit",IF(COUNTIF($C$4:$C$2003,$C1218&amp;"*")&gt;1,"NIK ganda",IF(AND($D1218&lt;&gt;"",LEN($D1218)&lt;&gt;16),"No. KK bukan 16 digit",IF(AND($F1218="",$I1218=""),"Alamat kosong",IF($N1218="","Jabatan kosong",IF($O1218="","No. HP kosong",IF(AND($R1218&lt;&gt;"",$R1218&lt;17),"Usia di bawah 17","")))))))))</f>
        <v/>
      </c>
      <c r="Z1218" s="40" t="str">
        <f aca="false">IF($B1218="","",IF(AND(OR(CARI!$C$5="",ISNUMBER(SEARCH(CARI!$C$5,$B1218&amp;" "&amp;$C1218&amp;" "&amp;$D1218&amp;" "&amp;$O1218&amp;" "&amp;$I1218&amp;" "&amp;$F1218&amp;" "&amp;$J1218&amp;" "&amp;$K1218&amp;" "&amp;$L1218&amp;" "&amp;$V1218))),OR(CARI!$C$6="",$F1218=CARI!$C$6),OR(CARI!$C$7="",$G1218=CARI!$C$7),OR(CARI!$C$8="",$T1218=CARI!$C$8)),MAX($Z$3:Z1217)+1,""))</f>
        <v/>
      </c>
      <c r="AA1218" s="40" t="str">
        <f aca="false">IF($Y1218="","",MAX($AA$3:AA1217)+1)</f>
        <v/>
      </c>
      <c r="AB1218" s="40" t="str">
        <f aca="false">IF($F1218="","",$F1218&amp;"#"&amp;COUNTIF($F$4:$F1218,$F1218))</f>
        <v/>
      </c>
      <c r="AC1218" s="40" t="str">
        <f aca="false">IF($B1218="","",IF(AND(OR(CETAK!$J$10="",$F1218=CETAK!$J$10),OR(CETAK!$J$11="",$G1218=CETAK!$J$11),OR(CETAK!$J$12="",$P1218=CETAK!$J$12),OR(CETAK!$J$13="",$N1218=CETAK!$J$13),OR(CETAK!$J$14="",$T1218=CETAK!$J$14)),MAX($AC$3:AC1217)+1,""))</f>
        <v/>
      </c>
      <c r="AD1218" s="40" t="str">
        <f aca="false">IF($B1218="","",IF(AND(OR(ABSENSI!$H$10="",$F1218=ABSENSI!$H$10),OR(ABSENSI!$H$11="",$G1218=ABSENSI!$H$11),OR(ABSENSI!$H$12="",$P1218=ABSENSI!$H$12)),MAX($AD$3:AD1217)+1,""))</f>
        <v/>
      </c>
      <c r="AE1218" s="40" t="str">
        <f aca="false">IF($B1218="","",IF(AND(OR(KARTU!$K$6="",$F1218=KARTU!$K$6),OR(KARTU!$K$7="",$G1218=KARTU!$K$7),OR(KARTU!$K$8="",$P1218=KARTU!$K$8)),MAX($AE$3:AE1217)+1,""))</f>
        <v/>
      </c>
    </row>
    <row r="1219" customFormat="false" ht="15" hidden="false" customHeight="false" outlineLevel="0" collapsed="false">
      <c r="A1219" s="35" t="str">
        <f aca="false">IF($B1219="","",COUNTA($B$4:$B1219))</f>
        <v/>
      </c>
      <c r="B1219" s="36"/>
      <c r="C1219" s="37"/>
      <c r="D1219" s="37"/>
      <c r="E1219" s="38"/>
      <c r="F1219" s="36"/>
      <c r="G1219" s="39"/>
      <c r="H1219" s="39"/>
      <c r="I1219" s="36"/>
      <c r="J1219" s="36"/>
      <c r="K1219" s="36"/>
      <c r="L1219" s="36"/>
      <c r="M1219" s="40" t="str">
        <f aca="false">IF($F1219="","",$F1219&amp;IF($G1219="",""," - RT "&amp;$G1219&amp;IF($H1219="","","/"&amp;$H1219)))</f>
        <v/>
      </c>
      <c r="N1219" s="36"/>
      <c r="O1219" s="37"/>
      <c r="P1219" s="39"/>
      <c r="Q1219" s="41"/>
      <c r="R1219" s="35" t="str">
        <f aca="true">IF(OR($B1219="",$Q1219=""),"",DATEDIF($Q1219,TODAY(),"Y"))</f>
        <v/>
      </c>
      <c r="S1219" s="40" t="str">
        <f aca="false">IF($R1219="","",INDEX(usia_label,MATCH($R1219,usia_min,1)))</f>
        <v/>
      </c>
      <c r="T1219" s="36"/>
      <c r="U1219" s="41"/>
      <c r="V1219" s="36"/>
      <c r="W1219" s="36"/>
      <c r="X1219" s="40" t="str">
        <f aca="false">IF($M1219="","",$M1219&amp;"#"&amp;COUNTIF($M$4:$M1219,$M1219))</f>
        <v/>
      </c>
      <c r="Y1219" s="40" t="str">
        <f aca="false">IF($B1219="","",IF($C1219="","NIK kosong",IF(LEN($C1219)&lt;&gt;16,"NIK bukan 16 digit",IF(COUNTIF($C$4:$C$2003,$C1219&amp;"*")&gt;1,"NIK ganda",IF(AND($D1219&lt;&gt;"",LEN($D1219)&lt;&gt;16),"No. KK bukan 16 digit",IF(AND($F1219="",$I1219=""),"Alamat kosong",IF($N1219="","Jabatan kosong",IF($O1219="","No. HP kosong",IF(AND($R1219&lt;&gt;"",$R1219&lt;17),"Usia di bawah 17","")))))))))</f>
        <v/>
      </c>
      <c r="Z1219" s="40" t="str">
        <f aca="false">IF($B1219="","",IF(AND(OR(CARI!$C$5="",ISNUMBER(SEARCH(CARI!$C$5,$B1219&amp;" "&amp;$C1219&amp;" "&amp;$D1219&amp;" "&amp;$O1219&amp;" "&amp;$I1219&amp;" "&amp;$F1219&amp;" "&amp;$J1219&amp;" "&amp;$K1219&amp;" "&amp;$L1219&amp;" "&amp;$V1219))),OR(CARI!$C$6="",$F1219=CARI!$C$6),OR(CARI!$C$7="",$G1219=CARI!$C$7),OR(CARI!$C$8="",$T1219=CARI!$C$8)),MAX($Z$3:Z1218)+1,""))</f>
        <v/>
      </c>
      <c r="AA1219" s="40" t="str">
        <f aca="false">IF($Y1219="","",MAX($AA$3:AA1218)+1)</f>
        <v/>
      </c>
      <c r="AB1219" s="40" t="str">
        <f aca="false">IF($F1219="","",$F1219&amp;"#"&amp;COUNTIF($F$4:$F1219,$F1219))</f>
        <v/>
      </c>
      <c r="AC1219" s="40" t="str">
        <f aca="false">IF($B1219="","",IF(AND(OR(CETAK!$J$10="",$F1219=CETAK!$J$10),OR(CETAK!$J$11="",$G1219=CETAK!$J$11),OR(CETAK!$J$12="",$P1219=CETAK!$J$12),OR(CETAK!$J$13="",$N1219=CETAK!$J$13),OR(CETAK!$J$14="",$T1219=CETAK!$J$14)),MAX($AC$3:AC1218)+1,""))</f>
        <v/>
      </c>
      <c r="AD1219" s="40" t="str">
        <f aca="false">IF($B1219="","",IF(AND(OR(ABSENSI!$H$10="",$F1219=ABSENSI!$H$10),OR(ABSENSI!$H$11="",$G1219=ABSENSI!$H$11),OR(ABSENSI!$H$12="",$P1219=ABSENSI!$H$12)),MAX($AD$3:AD1218)+1,""))</f>
        <v/>
      </c>
      <c r="AE1219" s="40" t="str">
        <f aca="false">IF($B1219="","",IF(AND(OR(KARTU!$K$6="",$F1219=KARTU!$K$6),OR(KARTU!$K$7="",$G1219=KARTU!$K$7),OR(KARTU!$K$8="",$P1219=KARTU!$K$8)),MAX($AE$3:AE1218)+1,""))</f>
        <v/>
      </c>
    </row>
    <row r="1220" customFormat="false" ht="15" hidden="false" customHeight="false" outlineLevel="0" collapsed="false">
      <c r="A1220" s="35" t="str">
        <f aca="false">IF($B1220="","",COUNTA($B$4:$B1220))</f>
        <v/>
      </c>
      <c r="B1220" s="36"/>
      <c r="C1220" s="37"/>
      <c r="D1220" s="37"/>
      <c r="E1220" s="38"/>
      <c r="F1220" s="36"/>
      <c r="G1220" s="39"/>
      <c r="H1220" s="39"/>
      <c r="I1220" s="36"/>
      <c r="J1220" s="36"/>
      <c r="K1220" s="36"/>
      <c r="L1220" s="36"/>
      <c r="M1220" s="40" t="str">
        <f aca="false">IF($F1220="","",$F1220&amp;IF($G1220="",""," - RT "&amp;$G1220&amp;IF($H1220="","","/"&amp;$H1220)))</f>
        <v/>
      </c>
      <c r="N1220" s="36"/>
      <c r="O1220" s="37"/>
      <c r="P1220" s="39"/>
      <c r="Q1220" s="41"/>
      <c r="R1220" s="35" t="str">
        <f aca="true">IF(OR($B1220="",$Q1220=""),"",DATEDIF($Q1220,TODAY(),"Y"))</f>
        <v/>
      </c>
      <c r="S1220" s="40" t="str">
        <f aca="false">IF($R1220="","",INDEX(usia_label,MATCH($R1220,usia_min,1)))</f>
        <v/>
      </c>
      <c r="T1220" s="36"/>
      <c r="U1220" s="41"/>
      <c r="V1220" s="36"/>
      <c r="W1220" s="36"/>
      <c r="X1220" s="40" t="str">
        <f aca="false">IF($M1220="","",$M1220&amp;"#"&amp;COUNTIF($M$4:$M1220,$M1220))</f>
        <v/>
      </c>
      <c r="Y1220" s="40" t="str">
        <f aca="false">IF($B1220="","",IF($C1220="","NIK kosong",IF(LEN($C1220)&lt;&gt;16,"NIK bukan 16 digit",IF(COUNTIF($C$4:$C$2003,$C1220&amp;"*")&gt;1,"NIK ganda",IF(AND($D1220&lt;&gt;"",LEN($D1220)&lt;&gt;16),"No. KK bukan 16 digit",IF(AND($F1220="",$I1220=""),"Alamat kosong",IF($N1220="","Jabatan kosong",IF($O1220="","No. HP kosong",IF(AND($R1220&lt;&gt;"",$R1220&lt;17),"Usia di bawah 17","")))))))))</f>
        <v/>
      </c>
      <c r="Z1220" s="40" t="str">
        <f aca="false">IF($B1220="","",IF(AND(OR(CARI!$C$5="",ISNUMBER(SEARCH(CARI!$C$5,$B1220&amp;" "&amp;$C1220&amp;" "&amp;$D1220&amp;" "&amp;$O1220&amp;" "&amp;$I1220&amp;" "&amp;$F1220&amp;" "&amp;$J1220&amp;" "&amp;$K1220&amp;" "&amp;$L1220&amp;" "&amp;$V1220))),OR(CARI!$C$6="",$F1220=CARI!$C$6),OR(CARI!$C$7="",$G1220=CARI!$C$7),OR(CARI!$C$8="",$T1220=CARI!$C$8)),MAX($Z$3:Z1219)+1,""))</f>
        <v/>
      </c>
      <c r="AA1220" s="40" t="str">
        <f aca="false">IF($Y1220="","",MAX($AA$3:AA1219)+1)</f>
        <v/>
      </c>
      <c r="AB1220" s="40" t="str">
        <f aca="false">IF($F1220="","",$F1220&amp;"#"&amp;COUNTIF($F$4:$F1220,$F1220))</f>
        <v/>
      </c>
      <c r="AC1220" s="40" t="str">
        <f aca="false">IF($B1220="","",IF(AND(OR(CETAK!$J$10="",$F1220=CETAK!$J$10),OR(CETAK!$J$11="",$G1220=CETAK!$J$11),OR(CETAK!$J$12="",$P1220=CETAK!$J$12),OR(CETAK!$J$13="",$N1220=CETAK!$J$13),OR(CETAK!$J$14="",$T1220=CETAK!$J$14)),MAX($AC$3:AC1219)+1,""))</f>
        <v/>
      </c>
      <c r="AD1220" s="40" t="str">
        <f aca="false">IF($B1220="","",IF(AND(OR(ABSENSI!$H$10="",$F1220=ABSENSI!$H$10),OR(ABSENSI!$H$11="",$G1220=ABSENSI!$H$11),OR(ABSENSI!$H$12="",$P1220=ABSENSI!$H$12)),MAX($AD$3:AD1219)+1,""))</f>
        <v/>
      </c>
      <c r="AE1220" s="40" t="str">
        <f aca="false">IF($B1220="","",IF(AND(OR(KARTU!$K$6="",$F1220=KARTU!$K$6),OR(KARTU!$K$7="",$G1220=KARTU!$K$7),OR(KARTU!$K$8="",$P1220=KARTU!$K$8)),MAX($AE$3:AE1219)+1,""))</f>
        <v/>
      </c>
    </row>
    <row r="1221" customFormat="false" ht="15" hidden="false" customHeight="false" outlineLevel="0" collapsed="false">
      <c r="A1221" s="35" t="str">
        <f aca="false">IF($B1221="","",COUNTA($B$4:$B1221))</f>
        <v/>
      </c>
      <c r="B1221" s="36"/>
      <c r="C1221" s="37"/>
      <c r="D1221" s="37"/>
      <c r="E1221" s="38"/>
      <c r="F1221" s="36"/>
      <c r="G1221" s="39"/>
      <c r="H1221" s="39"/>
      <c r="I1221" s="36"/>
      <c r="J1221" s="36"/>
      <c r="K1221" s="36"/>
      <c r="L1221" s="36"/>
      <c r="M1221" s="40" t="str">
        <f aca="false">IF($F1221="","",$F1221&amp;IF($G1221="",""," - RT "&amp;$G1221&amp;IF($H1221="","","/"&amp;$H1221)))</f>
        <v/>
      </c>
      <c r="N1221" s="36"/>
      <c r="O1221" s="37"/>
      <c r="P1221" s="39"/>
      <c r="Q1221" s="41"/>
      <c r="R1221" s="35" t="str">
        <f aca="true">IF(OR($B1221="",$Q1221=""),"",DATEDIF($Q1221,TODAY(),"Y"))</f>
        <v/>
      </c>
      <c r="S1221" s="40" t="str">
        <f aca="false">IF($R1221="","",INDEX(usia_label,MATCH($R1221,usia_min,1)))</f>
        <v/>
      </c>
      <c r="T1221" s="36"/>
      <c r="U1221" s="41"/>
      <c r="V1221" s="36"/>
      <c r="W1221" s="36"/>
      <c r="X1221" s="40" t="str">
        <f aca="false">IF($M1221="","",$M1221&amp;"#"&amp;COUNTIF($M$4:$M1221,$M1221))</f>
        <v/>
      </c>
      <c r="Y1221" s="40" t="str">
        <f aca="false">IF($B1221="","",IF($C1221="","NIK kosong",IF(LEN($C1221)&lt;&gt;16,"NIK bukan 16 digit",IF(COUNTIF($C$4:$C$2003,$C1221&amp;"*")&gt;1,"NIK ganda",IF(AND($D1221&lt;&gt;"",LEN($D1221)&lt;&gt;16),"No. KK bukan 16 digit",IF(AND($F1221="",$I1221=""),"Alamat kosong",IF($N1221="","Jabatan kosong",IF($O1221="","No. HP kosong",IF(AND($R1221&lt;&gt;"",$R1221&lt;17),"Usia di bawah 17","")))))))))</f>
        <v/>
      </c>
      <c r="Z1221" s="40" t="str">
        <f aca="false">IF($B1221="","",IF(AND(OR(CARI!$C$5="",ISNUMBER(SEARCH(CARI!$C$5,$B1221&amp;" "&amp;$C1221&amp;" "&amp;$D1221&amp;" "&amp;$O1221&amp;" "&amp;$I1221&amp;" "&amp;$F1221&amp;" "&amp;$J1221&amp;" "&amp;$K1221&amp;" "&amp;$L1221&amp;" "&amp;$V1221))),OR(CARI!$C$6="",$F1221=CARI!$C$6),OR(CARI!$C$7="",$G1221=CARI!$C$7),OR(CARI!$C$8="",$T1221=CARI!$C$8)),MAX($Z$3:Z1220)+1,""))</f>
        <v/>
      </c>
      <c r="AA1221" s="40" t="str">
        <f aca="false">IF($Y1221="","",MAX($AA$3:AA1220)+1)</f>
        <v/>
      </c>
      <c r="AB1221" s="40" t="str">
        <f aca="false">IF($F1221="","",$F1221&amp;"#"&amp;COUNTIF($F$4:$F1221,$F1221))</f>
        <v/>
      </c>
      <c r="AC1221" s="40" t="str">
        <f aca="false">IF($B1221="","",IF(AND(OR(CETAK!$J$10="",$F1221=CETAK!$J$10),OR(CETAK!$J$11="",$G1221=CETAK!$J$11),OR(CETAK!$J$12="",$P1221=CETAK!$J$12),OR(CETAK!$J$13="",$N1221=CETAK!$J$13),OR(CETAK!$J$14="",$T1221=CETAK!$J$14)),MAX($AC$3:AC1220)+1,""))</f>
        <v/>
      </c>
      <c r="AD1221" s="40" t="str">
        <f aca="false">IF($B1221="","",IF(AND(OR(ABSENSI!$H$10="",$F1221=ABSENSI!$H$10),OR(ABSENSI!$H$11="",$G1221=ABSENSI!$H$11),OR(ABSENSI!$H$12="",$P1221=ABSENSI!$H$12)),MAX($AD$3:AD1220)+1,""))</f>
        <v/>
      </c>
      <c r="AE1221" s="40" t="str">
        <f aca="false">IF($B1221="","",IF(AND(OR(KARTU!$K$6="",$F1221=KARTU!$K$6),OR(KARTU!$K$7="",$G1221=KARTU!$K$7),OR(KARTU!$K$8="",$P1221=KARTU!$K$8)),MAX($AE$3:AE1220)+1,""))</f>
        <v/>
      </c>
    </row>
    <row r="1222" customFormat="false" ht="15" hidden="false" customHeight="false" outlineLevel="0" collapsed="false">
      <c r="A1222" s="35" t="str">
        <f aca="false">IF($B1222="","",COUNTA($B$4:$B1222))</f>
        <v/>
      </c>
      <c r="B1222" s="36"/>
      <c r="C1222" s="37"/>
      <c r="D1222" s="37"/>
      <c r="E1222" s="38"/>
      <c r="F1222" s="36"/>
      <c r="G1222" s="39"/>
      <c r="H1222" s="39"/>
      <c r="I1222" s="36"/>
      <c r="J1222" s="36"/>
      <c r="K1222" s="36"/>
      <c r="L1222" s="36"/>
      <c r="M1222" s="40" t="str">
        <f aca="false">IF($F1222="","",$F1222&amp;IF($G1222="",""," - RT "&amp;$G1222&amp;IF($H1222="","","/"&amp;$H1222)))</f>
        <v/>
      </c>
      <c r="N1222" s="36"/>
      <c r="O1222" s="37"/>
      <c r="P1222" s="39"/>
      <c r="Q1222" s="41"/>
      <c r="R1222" s="35" t="str">
        <f aca="true">IF(OR($B1222="",$Q1222=""),"",DATEDIF($Q1222,TODAY(),"Y"))</f>
        <v/>
      </c>
      <c r="S1222" s="40" t="str">
        <f aca="false">IF($R1222="","",INDEX(usia_label,MATCH($R1222,usia_min,1)))</f>
        <v/>
      </c>
      <c r="T1222" s="36"/>
      <c r="U1222" s="41"/>
      <c r="V1222" s="36"/>
      <c r="W1222" s="36"/>
      <c r="X1222" s="40" t="str">
        <f aca="false">IF($M1222="","",$M1222&amp;"#"&amp;COUNTIF($M$4:$M1222,$M1222))</f>
        <v/>
      </c>
      <c r="Y1222" s="40" t="str">
        <f aca="false">IF($B1222="","",IF($C1222="","NIK kosong",IF(LEN($C1222)&lt;&gt;16,"NIK bukan 16 digit",IF(COUNTIF($C$4:$C$2003,$C1222&amp;"*")&gt;1,"NIK ganda",IF(AND($D1222&lt;&gt;"",LEN($D1222)&lt;&gt;16),"No. KK bukan 16 digit",IF(AND($F1222="",$I1222=""),"Alamat kosong",IF($N1222="","Jabatan kosong",IF($O1222="","No. HP kosong",IF(AND($R1222&lt;&gt;"",$R1222&lt;17),"Usia di bawah 17","")))))))))</f>
        <v/>
      </c>
      <c r="Z1222" s="40" t="str">
        <f aca="false">IF($B1222="","",IF(AND(OR(CARI!$C$5="",ISNUMBER(SEARCH(CARI!$C$5,$B1222&amp;" "&amp;$C1222&amp;" "&amp;$D1222&amp;" "&amp;$O1222&amp;" "&amp;$I1222&amp;" "&amp;$F1222&amp;" "&amp;$J1222&amp;" "&amp;$K1222&amp;" "&amp;$L1222&amp;" "&amp;$V1222))),OR(CARI!$C$6="",$F1222=CARI!$C$6),OR(CARI!$C$7="",$G1222=CARI!$C$7),OR(CARI!$C$8="",$T1222=CARI!$C$8)),MAX($Z$3:Z1221)+1,""))</f>
        <v/>
      </c>
      <c r="AA1222" s="40" t="str">
        <f aca="false">IF($Y1222="","",MAX($AA$3:AA1221)+1)</f>
        <v/>
      </c>
      <c r="AB1222" s="40" t="str">
        <f aca="false">IF($F1222="","",$F1222&amp;"#"&amp;COUNTIF($F$4:$F1222,$F1222))</f>
        <v/>
      </c>
      <c r="AC1222" s="40" t="str">
        <f aca="false">IF($B1222="","",IF(AND(OR(CETAK!$J$10="",$F1222=CETAK!$J$10),OR(CETAK!$J$11="",$G1222=CETAK!$J$11),OR(CETAK!$J$12="",$P1222=CETAK!$J$12),OR(CETAK!$J$13="",$N1222=CETAK!$J$13),OR(CETAK!$J$14="",$T1222=CETAK!$J$14)),MAX($AC$3:AC1221)+1,""))</f>
        <v/>
      </c>
      <c r="AD1222" s="40" t="str">
        <f aca="false">IF($B1222="","",IF(AND(OR(ABSENSI!$H$10="",$F1222=ABSENSI!$H$10),OR(ABSENSI!$H$11="",$G1222=ABSENSI!$H$11),OR(ABSENSI!$H$12="",$P1222=ABSENSI!$H$12)),MAX($AD$3:AD1221)+1,""))</f>
        <v/>
      </c>
      <c r="AE1222" s="40" t="str">
        <f aca="false">IF($B1222="","",IF(AND(OR(KARTU!$K$6="",$F1222=KARTU!$K$6),OR(KARTU!$K$7="",$G1222=KARTU!$K$7),OR(KARTU!$K$8="",$P1222=KARTU!$K$8)),MAX($AE$3:AE1221)+1,""))</f>
        <v/>
      </c>
    </row>
    <row r="1223" customFormat="false" ht="15" hidden="false" customHeight="false" outlineLevel="0" collapsed="false">
      <c r="A1223" s="35" t="str">
        <f aca="false">IF($B1223="","",COUNTA($B$4:$B1223))</f>
        <v/>
      </c>
      <c r="B1223" s="36"/>
      <c r="C1223" s="37"/>
      <c r="D1223" s="37"/>
      <c r="E1223" s="38"/>
      <c r="F1223" s="36"/>
      <c r="G1223" s="39"/>
      <c r="H1223" s="39"/>
      <c r="I1223" s="36"/>
      <c r="J1223" s="36"/>
      <c r="K1223" s="36"/>
      <c r="L1223" s="36"/>
      <c r="M1223" s="40" t="str">
        <f aca="false">IF($F1223="","",$F1223&amp;IF($G1223="",""," - RT "&amp;$G1223&amp;IF($H1223="","","/"&amp;$H1223)))</f>
        <v/>
      </c>
      <c r="N1223" s="36"/>
      <c r="O1223" s="37"/>
      <c r="P1223" s="39"/>
      <c r="Q1223" s="41"/>
      <c r="R1223" s="35" t="str">
        <f aca="true">IF(OR($B1223="",$Q1223=""),"",DATEDIF($Q1223,TODAY(),"Y"))</f>
        <v/>
      </c>
      <c r="S1223" s="40" t="str">
        <f aca="false">IF($R1223="","",INDEX(usia_label,MATCH($R1223,usia_min,1)))</f>
        <v/>
      </c>
      <c r="T1223" s="36"/>
      <c r="U1223" s="41"/>
      <c r="V1223" s="36"/>
      <c r="W1223" s="36"/>
      <c r="X1223" s="40" t="str">
        <f aca="false">IF($M1223="","",$M1223&amp;"#"&amp;COUNTIF($M$4:$M1223,$M1223))</f>
        <v/>
      </c>
      <c r="Y1223" s="40" t="str">
        <f aca="false">IF($B1223="","",IF($C1223="","NIK kosong",IF(LEN($C1223)&lt;&gt;16,"NIK bukan 16 digit",IF(COUNTIF($C$4:$C$2003,$C1223&amp;"*")&gt;1,"NIK ganda",IF(AND($D1223&lt;&gt;"",LEN($D1223)&lt;&gt;16),"No. KK bukan 16 digit",IF(AND($F1223="",$I1223=""),"Alamat kosong",IF($N1223="","Jabatan kosong",IF($O1223="","No. HP kosong",IF(AND($R1223&lt;&gt;"",$R1223&lt;17),"Usia di bawah 17","")))))))))</f>
        <v/>
      </c>
      <c r="Z1223" s="40" t="str">
        <f aca="false">IF($B1223="","",IF(AND(OR(CARI!$C$5="",ISNUMBER(SEARCH(CARI!$C$5,$B1223&amp;" "&amp;$C1223&amp;" "&amp;$D1223&amp;" "&amp;$O1223&amp;" "&amp;$I1223&amp;" "&amp;$F1223&amp;" "&amp;$J1223&amp;" "&amp;$K1223&amp;" "&amp;$L1223&amp;" "&amp;$V1223))),OR(CARI!$C$6="",$F1223=CARI!$C$6),OR(CARI!$C$7="",$G1223=CARI!$C$7),OR(CARI!$C$8="",$T1223=CARI!$C$8)),MAX($Z$3:Z1222)+1,""))</f>
        <v/>
      </c>
      <c r="AA1223" s="40" t="str">
        <f aca="false">IF($Y1223="","",MAX($AA$3:AA1222)+1)</f>
        <v/>
      </c>
      <c r="AB1223" s="40" t="str">
        <f aca="false">IF($F1223="","",$F1223&amp;"#"&amp;COUNTIF($F$4:$F1223,$F1223))</f>
        <v/>
      </c>
      <c r="AC1223" s="40" t="str">
        <f aca="false">IF($B1223="","",IF(AND(OR(CETAK!$J$10="",$F1223=CETAK!$J$10),OR(CETAK!$J$11="",$G1223=CETAK!$J$11),OR(CETAK!$J$12="",$P1223=CETAK!$J$12),OR(CETAK!$J$13="",$N1223=CETAK!$J$13),OR(CETAK!$J$14="",$T1223=CETAK!$J$14)),MAX($AC$3:AC1222)+1,""))</f>
        <v/>
      </c>
      <c r="AD1223" s="40" t="str">
        <f aca="false">IF($B1223="","",IF(AND(OR(ABSENSI!$H$10="",$F1223=ABSENSI!$H$10),OR(ABSENSI!$H$11="",$G1223=ABSENSI!$H$11),OR(ABSENSI!$H$12="",$P1223=ABSENSI!$H$12)),MAX($AD$3:AD1222)+1,""))</f>
        <v/>
      </c>
      <c r="AE1223" s="40" t="str">
        <f aca="false">IF($B1223="","",IF(AND(OR(KARTU!$K$6="",$F1223=KARTU!$K$6),OR(KARTU!$K$7="",$G1223=KARTU!$K$7),OR(KARTU!$K$8="",$P1223=KARTU!$K$8)),MAX($AE$3:AE1222)+1,""))</f>
        <v/>
      </c>
    </row>
    <row r="1224" customFormat="false" ht="15" hidden="false" customHeight="false" outlineLevel="0" collapsed="false">
      <c r="A1224" s="35" t="str">
        <f aca="false">IF($B1224="","",COUNTA($B$4:$B1224))</f>
        <v/>
      </c>
      <c r="B1224" s="36"/>
      <c r="C1224" s="37"/>
      <c r="D1224" s="37"/>
      <c r="E1224" s="38"/>
      <c r="F1224" s="36"/>
      <c r="G1224" s="39"/>
      <c r="H1224" s="39"/>
      <c r="I1224" s="36"/>
      <c r="J1224" s="36"/>
      <c r="K1224" s="36"/>
      <c r="L1224" s="36"/>
      <c r="M1224" s="40" t="str">
        <f aca="false">IF($F1224="","",$F1224&amp;IF($G1224="",""," - RT "&amp;$G1224&amp;IF($H1224="","","/"&amp;$H1224)))</f>
        <v/>
      </c>
      <c r="N1224" s="36"/>
      <c r="O1224" s="37"/>
      <c r="P1224" s="39"/>
      <c r="Q1224" s="41"/>
      <c r="R1224" s="35" t="str">
        <f aca="true">IF(OR($B1224="",$Q1224=""),"",DATEDIF($Q1224,TODAY(),"Y"))</f>
        <v/>
      </c>
      <c r="S1224" s="40" t="str">
        <f aca="false">IF($R1224="","",INDEX(usia_label,MATCH($R1224,usia_min,1)))</f>
        <v/>
      </c>
      <c r="T1224" s="36"/>
      <c r="U1224" s="41"/>
      <c r="V1224" s="36"/>
      <c r="W1224" s="36"/>
      <c r="X1224" s="40" t="str">
        <f aca="false">IF($M1224="","",$M1224&amp;"#"&amp;COUNTIF($M$4:$M1224,$M1224))</f>
        <v/>
      </c>
      <c r="Y1224" s="40" t="str">
        <f aca="false">IF($B1224="","",IF($C1224="","NIK kosong",IF(LEN($C1224)&lt;&gt;16,"NIK bukan 16 digit",IF(COUNTIF($C$4:$C$2003,$C1224&amp;"*")&gt;1,"NIK ganda",IF(AND($D1224&lt;&gt;"",LEN($D1224)&lt;&gt;16),"No. KK bukan 16 digit",IF(AND($F1224="",$I1224=""),"Alamat kosong",IF($N1224="","Jabatan kosong",IF($O1224="","No. HP kosong",IF(AND($R1224&lt;&gt;"",$R1224&lt;17),"Usia di bawah 17","")))))))))</f>
        <v/>
      </c>
      <c r="Z1224" s="40" t="str">
        <f aca="false">IF($B1224="","",IF(AND(OR(CARI!$C$5="",ISNUMBER(SEARCH(CARI!$C$5,$B1224&amp;" "&amp;$C1224&amp;" "&amp;$D1224&amp;" "&amp;$O1224&amp;" "&amp;$I1224&amp;" "&amp;$F1224&amp;" "&amp;$J1224&amp;" "&amp;$K1224&amp;" "&amp;$L1224&amp;" "&amp;$V1224))),OR(CARI!$C$6="",$F1224=CARI!$C$6),OR(CARI!$C$7="",$G1224=CARI!$C$7),OR(CARI!$C$8="",$T1224=CARI!$C$8)),MAX($Z$3:Z1223)+1,""))</f>
        <v/>
      </c>
      <c r="AA1224" s="40" t="str">
        <f aca="false">IF($Y1224="","",MAX($AA$3:AA1223)+1)</f>
        <v/>
      </c>
      <c r="AB1224" s="40" t="str">
        <f aca="false">IF($F1224="","",$F1224&amp;"#"&amp;COUNTIF($F$4:$F1224,$F1224))</f>
        <v/>
      </c>
      <c r="AC1224" s="40" t="str">
        <f aca="false">IF($B1224="","",IF(AND(OR(CETAK!$J$10="",$F1224=CETAK!$J$10),OR(CETAK!$J$11="",$G1224=CETAK!$J$11),OR(CETAK!$J$12="",$P1224=CETAK!$J$12),OR(CETAK!$J$13="",$N1224=CETAK!$J$13),OR(CETAK!$J$14="",$T1224=CETAK!$J$14)),MAX($AC$3:AC1223)+1,""))</f>
        <v/>
      </c>
      <c r="AD1224" s="40" t="str">
        <f aca="false">IF($B1224="","",IF(AND(OR(ABSENSI!$H$10="",$F1224=ABSENSI!$H$10),OR(ABSENSI!$H$11="",$G1224=ABSENSI!$H$11),OR(ABSENSI!$H$12="",$P1224=ABSENSI!$H$12)),MAX($AD$3:AD1223)+1,""))</f>
        <v/>
      </c>
      <c r="AE1224" s="40" t="str">
        <f aca="false">IF($B1224="","",IF(AND(OR(KARTU!$K$6="",$F1224=KARTU!$K$6),OR(KARTU!$K$7="",$G1224=KARTU!$K$7),OR(KARTU!$K$8="",$P1224=KARTU!$K$8)),MAX($AE$3:AE1223)+1,""))</f>
        <v/>
      </c>
    </row>
    <row r="1225" customFormat="false" ht="15" hidden="false" customHeight="false" outlineLevel="0" collapsed="false">
      <c r="A1225" s="35" t="str">
        <f aca="false">IF($B1225="","",COUNTA($B$4:$B1225))</f>
        <v/>
      </c>
      <c r="B1225" s="36"/>
      <c r="C1225" s="37"/>
      <c r="D1225" s="37"/>
      <c r="E1225" s="38"/>
      <c r="F1225" s="36"/>
      <c r="G1225" s="39"/>
      <c r="H1225" s="39"/>
      <c r="I1225" s="36"/>
      <c r="J1225" s="36"/>
      <c r="K1225" s="36"/>
      <c r="L1225" s="36"/>
      <c r="M1225" s="40" t="str">
        <f aca="false">IF($F1225="","",$F1225&amp;IF($G1225="",""," - RT "&amp;$G1225&amp;IF($H1225="","","/"&amp;$H1225)))</f>
        <v/>
      </c>
      <c r="N1225" s="36"/>
      <c r="O1225" s="37"/>
      <c r="P1225" s="39"/>
      <c r="Q1225" s="41"/>
      <c r="R1225" s="35" t="str">
        <f aca="true">IF(OR($B1225="",$Q1225=""),"",DATEDIF($Q1225,TODAY(),"Y"))</f>
        <v/>
      </c>
      <c r="S1225" s="40" t="str">
        <f aca="false">IF($R1225="","",INDEX(usia_label,MATCH($R1225,usia_min,1)))</f>
        <v/>
      </c>
      <c r="T1225" s="36"/>
      <c r="U1225" s="41"/>
      <c r="V1225" s="36"/>
      <c r="W1225" s="36"/>
      <c r="X1225" s="40" t="str">
        <f aca="false">IF($M1225="","",$M1225&amp;"#"&amp;COUNTIF($M$4:$M1225,$M1225))</f>
        <v/>
      </c>
      <c r="Y1225" s="40" t="str">
        <f aca="false">IF($B1225="","",IF($C1225="","NIK kosong",IF(LEN($C1225)&lt;&gt;16,"NIK bukan 16 digit",IF(COUNTIF($C$4:$C$2003,$C1225&amp;"*")&gt;1,"NIK ganda",IF(AND($D1225&lt;&gt;"",LEN($D1225)&lt;&gt;16),"No. KK bukan 16 digit",IF(AND($F1225="",$I1225=""),"Alamat kosong",IF($N1225="","Jabatan kosong",IF($O1225="","No. HP kosong",IF(AND($R1225&lt;&gt;"",$R1225&lt;17),"Usia di bawah 17","")))))))))</f>
        <v/>
      </c>
      <c r="Z1225" s="40" t="str">
        <f aca="false">IF($B1225="","",IF(AND(OR(CARI!$C$5="",ISNUMBER(SEARCH(CARI!$C$5,$B1225&amp;" "&amp;$C1225&amp;" "&amp;$D1225&amp;" "&amp;$O1225&amp;" "&amp;$I1225&amp;" "&amp;$F1225&amp;" "&amp;$J1225&amp;" "&amp;$K1225&amp;" "&amp;$L1225&amp;" "&amp;$V1225))),OR(CARI!$C$6="",$F1225=CARI!$C$6),OR(CARI!$C$7="",$G1225=CARI!$C$7),OR(CARI!$C$8="",$T1225=CARI!$C$8)),MAX($Z$3:Z1224)+1,""))</f>
        <v/>
      </c>
      <c r="AA1225" s="40" t="str">
        <f aca="false">IF($Y1225="","",MAX($AA$3:AA1224)+1)</f>
        <v/>
      </c>
      <c r="AB1225" s="40" t="str">
        <f aca="false">IF($F1225="","",$F1225&amp;"#"&amp;COUNTIF($F$4:$F1225,$F1225))</f>
        <v/>
      </c>
      <c r="AC1225" s="40" t="str">
        <f aca="false">IF($B1225="","",IF(AND(OR(CETAK!$J$10="",$F1225=CETAK!$J$10),OR(CETAK!$J$11="",$G1225=CETAK!$J$11),OR(CETAK!$J$12="",$P1225=CETAK!$J$12),OR(CETAK!$J$13="",$N1225=CETAK!$J$13),OR(CETAK!$J$14="",$T1225=CETAK!$J$14)),MAX($AC$3:AC1224)+1,""))</f>
        <v/>
      </c>
      <c r="AD1225" s="40" t="str">
        <f aca="false">IF($B1225="","",IF(AND(OR(ABSENSI!$H$10="",$F1225=ABSENSI!$H$10),OR(ABSENSI!$H$11="",$G1225=ABSENSI!$H$11),OR(ABSENSI!$H$12="",$P1225=ABSENSI!$H$12)),MAX($AD$3:AD1224)+1,""))</f>
        <v/>
      </c>
      <c r="AE1225" s="40" t="str">
        <f aca="false">IF($B1225="","",IF(AND(OR(KARTU!$K$6="",$F1225=KARTU!$K$6),OR(KARTU!$K$7="",$G1225=KARTU!$K$7),OR(KARTU!$K$8="",$P1225=KARTU!$K$8)),MAX($AE$3:AE1224)+1,""))</f>
        <v/>
      </c>
    </row>
    <row r="1226" customFormat="false" ht="15" hidden="false" customHeight="false" outlineLevel="0" collapsed="false">
      <c r="A1226" s="35" t="str">
        <f aca="false">IF($B1226="","",COUNTA($B$4:$B1226))</f>
        <v/>
      </c>
      <c r="B1226" s="36"/>
      <c r="C1226" s="37"/>
      <c r="D1226" s="37"/>
      <c r="E1226" s="38"/>
      <c r="F1226" s="36"/>
      <c r="G1226" s="39"/>
      <c r="H1226" s="39"/>
      <c r="I1226" s="36"/>
      <c r="J1226" s="36"/>
      <c r="K1226" s="36"/>
      <c r="L1226" s="36"/>
      <c r="M1226" s="40" t="str">
        <f aca="false">IF($F1226="","",$F1226&amp;IF($G1226="",""," - RT "&amp;$G1226&amp;IF($H1226="","","/"&amp;$H1226)))</f>
        <v/>
      </c>
      <c r="N1226" s="36"/>
      <c r="O1226" s="37"/>
      <c r="P1226" s="39"/>
      <c r="Q1226" s="41"/>
      <c r="R1226" s="35" t="str">
        <f aca="true">IF(OR($B1226="",$Q1226=""),"",DATEDIF($Q1226,TODAY(),"Y"))</f>
        <v/>
      </c>
      <c r="S1226" s="40" t="str">
        <f aca="false">IF($R1226="","",INDEX(usia_label,MATCH($R1226,usia_min,1)))</f>
        <v/>
      </c>
      <c r="T1226" s="36"/>
      <c r="U1226" s="41"/>
      <c r="V1226" s="36"/>
      <c r="W1226" s="36"/>
      <c r="X1226" s="40" t="str">
        <f aca="false">IF($M1226="","",$M1226&amp;"#"&amp;COUNTIF($M$4:$M1226,$M1226))</f>
        <v/>
      </c>
      <c r="Y1226" s="40" t="str">
        <f aca="false">IF($B1226="","",IF($C1226="","NIK kosong",IF(LEN($C1226)&lt;&gt;16,"NIK bukan 16 digit",IF(COUNTIF($C$4:$C$2003,$C1226&amp;"*")&gt;1,"NIK ganda",IF(AND($D1226&lt;&gt;"",LEN($D1226)&lt;&gt;16),"No. KK bukan 16 digit",IF(AND($F1226="",$I1226=""),"Alamat kosong",IF($N1226="","Jabatan kosong",IF($O1226="","No. HP kosong",IF(AND($R1226&lt;&gt;"",$R1226&lt;17),"Usia di bawah 17","")))))))))</f>
        <v/>
      </c>
      <c r="Z1226" s="40" t="str">
        <f aca="false">IF($B1226="","",IF(AND(OR(CARI!$C$5="",ISNUMBER(SEARCH(CARI!$C$5,$B1226&amp;" "&amp;$C1226&amp;" "&amp;$D1226&amp;" "&amp;$O1226&amp;" "&amp;$I1226&amp;" "&amp;$F1226&amp;" "&amp;$J1226&amp;" "&amp;$K1226&amp;" "&amp;$L1226&amp;" "&amp;$V1226))),OR(CARI!$C$6="",$F1226=CARI!$C$6),OR(CARI!$C$7="",$G1226=CARI!$C$7),OR(CARI!$C$8="",$T1226=CARI!$C$8)),MAX($Z$3:Z1225)+1,""))</f>
        <v/>
      </c>
      <c r="AA1226" s="40" t="str">
        <f aca="false">IF($Y1226="","",MAX($AA$3:AA1225)+1)</f>
        <v/>
      </c>
      <c r="AB1226" s="40" t="str">
        <f aca="false">IF($F1226="","",$F1226&amp;"#"&amp;COUNTIF($F$4:$F1226,$F1226))</f>
        <v/>
      </c>
      <c r="AC1226" s="40" t="str">
        <f aca="false">IF($B1226="","",IF(AND(OR(CETAK!$J$10="",$F1226=CETAK!$J$10),OR(CETAK!$J$11="",$G1226=CETAK!$J$11),OR(CETAK!$J$12="",$P1226=CETAK!$J$12),OR(CETAK!$J$13="",$N1226=CETAK!$J$13),OR(CETAK!$J$14="",$T1226=CETAK!$J$14)),MAX($AC$3:AC1225)+1,""))</f>
        <v/>
      </c>
      <c r="AD1226" s="40" t="str">
        <f aca="false">IF($B1226="","",IF(AND(OR(ABSENSI!$H$10="",$F1226=ABSENSI!$H$10),OR(ABSENSI!$H$11="",$G1226=ABSENSI!$H$11),OR(ABSENSI!$H$12="",$P1226=ABSENSI!$H$12)),MAX($AD$3:AD1225)+1,""))</f>
        <v/>
      </c>
      <c r="AE1226" s="40" t="str">
        <f aca="false">IF($B1226="","",IF(AND(OR(KARTU!$K$6="",$F1226=KARTU!$K$6),OR(KARTU!$K$7="",$G1226=KARTU!$K$7),OR(KARTU!$K$8="",$P1226=KARTU!$K$8)),MAX($AE$3:AE1225)+1,""))</f>
        <v/>
      </c>
    </row>
    <row r="1227" customFormat="false" ht="15" hidden="false" customHeight="false" outlineLevel="0" collapsed="false">
      <c r="A1227" s="35" t="str">
        <f aca="false">IF($B1227="","",COUNTA($B$4:$B1227))</f>
        <v/>
      </c>
      <c r="B1227" s="36"/>
      <c r="C1227" s="37"/>
      <c r="D1227" s="37"/>
      <c r="E1227" s="38"/>
      <c r="F1227" s="36"/>
      <c r="G1227" s="39"/>
      <c r="H1227" s="39"/>
      <c r="I1227" s="36"/>
      <c r="J1227" s="36"/>
      <c r="K1227" s="36"/>
      <c r="L1227" s="36"/>
      <c r="M1227" s="40" t="str">
        <f aca="false">IF($F1227="","",$F1227&amp;IF($G1227="",""," - RT "&amp;$G1227&amp;IF($H1227="","","/"&amp;$H1227)))</f>
        <v/>
      </c>
      <c r="N1227" s="36"/>
      <c r="O1227" s="37"/>
      <c r="P1227" s="39"/>
      <c r="Q1227" s="41"/>
      <c r="R1227" s="35" t="str">
        <f aca="true">IF(OR($B1227="",$Q1227=""),"",DATEDIF($Q1227,TODAY(),"Y"))</f>
        <v/>
      </c>
      <c r="S1227" s="40" t="str">
        <f aca="false">IF($R1227="","",INDEX(usia_label,MATCH($R1227,usia_min,1)))</f>
        <v/>
      </c>
      <c r="T1227" s="36"/>
      <c r="U1227" s="41"/>
      <c r="V1227" s="36"/>
      <c r="W1227" s="36"/>
      <c r="X1227" s="40" t="str">
        <f aca="false">IF($M1227="","",$M1227&amp;"#"&amp;COUNTIF($M$4:$M1227,$M1227))</f>
        <v/>
      </c>
      <c r="Y1227" s="40" t="str">
        <f aca="false">IF($B1227="","",IF($C1227="","NIK kosong",IF(LEN($C1227)&lt;&gt;16,"NIK bukan 16 digit",IF(COUNTIF($C$4:$C$2003,$C1227&amp;"*")&gt;1,"NIK ganda",IF(AND($D1227&lt;&gt;"",LEN($D1227)&lt;&gt;16),"No. KK bukan 16 digit",IF(AND($F1227="",$I1227=""),"Alamat kosong",IF($N1227="","Jabatan kosong",IF($O1227="","No. HP kosong",IF(AND($R1227&lt;&gt;"",$R1227&lt;17),"Usia di bawah 17","")))))))))</f>
        <v/>
      </c>
      <c r="Z1227" s="40" t="str">
        <f aca="false">IF($B1227="","",IF(AND(OR(CARI!$C$5="",ISNUMBER(SEARCH(CARI!$C$5,$B1227&amp;" "&amp;$C1227&amp;" "&amp;$D1227&amp;" "&amp;$O1227&amp;" "&amp;$I1227&amp;" "&amp;$F1227&amp;" "&amp;$J1227&amp;" "&amp;$K1227&amp;" "&amp;$L1227&amp;" "&amp;$V1227))),OR(CARI!$C$6="",$F1227=CARI!$C$6),OR(CARI!$C$7="",$G1227=CARI!$C$7),OR(CARI!$C$8="",$T1227=CARI!$C$8)),MAX($Z$3:Z1226)+1,""))</f>
        <v/>
      </c>
      <c r="AA1227" s="40" t="str">
        <f aca="false">IF($Y1227="","",MAX($AA$3:AA1226)+1)</f>
        <v/>
      </c>
      <c r="AB1227" s="40" t="str">
        <f aca="false">IF($F1227="","",$F1227&amp;"#"&amp;COUNTIF($F$4:$F1227,$F1227))</f>
        <v/>
      </c>
      <c r="AC1227" s="40" t="str">
        <f aca="false">IF($B1227="","",IF(AND(OR(CETAK!$J$10="",$F1227=CETAK!$J$10),OR(CETAK!$J$11="",$G1227=CETAK!$J$11),OR(CETAK!$J$12="",$P1227=CETAK!$J$12),OR(CETAK!$J$13="",$N1227=CETAK!$J$13),OR(CETAK!$J$14="",$T1227=CETAK!$J$14)),MAX($AC$3:AC1226)+1,""))</f>
        <v/>
      </c>
      <c r="AD1227" s="40" t="str">
        <f aca="false">IF($B1227="","",IF(AND(OR(ABSENSI!$H$10="",$F1227=ABSENSI!$H$10),OR(ABSENSI!$H$11="",$G1227=ABSENSI!$H$11),OR(ABSENSI!$H$12="",$P1227=ABSENSI!$H$12)),MAX($AD$3:AD1226)+1,""))</f>
        <v/>
      </c>
      <c r="AE1227" s="40" t="str">
        <f aca="false">IF($B1227="","",IF(AND(OR(KARTU!$K$6="",$F1227=KARTU!$K$6),OR(KARTU!$K$7="",$G1227=KARTU!$K$7),OR(KARTU!$K$8="",$P1227=KARTU!$K$8)),MAX($AE$3:AE1226)+1,""))</f>
        <v/>
      </c>
    </row>
    <row r="1228" customFormat="false" ht="15" hidden="false" customHeight="false" outlineLevel="0" collapsed="false">
      <c r="A1228" s="35" t="str">
        <f aca="false">IF($B1228="","",COUNTA($B$4:$B1228))</f>
        <v/>
      </c>
      <c r="B1228" s="36"/>
      <c r="C1228" s="37"/>
      <c r="D1228" s="37"/>
      <c r="E1228" s="38"/>
      <c r="F1228" s="36"/>
      <c r="G1228" s="39"/>
      <c r="H1228" s="39"/>
      <c r="I1228" s="36"/>
      <c r="J1228" s="36"/>
      <c r="K1228" s="36"/>
      <c r="L1228" s="36"/>
      <c r="M1228" s="40" t="str">
        <f aca="false">IF($F1228="","",$F1228&amp;IF($G1228="",""," - RT "&amp;$G1228&amp;IF($H1228="","","/"&amp;$H1228)))</f>
        <v/>
      </c>
      <c r="N1228" s="36"/>
      <c r="O1228" s="37"/>
      <c r="P1228" s="39"/>
      <c r="Q1228" s="41"/>
      <c r="R1228" s="35" t="str">
        <f aca="true">IF(OR($B1228="",$Q1228=""),"",DATEDIF($Q1228,TODAY(),"Y"))</f>
        <v/>
      </c>
      <c r="S1228" s="40" t="str">
        <f aca="false">IF($R1228="","",INDEX(usia_label,MATCH($R1228,usia_min,1)))</f>
        <v/>
      </c>
      <c r="T1228" s="36"/>
      <c r="U1228" s="41"/>
      <c r="V1228" s="36"/>
      <c r="W1228" s="36"/>
      <c r="X1228" s="40" t="str">
        <f aca="false">IF($M1228="","",$M1228&amp;"#"&amp;COUNTIF($M$4:$M1228,$M1228))</f>
        <v/>
      </c>
      <c r="Y1228" s="40" t="str">
        <f aca="false">IF($B1228="","",IF($C1228="","NIK kosong",IF(LEN($C1228)&lt;&gt;16,"NIK bukan 16 digit",IF(COUNTIF($C$4:$C$2003,$C1228&amp;"*")&gt;1,"NIK ganda",IF(AND($D1228&lt;&gt;"",LEN($D1228)&lt;&gt;16),"No. KK bukan 16 digit",IF(AND($F1228="",$I1228=""),"Alamat kosong",IF($N1228="","Jabatan kosong",IF($O1228="","No. HP kosong",IF(AND($R1228&lt;&gt;"",$R1228&lt;17),"Usia di bawah 17","")))))))))</f>
        <v/>
      </c>
      <c r="Z1228" s="40" t="str">
        <f aca="false">IF($B1228="","",IF(AND(OR(CARI!$C$5="",ISNUMBER(SEARCH(CARI!$C$5,$B1228&amp;" "&amp;$C1228&amp;" "&amp;$D1228&amp;" "&amp;$O1228&amp;" "&amp;$I1228&amp;" "&amp;$F1228&amp;" "&amp;$J1228&amp;" "&amp;$K1228&amp;" "&amp;$L1228&amp;" "&amp;$V1228))),OR(CARI!$C$6="",$F1228=CARI!$C$6),OR(CARI!$C$7="",$G1228=CARI!$C$7),OR(CARI!$C$8="",$T1228=CARI!$C$8)),MAX($Z$3:Z1227)+1,""))</f>
        <v/>
      </c>
      <c r="AA1228" s="40" t="str">
        <f aca="false">IF($Y1228="","",MAX($AA$3:AA1227)+1)</f>
        <v/>
      </c>
      <c r="AB1228" s="40" t="str">
        <f aca="false">IF($F1228="","",$F1228&amp;"#"&amp;COUNTIF($F$4:$F1228,$F1228))</f>
        <v/>
      </c>
      <c r="AC1228" s="40" t="str">
        <f aca="false">IF($B1228="","",IF(AND(OR(CETAK!$J$10="",$F1228=CETAK!$J$10),OR(CETAK!$J$11="",$G1228=CETAK!$J$11),OR(CETAK!$J$12="",$P1228=CETAK!$J$12),OR(CETAK!$J$13="",$N1228=CETAK!$J$13),OR(CETAK!$J$14="",$T1228=CETAK!$J$14)),MAX($AC$3:AC1227)+1,""))</f>
        <v/>
      </c>
      <c r="AD1228" s="40" t="str">
        <f aca="false">IF($B1228="","",IF(AND(OR(ABSENSI!$H$10="",$F1228=ABSENSI!$H$10),OR(ABSENSI!$H$11="",$G1228=ABSENSI!$H$11),OR(ABSENSI!$H$12="",$P1228=ABSENSI!$H$12)),MAX($AD$3:AD1227)+1,""))</f>
        <v/>
      </c>
      <c r="AE1228" s="40" t="str">
        <f aca="false">IF($B1228="","",IF(AND(OR(KARTU!$K$6="",$F1228=KARTU!$K$6),OR(KARTU!$K$7="",$G1228=KARTU!$K$7),OR(KARTU!$K$8="",$P1228=KARTU!$K$8)),MAX($AE$3:AE1227)+1,""))</f>
        <v/>
      </c>
    </row>
    <row r="1229" customFormat="false" ht="15" hidden="false" customHeight="false" outlineLevel="0" collapsed="false">
      <c r="A1229" s="35" t="str">
        <f aca="false">IF($B1229="","",COUNTA($B$4:$B1229))</f>
        <v/>
      </c>
      <c r="B1229" s="36"/>
      <c r="C1229" s="37"/>
      <c r="D1229" s="37"/>
      <c r="E1229" s="38"/>
      <c r="F1229" s="36"/>
      <c r="G1229" s="39"/>
      <c r="H1229" s="39"/>
      <c r="I1229" s="36"/>
      <c r="J1229" s="36"/>
      <c r="K1229" s="36"/>
      <c r="L1229" s="36"/>
      <c r="M1229" s="40" t="str">
        <f aca="false">IF($F1229="","",$F1229&amp;IF($G1229="",""," - RT "&amp;$G1229&amp;IF($H1229="","","/"&amp;$H1229)))</f>
        <v/>
      </c>
      <c r="N1229" s="36"/>
      <c r="O1229" s="37"/>
      <c r="P1229" s="39"/>
      <c r="Q1229" s="41"/>
      <c r="R1229" s="35" t="str">
        <f aca="true">IF(OR($B1229="",$Q1229=""),"",DATEDIF($Q1229,TODAY(),"Y"))</f>
        <v/>
      </c>
      <c r="S1229" s="40" t="str">
        <f aca="false">IF($R1229="","",INDEX(usia_label,MATCH($R1229,usia_min,1)))</f>
        <v/>
      </c>
      <c r="T1229" s="36"/>
      <c r="U1229" s="41"/>
      <c r="V1229" s="36"/>
      <c r="W1229" s="36"/>
      <c r="X1229" s="40" t="str">
        <f aca="false">IF($M1229="","",$M1229&amp;"#"&amp;COUNTIF($M$4:$M1229,$M1229))</f>
        <v/>
      </c>
      <c r="Y1229" s="40" t="str">
        <f aca="false">IF($B1229="","",IF($C1229="","NIK kosong",IF(LEN($C1229)&lt;&gt;16,"NIK bukan 16 digit",IF(COUNTIF($C$4:$C$2003,$C1229&amp;"*")&gt;1,"NIK ganda",IF(AND($D1229&lt;&gt;"",LEN($D1229)&lt;&gt;16),"No. KK bukan 16 digit",IF(AND($F1229="",$I1229=""),"Alamat kosong",IF($N1229="","Jabatan kosong",IF($O1229="","No. HP kosong",IF(AND($R1229&lt;&gt;"",$R1229&lt;17),"Usia di bawah 17","")))))))))</f>
        <v/>
      </c>
      <c r="Z1229" s="40" t="str">
        <f aca="false">IF($B1229="","",IF(AND(OR(CARI!$C$5="",ISNUMBER(SEARCH(CARI!$C$5,$B1229&amp;" "&amp;$C1229&amp;" "&amp;$D1229&amp;" "&amp;$O1229&amp;" "&amp;$I1229&amp;" "&amp;$F1229&amp;" "&amp;$J1229&amp;" "&amp;$K1229&amp;" "&amp;$L1229&amp;" "&amp;$V1229))),OR(CARI!$C$6="",$F1229=CARI!$C$6),OR(CARI!$C$7="",$G1229=CARI!$C$7),OR(CARI!$C$8="",$T1229=CARI!$C$8)),MAX($Z$3:Z1228)+1,""))</f>
        <v/>
      </c>
      <c r="AA1229" s="40" t="str">
        <f aca="false">IF($Y1229="","",MAX($AA$3:AA1228)+1)</f>
        <v/>
      </c>
      <c r="AB1229" s="40" t="str">
        <f aca="false">IF($F1229="","",$F1229&amp;"#"&amp;COUNTIF($F$4:$F1229,$F1229))</f>
        <v/>
      </c>
      <c r="AC1229" s="40" t="str">
        <f aca="false">IF($B1229="","",IF(AND(OR(CETAK!$J$10="",$F1229=CETAK!$J$10),OR(CETAK!$J$11="",$G1229=CETAK!$J$11),OR(CETAK!$J$12="",$P1229=CETAK!$J$12),OR(CETAK!$J$13="",$N1229=CETAK!$J$13),OR(CETAK!$J$14="",$T1229=CETAK!$J$14)),MAX($AC$3:AC1228)+1,""))</f>
        <v/>
      </c>
      <c r="AD1229" s="40" t="str">
        <f aca="false">IF($B1229="","",IF(AND(OR(ABSENSI!$H$10="",$F1229=ABSENSI!$H$10),OR(ABSENSI!$H$11="",$G1229=ABSENSI!$H$11),OR(ABSENSI!$H$12="",$P1229=ABSENSI!$H$12)),MAX($AD$3:AD1228)+1,""))</f>
        <v/>
      </c>
      <c r="AE1229" s="40" t="str">
        <f aca="false">IF($B1229="","",IF(AND(OR(KARTU!$K$6="",$F1229=KARTU!$K$6),OR(KARTU!$K$7="",$G1229=KARTU!$K$7),OR(KARTU!$K$8="",$P1229=KARTU!$K$8)),MAX($AE$3:AE1228)+1,""))</f>
        <v/>
      </c>
    </row>
    <row r="1230" customFormat="false" ht="15" hidden="false" customHeight="false" outlineLevel="0" collapsed="false">
      <c r="A1230" s="35" t="str">
        <f aca="false">IF($B1230="","",COUNTA($B$4:$B1230))</f>
        <v/>
      </c>
      <c r="B1230" s="36"/>
      <c r="C1230" s="37"/>
      <c r="D1230" s="37"/>
      <c r="E1230" s="38"/>
      <c r="F1230" s="36"/>
      <c r="G1230" s="39"/>
      <c r="H1230" s="39"/>
      <c r="I1230" s="36"/>
      <c r="J1230" s="36"/>
      <c r="K1230" s="36"/>
      <c r="L1230" s="36"/>
      <c r="M1230" s="40" t="str">
        <f aca="false">IF($F1230="","",$F1230&amp;IF($G1230="",""," - RT "&amp;$G1230&amp;IF($H1230="","","/"&amp;$H1230)))</f>
        <v/>
      </c>
      <c r="N1230" s="36"/>
      <c r="O1230" s="37"/>
      <c r="P1230" s="39"/>
      <c r="Q1230" s="41"/>
      <c r="R1230" s="35" t="str">
        <f aca="true">IF(OR($B1230="",$Q1230=""),"",DATEDIF($Q1230,TODAY(),"Y"))</f>
        <v/>
      </c>
      <c r="S1230" s="40" t="str">
        <f aca="false">IF($R1230="","",INDEX(usia_label,MATCH($R1230,usia_min,1)))</f>
        <v/>
      </c>
      <c r="T1230" s="36"/>
      <c r="U1230" s="41"/>
      <c r="V1230" s="36"/>
      <c r="W1230" s="36"/>
      <c r="X1230" s="40" t="str">
        <f aca="false">IF($M1230="","",$M1230&amp;"#"&amp;COUNTIF($M$4:$M1230,$M1230))</f>
        <v/>
      </c>
      <c r="Y1230" s="40" t="str">
        <f aca="false">IF($B1230="","",IF($C1230="","NIK kosong",IF(LEN($C1230)&lt;&gt;16,"NIK bukan 16 digit",IF(COUNTIF($C$4:$C$2003,$C1230&amp;"*")&gt;1,"NIK ganda",IF(AND($D1230&lt;&gt;"",LEN($D1230)&lt;&gt;16),"No. KK bukan 16 digit",IF(AND($F1230="",$I1230=""),"Alamat kosong",IF($N1230="","Jabatan kosong",IF($O1230="","No. HP kosong",IF(AND($R1230&lt;&gt;"",$R1230&lt;17),"Usia di bawah 17","")))))))))</f>
        <v/>
      </c>
      <c r="Z1230" s="40" t="str">
        <f aca="false">IF($B1230="","",IF(AND(OR(CARI!$C$5="",ISNUMBER(SEARCH(CARI!$C$5,$B1230&amp;" "&amp;$C1230&amp;" "&amp;$D1230&amp;" "&amp;$O1230&amp;" "&amp;$I1230&amp;" "&amp;$F1230&amp;" "&amp;$J1230&amp;" "&amp;$K1230&amp;" "&amp;$L1230&amp;" "&amp;$V1230))),OR(CARI!$C$6="",$F1230=CARI!$C$6),OR(CARI!$C$7="",$G1230=CARI!$C$7),OR(CARI!$C$8="",$T1230=CARI!$C$8)),MAX($Z$3:Z1229)+1,""))</f>
        <v/>
      </c>
      <c r="AA1230" s="40" t="str">
        <f aca="false">IF($Y1230="","",MAX($AA$3:AA1229)+1)</f>
        <v/>
      </c>
      <c r="AB1230" s="40" t="str">
        <f aca="false">IF($F1230="","",$F1230&amp;"#"&amp;COUNTIF($F$4:$F1230,$F1230))</f>
        <v/>
      </c>
      <c r="AC1230" s="40" t="str">
        <f aca="false">IF($B1230="","",IF(AND(OR(CETAK!$J$10="",$F1230=CETAK!$J$10),OR(CETAK!$J$11="",$G1230=CETAK!$J$11),OR(CETAK!$J$12="",$P1230=CETAK!$J$12),OR(CETAK!$J$13="",$N1230=CETAK!$J$13),OR(CETAK!$J$14="",$T1230=CETAK!$J$14)),MAX($AC$3:AC1229)+1,""))</f>
        <v/>
      </c>
      <c r="AD1230" s="40" t="str">
        <f aca="false">IF($B1230="","",IF(AND(OR(ABSENSI!$H$10="",$F1230=ABSENSI!$H$10),OR(ABSENSI!$H$11="",$G1230=ABSENSI!$H$11),OR(ABSENSI!$H$12="",$P1230=ABSENSI!$H$12)),MAX($AD$3:AD1229)+1,""))</f>
        <v/>
      </c>
      <c r="AE1230" s="40" t="str">
        <f aca="false">IF($B1230="","",IF(AND(OR(KARTU!$K$6="",$F1230=KARTU!$K$6),OR(KARTU!$K$7="",$G1230=KARTU!$K$7),OR(KARTU!$K$8="",$P1230=KARTU!$K$8)),MAX($AE$3:AE1229)+1,""))</f>
        <v/>
      </c>
    </row>
    <row r="1231" customFormat="false" ht="15" hidden="false" customHeight="false" outlineLevel="0" collapsed="false">
      <c r="A1231" s="35" t="str">
        <f aca="false">IF($B1231="","",COUNTA($B$4:$B1231))</f>
        <v/>
      </c>
      <c r="B1231" s="36"/>
      <c r="C1231" s="37"/>
      <c r="D1231" s="37"/>
      <c r="E1231" s="38"/>
      <c r="F1231" s="36"/>
      <c r="G1231" s="39"/>
      <c r="H1231" s="39"/>
      <c r="I1231" s="36"/>
      <c r="J1231" s="36"/>
      <c r="K1231" s="36"/>
      <c r="L1231" s="36"/>
      <c r="M1231" s="40" t="str">
        <f aca="false">IF($F1231="","",$F1231&amp;IF($G1231="",""," - RT "&amp;$G1231&amp;IF($H1231="","","/"&amp;$H1231)))</f>
        <v/>
      </c>
      <c r="N1231" s="36"/>
      <c r="O1231" s="37"/>
      <c r="P1231" s="39"/>
      <c r="Q1231" s="41"/>
      <c r="R1231" s="35" t="str">
        <f aca="true">IF(OR($B1231="",$Q1231=""),"",DATEDIF($Q1231,TODAY(),"Y"))</f>
        <v/>
      </c>
      <c r="S1231" s="40" t="str">
        <f aca="false">IF($R1231="","",INDEX(usia_label,MATCH($R1231,usia_min,1)))</f>
        <v/>
      </c>
      <c r="T1231" s="36"/>
      <c r="U1231" s="41"/>
      <c r="V1231" s="36"/>
      <c r="W1231" s="36"/>
      <c r="X1231" s="40" t="str">
        <f aca="false">IF($M1231="","",$M1231&amp;"#"&amp;COUNTIF($M$4:$M1231,$M1231))</f>
        <v/>
      </c>
      <c r="Y1231" s="40" t="str">
        <f aca="false">IF($B1231="","",IF($C1231="","NIK kosong",IF(LEN($C1231)&lt;&gt;16,"NIK bukan 16 digit",IF(COUNTIF($C$4:$C$2003,$C1231&amp;"*")&gt;1,"NIK ganda",IF(AND($D1231&lt;&gt;"",LEN($D1231)&lt;&gt;16),"No. KK bukan 16 digit",IF(AND($F1231="",$I1231=""),"Alamat kosong",IF($N1231="","Jabatan kosong",IF($O1231="","No. HP kosong",IF(AND($R1231&lt;&gt;"",$R1231&lt;17),"Usia di bawah 17","")))))))))</f>
        <v/>
      </c>
      <c r="Z1231" s="40" t="str">
        <f aca="false">IF($B1231="","",IF(AND(OR(CARI!$C$5="",ISNUMBER(SEARCH(CARI!$C$5,$B1231&amp;" "&amp;$C1231&amp;" "&amp;$D1231&amp;" "&amp;$O1231&amp;" "&amp;$I1231&amp;" "&amp;$F1231&amp;" "&amp;$J1231&amp;" "&amp;$K1231&amp;" "&amp;$L1231&amp;" "&amp;$V1231))),OR(CARI!$C$6="",$F1231=CARI!$C$6),OR(CARI!$C$7="",$G1231=CARI!$C$7),OR(CARI!$C$8="",$T1231=CARI!$C$8)),MAX($Z$3:Z1230)+1,""))</f>
        <v/>
      </c>
      <c r="AA1231" s="40" t="str">
        <f aca="false">IF($Y1231="","",MAX($AA$3:AA1230)+1)</f>
        <v/>
      </c>
      <c r="AB1231" s="40" t="str">
        <f aca="false">IF($F1231="","",$F1231&amp;"#"&amp;COUNTIF($F$4:$F1231,$F1231))</f>
        <v/>
      </c>
      <c r="AC1231" s="40" t="str">
        <f aca="false">IF($B1231="","",IF(AND(OR(CETAK!$J$10="",$F1231=CETAK!$J$10),OR(CETAK!$J$11="",$G1231=CETAK!$J$11),OR(CETAK!$J$12="",$P1231=CETAK!$J$12),OR(CETAK!$J$13="",$N1231=CETAK!$J$13),OR(CETAK!$J$14="",$T1231=CETAK!$J$14)),MAX($AC$3:AC1230)+1,""))</f>
        <v/>
      </c>
      <c r="AD1231" s="40" t="str">
        <f aca="false">IF($B1231="","",IF(AND(OR(ABSENSI!$H$10="",$F1231=ABSENSI!$H$10),OR(ABSENSI!$H$11="",$G1231=ABSENSI!$H$11),OR(ABSENSI!$H$12="",$P1231=ABSENSI!$H$12)),MAX($AD$3:AD1230)+1,""))</f>
        <v/>
      </c>
      <c r="AE1231" s="40" t="str">
        <f aca="false">IF($B1231="","",IF(AND(OR(KARTU!$K$6="",$F1231=KARTU!$K$6),OR(KARTU!$K$7="",$G1231=KARTU!$K$7),OR(KARTU!$K$8="",$P1231=KARTU!$K$8)),MAX($AE$3:AE1230)+1,""))</f>
        <v/>
      </c>
    </row>
    <row r="1232" customFormat="false" ht="15" hidden="false" customHeight="false" outlineLevel="0" collapsed="false">
      <c r="A1232" s="35" t="str">
        <f aca="false">IF($B1232="","",COUNTA($B$4:$B1232))</f>
        <v/>
      </c>
      <c r="B1232" s="36"/>
      <c r="C1232" s="37"/>
      <c r="D1232" s="37"/>
      <c r="E1232" s="38"/>
      <c r="F1232" s="36"/>
      <c r="G1232" s="39"/>
      <c r="H1232" s="39"/>
      <c r="I1232" s="36"/>
      <c r="J1232" s="36"/>
      <c r="K1232" s="36"/>
      <c r="L1232" s="36"/>
      <c r="M1232" s="40" t="str">
        <f aca="false">IF($F1232="","",$F1232&amp;IF($G1232="",""," - RT "&amp;$G1232&amp;IF($H1232="","","/"&amp;$H1232)))</f>
        <v/>
      </c>
      <c r="N1232" s="36"/>
      <c r="O1232" s="37"/>
      <c r="P1232" s="39"/>
      <c r="Q1232" s="41"/>
      <c r="R1232" s="35" t="str">
        <f aca="true">IF(OR($B1232="",$Q1232=""),"",DATEDIF($Q1232,TODAY(),"Y"))</f>
        <v/>
      </c>
      <c r="S1232" s="40" t="str">
        <f aca="false">IF($R1232="","",INDEX(usia_label,MATCH($R1232,usia_min,1)))</f>
        <v/>
      </c>
      <c r="T1232" s="36"/>
      <c r="U1232" s="41"/>
      <c r="V1232" s="36"/>
      <c r="W1232" s="36"/>
      <c r="X1232" s="40" t="str">
        <f aca="false">IF($M1232="","",$M1232&amp;"#"&amp;COUNTIF($M$4:$M1232,$M1232))</f>
        <v/>
      </c>
      <c r="Y1232" s="40" t="str">
        <f aca="false">IF($B1232="","",IF($C1232="","NIK kosong",IF(LEN($C1232)&lt;&gt;16,"NIK bukan 16 digit",IF(COUNTIF($C$4:$C$2003,$C1232&amp;"*")&gt;1,"NIK ganda",IF(AND($D1232&lt;&gt;"",LEN($D1232)&lt;&gt;16),"No. KK bukan 16 digit",IF(AND($F1232="",$I1232=""),"Alamat kosong",IF($N1232="","Jabatan kosong",IF($O1232="","No. HP kosong",IF(AND($R1232&lt;&gt;"",$R1232&lt;17),"Usia di bawah 17","")))))))))</f>
        <v/>
      </c>
      <c r="Z1232" s="40" t="str">
        <f aca="false">IF($B1232="","",IF(AND(OR(CARI!$C$5="",ISNUMBER(SEARCH(CARI!$C$5,$B1232&amp;" "&amp;$C1232&amp;" "&amp;$D1232&amp;" "&amp;$O1232&amp;" "&amp;$I1232&amp;" "&amp;$F1232&amp;" "&amp;$J1232&amp;" "&amp;$K1232&amp;" "&amp;$L1232&amp;" "&amp;$V1232))),OR(CARI!$C$6="",$F1232=CARI!$C$6),OR(CARI!$C$7="",$G1232=CARI!$C$7),OR(CARI!$C$8="",$T1232=CARI!$C$8)),MAX($Z$3:Z1231)+1,""))</f>
        <v/>
      </c>
      <c r="AA1232" s="40" t="str">
        <f aca="false">IF($Y1232="","",MAX($AA$3:AA1231)+1)</f>
        <v/>
      </c>
      <c r="AB1232" s="40" t="str">
        <f aca="false">IF($F1232="","",$F1232&amp;"#"&amp;COUNTIF($F$4:$F1232,$F1232))</f>
        <v/>
      </c>
      <c r="AC1232" s="40" t="str">
        <f aca="false">IF($B1232="","",IF(AND(OR(CETAK!$J$10="",$F1232=CETAK!$J$10),OR(CETAK!$J$11="",$G1232=CETAK!$J$11),OR(CETAK!$J$12="",$P1232=CETAK!$J$12),OR(CETAK!$J$13="",$N1232=CETAK!$J$13),OR(CETAK!$J$14="",$T1232=CETAK!$J$14)),MAX($AC$3:AC1231)+1,""))</f>
        <v/>
      </c>
      <c r="AD1232" s="40" t="str">
        <f aca="false">IF($B1232="","",IF(AND(OR(ABSENSI!$H$10="",$F1232=ABSENSI!$H$10),OR(ABSENSI!$H$11="",$G1232=ABSENSI!$H$11),OR(ABSENSI!$H$12="",$P1232=ABSENSI!$H$12)),MAX($AD$3:AD1231)+1,""))</f>
        <v/>
      </c>
      <c r="AE1232" s="40" t="str">
        <f aca="false">IF($B1232="","",IF(AND(OR(KARTU!$K$6="",$F1232=KARTU!$K$6),OR(KARTU!$K$7="",$G1232=KARTU!$K$7),OR(KARTU!$K$8="",$P1232=KARTU!$K$8)),MAX($AE$3:AE1231)+1,""))</f>
        <v/>
      </c>
    </row>
    <row r="1233" customFormat="false" ht="15" hidden="false" customHeight="false" outlineLevel="0" collapsed="false">
      <c r="A1233" s="35" t="str">
        <f aca="false">IF($B1233="","",COUNTA($B$4:$B1233))</f>
        <v/>
      </c>
      <c r="B1233" s="36"/>
      <c r="C1233" s="37"/>
      <c r="D1233" s="37"/>
      <c r="E1233" s="38"/>
      <c r="F1233" s="36"/>
      <c r="G1233" s="39"/>
      <c r="H1233" s="39"/>
      <c r="I1233" s="36"/>
      <c r="J1233" s="36"/>
      <c r="K1233" s="36"/>
      <c r="L1233" s="36"/>
      <c r="M1233" s="40" t="str">
        <f aca="false">IF($F1233="","",$F1233&amp;IF($G1233="",""," - RT "&amp;$G1233&amp;IF($H1233="","","/"&amp;$H1233)))</f>
        <v/>
      </c>
      <c r="N1233" s="36"/>
      <c r="O1233" s="37"/>
      <c r="P1233" s="39"/>
      <c r="Q1233" s="41"/>
      <c r="R1233" s="35" t="str">
        <f aca="true">IF(OR($B1233="",$Q1233=""),"",DATEDIF($Q1233,TODAY(),"Y"))</f>
        <v/>
      </c>
      <c r="S1233" s="40" t="str">
        <f aca="false">IF($R1233="","",INDEX(usia_label,MATCH($R1233,usia_min,1)))</f>
        <v/>
      </c>
      <c r="T1233" s="36"/>
      <c r="U1233" s="41"/>
      <c r="V1233" s="36"/>
      <c r="W1233" s="36"/>
      <c r="X1233" s="40" t="str">
        <f aca="false">IF($M1233="","",$M1233&amp;"#"&amp;COUNTIF($M$4:$M1233,$M1233))</f>
        <v/>
      </c>
      <c r="Y1233" s="40" t="str">
        <f aca="false">IF($B1233="","",IF($C1233="","NIK kosong",IF(LEN($C1233)&lt;&gt;16,"NIK bukan 16 digit",IF(COUNTIF($C$4:$C$2003,$C1233&amp;"*")&gt;1,"NIK ganda",IF(AND($D1233&lt;&gt;"",LEN($D1233)&lt;&gt;16),"No. KK bukan 16 digit",IF(AND($F1233="",$I1233=""),"Alamat kosong",IF($N1233="","Jabatan kosong",IF($O1233="","No. HP kosong",IF(AND($R1233&lt;&gt;"",$R1233&lt;17),"Usia di bawah 17","")))))))))</f>
        <v/>
      </c>
      <c r="Z1233" s="40" t="str">
        <f aca="false">IF($B1233="","",IF(AND(OR(CARI!$C$5="",ISNUMBER(SEARCH(CARI!$C$5,$B1233&amp;" "&amp;$C1233&amp;" "&amp;$D1233&amp;" "&amp;$O1233&amp;" "&amp;$I1233&amp;" "&amp;$F1233&amp;" "&amp;$J1233&amp;" "&amp;$K1233&amp;" "&amp;$L1233&amp;" "&amp;$V1233))),OR(CARI!$C$6="",$F1233=CARI!$C$6),OR(CARI!$C$7="",$G1233=CARI!$C$7),OR(CARI!$C$8="",$T1233=CARI!$C$8)),MAX($Z$3:Z1232)+1,""))</f>
        <v/>
      </c>
      <c r="AA1233" s="40" t="str">
        <f aca="false">IF($Y1233="","",MAX($AA$3:AA1232)+1)</f>
        <v/>
      </c>
      <c r="AB1233" s="40" t="str">
        <f aca="false">IF($F1233="","",$F1233&amp;"#"&amp;COUNTIF($F$4:$F1233,$F1233))</f>
        <v/>
      </c>
      <c r="AC1233" s="40" t="str">
        <f aca="false">IF($B1233="","",IF(AND(OR(CETAK!$J$10="",$F1233=CETAK!$J$10),OR(CETAK!$J$11="",$G1233=CETAK!$J$11),OR(CETAK!$J$12="",$P1233=CETAK!$J$12),OR(CETAK!$J$13="",$N1233=CETAK!$J$13),OR(CETAK!$J$14="",$T1233=CETAK!$J$14)),MAX($AC$3:AC1232)+1,""))</f>
        <v/>
      </c>
      <c r="AD1233" s="40" t="str">
        <f aca="false">IF($B1233="","",IF(AND(OR(ABSENSI!$H$10="",$F1233=ABSENSI!$H$10),OR(ABSENSI!$H$11="",$G1233=ABSENSI!$H$11),OR(ABSENSI!$H$12="",$P1233=ABSENSI!$H$12)),MAX($AD$3:AD1232)+1,""))</f>
        <v/>
      </c>
      <c r="AE1233" s="40" t="str">
        <f aca="false">IF($B1233="","",IF(AND(OR(KARTU!$K$6="",$F1233=KARTU!$K$6),OR(KARTU!$K$7="",$G1233=KARTU!$K$7),OR(KARTU!$K$8="",$P1233=KARTU!$K$8)),MAX($AE$3:AE1232)+1,""))</f>
        <v/>
      </c>
    </row>
    <row r="1234" customFormat="false" ht="15" hidden="false" customHeight="false" outlineLevel="0" collapsed="false">
      <c r="A1234" s="35" t="str">
        <f aca="false">IF($B1234="","",COUNTA($B$4:$B1234))</f>
        <v/>
      </c>
      <c r="B1234" s="36"/>
      <c r="C1234" s="37"/>
      <c r="D1234" s="37"/>
      <c r="E1234" s="38"/>
      <c r="F1234" s="36"/>
      <c r="G1234" s="39"/>
      <c r="H1234" s="39"/>
      <c r="I1234" s="36"/>
      <c r="J1234" s="36"/>
      <c r="K1234" s="36"/>
      <c r="L1234" s="36"/>
      <c r="M1234" s="40" t="str">
        <f aca="false">IF($F1234="","",$F1234&amp;IF($G1234="",""," - RT "&amp;$G1234&amp;IF($H1234="","","/"&amp;$H1234)))</f>
        <v/>
      </c>
      <c r="N1234" s="36"/>
      <c r="O1234" s="37"/>
      <c r="P1234" s="39"/>
      <c r="Q1234" s="41"/>
      <c r="R1234" s="35" t="str">
        <f aca="true">IF(OR($B1234="",$Q1234=""),"",DATEDIF($Q1234,TODAY(),"Y"))</f>
        <v/>
      </c>
      <c r="S1234" s="40" t="str">
        <f aca="false">IF($R1234="","",INDEX(usia_label,MATCH($R1234,usia_min,1)))</f>
        <v/>
      </c>
      <c r="T1234" s="36"/>
      <c r="U1234" s="41"/>
      <c r="V1234" s="36"/>
      <c r="W1234" s="36"/>
      <c r="X1234" s="40" t="str">
        <f aca="false">IF($M1234="","",$M1234&amp;"#"&amp;COUNTIF($M$4:$M1234,$M1234))</f>
        <v/>
      </c>
      <c r="Y1234" s="40" t="str">
        <f aca="false">IF($B1234="","",IF($C1234="","NIK kosong",IF(LEN($C1234)&lt;&gt;16,"NIK bukan 16 digit",IF(COUNTIF($C$4:$C$2003,$C1234&amp;"*")&gt;1,"NIK ganda",IF(AND($D1234&lt;&gt;"",LEN($D1234)&lt;&gt;16),"No. KK bukan 16 digit",IF(AND($F1234="",$I1234=""),"Alamat kosong",IF($N1234="","Jabatan kosong",IF($O1234="","No. HP kosong",IF(AND($R1234&lt;&gt;"",$R1234&lt;17),"Usia di bawah 17","")))))))))</f>
        <v/>
      </c>
      <c r="Z1234" s="40" t="str">
        <f aca="false">IF($B1234="","",IF(AND(OR(CARI!$C$5="",ISNUMBER(SEARCH(CARI!$C$5,$B1234&amp;" "&amp;$C1234&amp;" "&amp;$D1234&amp;" "&amp;$O1234&amp;" "&amp;$I1234&amp;" "&amp;$F1234&amp;" "&amp;$J1234&amp;" "&amp;$K1234&amp;" "&amp;$L1234&amp;" "&amp;$V1234))),OR(CARI!$C$6="",$F1234=CARI!$C$6),OR(CARI!$C$7="",$G1234=CARI!$C$7),OR(CARI!$C$8="",$T1234=CARI!$C$8)),MAX($Z$3:Z1233)+1,""))</f>
        <v/>
      </c>
      <c r="AA1234" s="40" t="str">
        <f aca="false">IF($Y1234="","",MAX($AA$3:AA1233)+1)</f>
        <v/>
      </c>
      <c r="AB1234" s="40" t="str">
        <f aca="false">IF($F1234="","",$F1234&amp;"#"&amp;COUNTIF($F$4:$F1234,$F1234))</f>
        <v/>
      </c>
      <c r="AC1234" s="40" t="str">
        <f aca="false">IF($B1234="","",IF(AND(OR(CETAK!$J$10="",$F1234=CETAK!$J$10),OR(CETAK!$J$11="",$G1234=CETAK!$J$11),OR(CETAK!$J$12="",$P1234=CETAK!$J$12),OR(CETAK!$J$13="",$N1234=CETAK!$J$13),OR(CETAK!$J$14="",$T1234=CETAK!$J$14)),MAX($AC$3:AC1233)+1,""))</f>
        <v/>
      </c>
      <c r="AD1234" s="40" t="str">
        <f aca="false">IF($B1234="","",IF(AND(OR(ABSENSI!$H$10="",$F1234=ABSENSI!$H$10),OR(ABSENSI!$H$11="",$G1234=ABSENSI!$H$11),OR(ABSENSI!$H$12="",$P1234=ABSENSI!$H$12)),MAX($AD$3:AD1233)+1,""))</f>
        <v/>
      </c>
      <c r="AE1234" s="40" t="str">
        <f aca="false">IF($B1234="","",IF(AND(OR(KARTU!$K$6="",$F1234=KARTU!$K$6),OR(KARTU!$K$7="",$G1234=KARTU!$K$7),OR(KARTU!$K$8="",$P1234=KARTU!$K$8)),MAX($AE$3:AE1233)+1,""))</f>
        <v/>
      </c>
    </row>
    <row r="1235" customFormat="false" ht="15" hidden="false" customHeight="false" outlineLevel="0" collapsed="false">
      <c r="A1235" s="35" t="str">
        <f aca="false">IF($B1235="","",COUNTA($B$4:$B1235))</f>
        <v/>
      </c>
      <c r="B1235" s="36"/>
      <c r="C1235" s="37"/>
      <c r="D1235" s="37"/>
      <c r="E1235" s="38"/>
      <c r="F1235" s="36"/>
      <c r="G1235" s="39"/>
      <c r="H1235" s="39"/>
      <c r="I1235" s="36"/>
      <c r="J1235" s="36"/>
      <c r="K1235" s="36"/>
      <c r="L1235" s="36"/>
      <c r="M1235" s="40" t="str">
        <f aca="false">IF($F1235="","",$F1235&amp;IF($G1235="",""," - RT "&amp;$G1235&amp;IF($H1235="","","/"&amp;$H1235)))</f>
        <v/>
      </c>
      <c r="N1235" s="36"/>
      <c r="O1235" s="37"/>
      <c r="P1235" s="39"/>
      <c r="Q1235" s="41"/>
      <c r="R1235" s="35" t="str">
        <f aca="true">IF(OR($B1235="",$Q1235=""),"",DATEDIF($Q1235,TODAY(),"Y"))</f>
        <v/>
      </c>
      <c r="S1235" s="40" t="str">
        <f aca="false">IF($R1235="","",INDEX(usia_label,MATCH($R1235,usia_min,1)))</f>
        <v/>
      </c>
      <c r="T1235" s="36"/>
      <c r="U1235" s="41"/>
      <c r="V1235" s="36"/>
      <c r="W1235" s="36"/>
      <c r="X1235" s="40" t="str">
        <f aca="false">IF($M1235="","",$M1235&amp;"#"&amp;COUNTIF($M$4:$M1235,$M1235))</f>
        <v/>
      </c>
      <c r="Y1235" s="40" t="str">
        <f aca="false">IF($B1235="","",IF($C1235="","NIK kosong",IF(LEN($C1235)&lt;&gt;16,"NIK bukan 16 digit",IF(COUNTIF($C$4:$C$2003,$C1235&amp;"*")&gt;1,"NIK ganda",IF(AND($D1235&lt;&gt;"",LEN($D1235)&lt;&gt;16),"No. KK bukan 16 digit",IF(AND($F1235="",$I1235=""),"Alamat kosong",IF($N1235="","Jabatan kosong",IF($O1235="","No. HP kosong",IF(AND($R1235&lt;&gt;"",$R1235&lt;17),"Usia di bawah 17","")))))))))</f>
        <v/>
      </c>
      <c r="Z1235" s="40" t="str">
        <f aca="false">IF($B1235="","",IF(AND(OR(CARI!$C$5="",ISNUMBER(SEARCH(CARI!$C$5,$B1235&amp;" "&amp;$C1235&amp;" "&amp;$D1235&amp;" "&amp;$O1235&amp;" "&amp;$I1235&amp;" "&amp;$F1235&amp;" "&amp;$J1235&amp;" "&amp;$K1235&amp;" "&amp;$L1235&amp;" "&amp;$V1235))),OR(CARI!$C$6="",$F1235=CARI!$C$6),OR(CARI!$C$7="",$G1235=CARI!$C$7),OR(CARI!$C$8="",$T1235=CARI!$C$8)),MAX($Z$3:Z1234)+1,""))</f>
        <v/>
      </c>
      <c r="AA1235" s="40" t="str">
        <f aca="false">IF($Y1235="","",MAX($AA$3:AA1234)+1)</f>
        <v/>
      </c>
      <c r="AB1235" s="40" t="str">
        <f aca="false">IF($F1235="","",$F1235&amp;"#"&amp;COUNTIF($F$4:$F1235,$F1235))</f>
        <v/>
      </c>
      <c r="AC1235" s="40" t="str">
        <f aca="false">IF($B1235="","",IF(AND(OR(CETAK!$J$10="",$F1235=CETAK!$J$10),OR(CETAK!$J$11="",$G1235=CETAK!$J$11),OR(CETAK!$J$12="",$P1235=CETAK!$J$12),OR(CETAK!$J$13="",$N1235=CETAK!$J$13),OR(CETAK!$J$14="",$T1235=CETAK!$J$14)),MAX($AC$3:AC1234)+1,""))</f>
        <v/>
      </c>
      <c r="AD1235" s="40" t="str">
        <f aca="false">IF($B1235="","",IF(AND(OR(ABSENSI!$H$10="",$F1235=ABSENSI!$H$10),OR(ABSENSI!$H$11="",$G1235=ABSENSI!$H$11),OR(ABSENSI!$H$12="",$P1235=ABSENSI!$H$12)),MAX($AD$3:AD1234)+1,""))</f>
        <v/>
      </c>
      <c r="AE1235" s="40" t="str">
        <f aca="false">IF($B1235="","",IF(AND(OR(KARTU!$K$6="",$F1235=KARTU!$K$6),OR(KARTU!$K$7="",$G1235=KARTU!$K$7),OR(KARTU!$K$8="",$P1235=KARTU!$K$8)),MAX($AE$3:AE1234)+1,""))</f>
        <v/>
      </c>
    </row>
    <row r="1236" customFormat="false" ht="15" hidden="false" customHeight="false" outlineLevel="0" collapsed="false">
      <c r="A1236" s="35" t="str">
        <f aca="false">IF($B1236="","",COUNTA($B$4:$B1236))</f>
        <v/>
      </c>
      <c r="B1236" s="36"/>
      <c r="C1236" s="37"/>
      <c r="D1236" s="37"/>
      <c r="E1236" s="38"/>
      <c r="F1236" s="36"/>
      <c r="G1236" s="39"/>
      <c r="H1236" s="39"/>
      <c r="I1236" s="36"/>
      <c r="J1236" s="36"/>
      <c r="K1236" s="36"/>
      <c r="L1236" s="36"/>
      <c r="M1236" s="40" t="str">
        <f aca="false">IF($F1236="","",$F1236&amp;IF($G1236="",""," - RT "&amp;$G1236&amp;IF($H1236="","","/"&amp;$H1236)))</f>
        <v/>
      </c>
      <c r="N1236" s="36"/>
      <c r="O1236" s="37"/>
      <c r="P1236" s="39"/>
      <c r="Q1236" s="41"/>
      <c r="R1236" s="35" t="str">
        <f aca="true">IF(OR($B1236="",$Q1236=""),"",DATEDIF($Q1236,TODAY(),"Y"))</f>
        <v/>
      </c>
      <c r="S1236" s="40" t="str">
        <f aca="false">IF($R1236="","",INDEX(usia_label,MATCH($R1236,usia_min,1)))</f>
        <v/>
      </c>
      <c r="T1236" s="36"/>
      <c r="U1236" s="41"/>
      <c r="V1236" s="36"/>
      <c r="W1236" s="36"/>
      <c r="X1236" s="40" t="str">
        <f aca="false">IF($M1236="","",$M1236&amp;"#"&amp;COUNTIF($M$4:$M1236,$M1236))</f>
        <v/>
      </c>
      <c r="Y1236" s="40" t="str">
        <f aca="false">IF($B1236="","",IF($C1236="","NIK kosong",IF(LEN($C1236)&lt;&gt;16,"NIK bukan 16 digit",IF(COUNTIF($C$4:$C$2003,$C1236&amp;"*")&gt;1,"NIK ganda",IF(AND($D1236&lt;&gt;"",LEN($D1236)&lt;&gt;16),"No. KK bukan 16 digit",IF(AND($F1236="",$I1236=""),"Alamat kosong",IF($N1236="","Jabatan kosong",IF($O1236="","No. HP kosong",IF(AND($R1236&lt;&gt;"",$R1236&lt;17),"Usia di bawah 17","")))))))))</f>
        <v/>
      </c>
      <c r="Z1236" s="40" t="str">
        <f aca="false">IF($B1236="","",IF(AND(OR(CARI!$C$5="",ISNUMBER(SEARCH(CARI!$C$5,$B1236&amp;" "&amp;$C1236&amp;" "&amp;$D1236&amp;" "&amp;$O1236&amp;" "&amp;$I1236&amp;" "&amp;$F1236&amp;" "&amp;$J1236&amp;" "&amp;$K1236&amp;" "&amp;$L1236&amp;" "&amp;$V1236))),OR(CARI!$C$6="",$F1236=CARI!$C$6),OR(CARI!$C$7="",$G1236=CARI!$C$7),OR(CARI!$C$8="",$T1236=CARI!$C$8)),MAX($Z$3:Z1235)+1,""))</f>
        <v/>
      </c>
      <c r="AA1236" s="40" t="str">
        <f aca="false">IF($Y1236="","",MAX($AA$3:AA1235)+1)</f>
        <v/>
      </c>
      <c r="AB1236" s="40" t="str">
        <f aca="false">IF($F1236="","",$F1236&amp;"#"&amp;COUNTIF($F$4:$F1236,$F1236))</f>
        <v/>
      </c>
      <c r="AC1236" s="40" t="str">
        <f aca="false">IF($B1236="","",IF(AND(OR(CETAK!$J$10="",$F1236=CETAK!$J$10),OR(CETAK!$J$11="",$G1236=CETAK!$J$11),OR(CETAK!$J$12="",$P1236=CETAK!$J$12),OR(CETAK!$J$13="",$N1236=CETAK!$J$13),OR(CETAK!$J$14="",$T1236=CETAK!$J$14)),MAX($AC$3:AC1235)+1,""))</f>
        <v/>
      </c>
      <c r="AD1236" s="40" t="str">
        <f aca="false">IF($B1236="","",IF(AND(OR(ABSENSI!$H$10="",$F1236=ABSENSI!$H$10),OR(ABSENSI!$H$11="",$G1236=ABSENSI!$H$11),OR(ABSENSI!$H$12="",$P1236=ABSENSI!$H$12)),MAX($AD$3:AD1235)+1,""))</f>
        <v/>
      </c>
      <c r="AE1236" s="40" t="str">
        <f aca="false">IF($B1236="","",IF(AND(OR(KARTU!$K$6="",$F1236=KARTU!$K$6),OR(KARTU!$K$7="",$G1236=KARTU!$K$7),OR(KARTU!$K$8="",$P1236=KARTU!$K$8)),MAX($AE$3:AE1235)+1,""))</f>
        <v/>
      </c>
    </row>
    <row r="1237" customFormat="false" ht="15" hidden="false" customHeight="false" outlineLevel="0" collapsed="false">
      <c r="A1237" s="35" t="str">
        <f aca="false">IF($B1237="","",COUNTA($B$4:$B1237))</f>
        <v/>
      </c>
      <c r="B1237" s="36"/>
      <c r="C1237" s="37"/>
      <c r="D1237" s="37"/>
      <c r="E1237" s="38"/>
      <c r="F1237" s="36"/>
      <c r="G1237" s="39"/>
      <c r="H1237" s="39"/>
      <c r="I1237" s="36"/>
      <c r="J1237" s="36"/>
      <c r="K1237" s="36"/>
      <c r="L1237" s="36"/>
      <c r="M1237" s="40" t="str">
        <f aca="false">IF($F1237="","",$F1237&amp;IF($G1237="",""," - RT "&amp;$G1237&amp;IF($H1237="","","/"&amp;$H1237)))</f>
        <v/>
      </c>
      <c r="N1237" s="36"/>
      <c r="O1237" s="37"/>
      <c r="P1237" s="39"/>
      <c r="Q1237" s="41"/>
      <c r="R1237" s="35" t="str">
        <f aca="true">IF(OR($B1237="",$Q1237=""),"",DATEDIF($Q1237,TODAY(),"Y"))</f>
        <v/>
      </c>
      <c r="S1237" s="40" t="str">
        <f aca="false">IF($R1237="","",INDEX(usia_label,MATCH($R1237,usia_min,1)))</f>
        <v/>
      </c>
      <c r="T1237" s="36"/>
      <c r="U1237" s="41"/>
      <c r="V1237" s="36"/>
      <c r="W1237" s="36"/>
      <c r="X1237" s="40" t="str">
        <f aca="false">IF($M1237="","",$M1237&amp;"#"&amp;COUNTIF($M$4:$M1237,$M1237))</f>
        <v/>
      </c>
      <c r="Y1237" s="40" t="str">
        <f aca="false">IF($B1237="","",IF($C1237="","NIK kosong",IF(LEN($C1237)&lt;&gt;16,"NIK bukan 16 digit",IF(COUNTIF($C$4:$C$2003,$C1237&amp;"*")&gt;1,"NIK ganda",IF(AND($D1237&lt;&gt;"",LEN($D1237)&lt;&gt;16),"No. KK bukan 16 digit",IF(AND($F1237="",$I1237=""),"Alamat kosong",IF($N1237="","Jabatan kosong",IF($O1237="","No. HP kosong",IF(AND($R1237&lt;&gt;"",$R1237&lt;17),"Usia di bawah 17","")))))))))</f>
        <v/>
      </c>
      <c r="Z1237" s="40" t="str">
        <f aca="false">IF($B1237="","",IF(AND(OR(CARI!$C$5="",ISNUMBER(SEARCH(CARI!$C$5,$B1237&amp;" "&amp;$C1237&amp;" "&amp;$D1237&amp;" "&amp;$O1237&amp;" "&amp;$I1237&amp;" "&amp;$F1237&amp;" "&amp;$J1237&amp;" "&amp;$K1237&amp;" "&amp;$L1237&amp;" "&amp;$V1237))),OR(CARI!$C$6="",$F1237=CARI!$C$6),OR(CARI!$C$7="",$G1237=CARI!$C$7),OR(CARI!$C$8="",$T1237=CARI!$C$8)),MAX($Z$3:Z1236)+1,""))</f>
        <v/>
      </c>
      <c r="AA1237" s="40" t="str">
        <f aca="false">IF($Y1237="","",MAX($AA$3:AA1236)+1)</f>
        <v/>
      </c>
      <c r="AB1237" s="40" t="str">
        <f aca="false">IF($F1237="","",$F1237&amp;"#"&amp;COUNTIF($F$4:$F1237,$F1237))</f>
        <v/>
      </c>
      <c r="AC1237" s="40" t="str">
        <f aca="false">IF($B1237="","",IF(AND(OR(CETAK!$J$10="",$F1237=CETAK!$J$10),OR(CETAK!$J$11="",$G1237=CETAK!$J$11),OR(CETAK!$J$12="",$P1237=CETAK!$J$12),OR(CETAK!$J$13="",$N1237=CETAK!$J$13),OR(CETAK!$J$14="",$T1237=CETAK!$J$14)),MAX($AC$3:AC1236)+1,""))</f>
        <v/>
      </c>
      <c r="AD1237" s="40" t="str">
        <f aca="false">IF($B1237="","",IF(AND(OR(ABSENSI!$H$10="",$F1237=ABSENSI!$H$10),OR(ABSENSI!$H$11="",$G1237=ABSENSI!$H$11),OR(ABSENSI!$H$12="",$P1237=ABSENSI!$H$12)),MAX($AD$3:AD1236)+1,""))</f>
        <v/>
      </c>
      <c r="AE1237" s="40" t="str">
        <f aca="false">IF($B1237="","",IF(AND(OR(KARTU!$K$6="",$F1237=KARTU!$K$6),OR(KARTU!$K$7="",$G1237=KARTU!$K$7),OR(KARTU!$K$8="",$P1237=KARTU!$K$8)),MAX($AE$3:AE1236)+1,""))</f>
        <v/>
      </c>
    </row>
    <row r="1238" customFormat="false" ht="15" hidden="false" customHeight="false" outlineLevel="0" collapsed="false">
      <c r="A1238" s="35" t="str">
        <f aca="false">IF($B1238="","",COUNTA($B$4:$B1238))</f>
        <v/>
      </c>
      <c r="B1238" s="36"/>
      <c r="C1238" s="37"/>
      <c r="D1238" s="37"/>
      <c r="E1238" s="38"/>
      <c r="F1238" s="36"/>
      <c r="G1238" s="39"/>
      <c r="H1238" s="39"/>
      <c r="I1238" s="36"/>
      <c r="J1238" s="36"/>
      <c r="K1238" s="36"/>
      <c r="L1238" s="36"/>
      <c r="M1238" s="40" t="str">
        <f aca="false">IF($F1238="","",$F1238&amp;IF($G1238="",""," - RT "&amp;$G1238&amp;IF($H1238="","","/"&amp;$H1238)))</f>
        <v/>
      </c>
      <c r="N1238" s="36"/>
      <c r="O1238" s="37"/>
      <c r="P1238" s="39"/>
      <c r="Q1238" s="41"/>
      <c r="R1238" s="35" t="str">
        <f aca="true">IF(OR($B1238="",$Q1238=""),"",DATEDIF($Q1238,TODAY(),"Y"))</f>
        <v/>
      </c>
      <c r="S1238" s="40" t="str">
        <f aca="false">IF($R1238="","",INDEX(usia_label,MATCH($R1238,usia_min,1)))</f>
        <v/>
      </c>
      <c r="T1238" s="36"/>
      <c r="U1238" s="41"/>
      <c r="V1238" s="36"/>
      <c r="W1238" s="36"/>
      <c r="X1238" s="40" t="str">
        <f aca="false">IF($M1238="","",$M1238&amp;"#"&amp;COUNTIF($M$4:$M1238,$M1238))</f>
        <v/>
      </c>
      <c r="Y1238" s="40" t="str">
        <f aca="false">IF($B1238="","",IF($C1238="","NIK kosong",IF(LEN($C1238)&lt;&gt;16,"NIK bukan 16 digit",IF(COUNTIF($C$4:$C$2003,$C1238&amp;"*")&gt;1,"NIK ganda",IF(AND($D1238&lt;&gt;"",LEN($D1238)&lt;&gt;16),"No. KK bukan 16 digit",IF(AND($F1238="",$I1238=""),"Alamat kosong",IF($N1238="","Jabatan kosong",IF($O1238="","No. HP kosong",IF(AND($R1238&lt;&gt;"",$R1238&lt;17),"Usia di bawah 17","")))))))))</f>
        <v/>
      </c>
      <c r="Z1238" s="40" t="str">
        <f aca="false">IF($B1238="","",IF(AND(OR(CARI!$C$5="",ISNUMBER(SEARCH(CARI!$C$5,$B1238&amp;" "&amp;$C1238&amp;" "&amp;$D1238&amp;" "&amp;$O1238&amp;" "&amp;$I1238&amp;" "&amp;$F1238&amp;" "&amp;$J1238&amp;" "&amp;$K1238&amp;" "&amp;$L1238&amp;" "&amp;$V1238))),OR(CARI!$C$6="",$F1238=CARI!$C$6),OR(CARI!$C$7="",$G1238=CARI!$C$7),OR(CARI!$C$8="",$T1238=CARI!$C$8)),MAX($Z$3:Z1237)+1,""))</f>
        <v/>
      </c>
      <c r="AA1238" s="40" t="str">
        <f aca="false">IF($Y1238="","",MAX($AA$3:AA1237)+1)</f>
        <v/>
      </c>
      <c r="AB1238" s="40" t="str">
        <f aca="false">IF($F1238="","",$F1238&amp;"#"&amp;COUNTIF($F$4:$F1238,$F1238))</f>
        <v/>
      </c>
      <c r="AC1238" s="40" t="str">
        <f aca="false">IF($B1238="","",IF(AND(OR(CETAK!$J$10="",$F1238=CETAK!$J$10),OR(CETAK!$J$11="",$G1238=CETAK!$J$11),OR(CETAK!$J$12="",$P1238=CETAK!$J$12),OR(CETAK!$J$13="",$N1238=CETAK!$J$13),OR(CETAK!$J$14="",$T1238=CETAK!$J$14)),MAX($AC$3:AC1237)+1,""))</f>
        <v/>
      </c>
      <c r="AD1238" s="40" t="str">
        <f aca="false">IF($B1238="","",IF(AND(OR(ABSENSI!$H$10="",$F1238=ABSENSI!$H$10),OR(ABSENSI!$H$11="",$G1238=ABSENSI!$H$11),OR(ABSENSI!$H$12="",$P1238=ABSENSI!$H$12)),MAX($AD$3:AD1237)+1,""))</f>
        <v/>
      </c>
      <c r="AE1238" s="40" t="str">
        <f aca="false">IF($B1238="","",IF(AND(OR(KARTU!$K$6="",$F1238=KARTU!$K$6),OR(KARTU!$K$7="",$G1238=KARTU!$K$7),OR(KARTU!$K$8="",$P1238=KARTU!$K$8)),MAX($AE$3:AE1237)+1,""))</f>
        <v/>
      </c>
    </row>
    <row r="1239" customFormat="false" ht="15" hidden="false" customHeight="false" outlineLevel="0" collapsed="false">
      <c r="A1239" s="35" t="str">
        <f aca="false">IF($B1239="","",COUNTA($B$4:$B1239))</f>
        <v/>
      </c>
      <c r="B1239" s="36"/>
      <c r="C1239" s="37"/>
      <c r="D1239" s="37"/>
      <c r="E1239" s="38"/>
      <c r="F1239" s="36"/>
      <c r="G1239" s="39"/>
      <c r="H1239" s="39"/>
      <c r="I1239" s="36"/>
      <c r="J1239" s="36"/>
      <c r="K1239" s="36"/>
      <c r="L1239" s="36"/>
      <c r="M1239" s="40" t="str">
        <f aca="false">IF($F1239="","",$F1239&amp;IF($G1239="",""," - RT "&amp;$G1239&amp;IF($H1239="","","/"&amp;$H1239)))</f>
        <v/>
      </c>
      <c r="N1239" s="36"/>
      <c r="O1239" s="37"/>
      <c r="P1239" s="39"/>
      <c r="Q1239" s="41"/>
      <c r="R1239" s="35" t="str">
        <f aca="true">IF(OR($B1239="",$Q1239=""),"",DATEDIF($Q1239,TODAY(),"Y"))</f>
        <v/>
      </c>
      <c r="S1239" s="40" t="str">
        <f aca="false">IF($R1239="","",INDEX(usia_label,MATCH($R1239,usia_min,1)))</f>
        <v/>
      </c>
      <c r="T1239" s="36"/>
      <c r="U1239" s="41"/>
      <c r="V1239" s="36"/>
      <c r="W1239" s="36"/>
      <c r="X1239" s="40" t="str">
        <f aca="false">IF($M1239="","",$M1239&amp;"#"&amp;COUNTIF($M$4:$M1239,$M1239))</f>
        <v/>
      </c>
      <c r="Y1239" s="40" t="str">
        <f aca="false">IF($B1239="","",IF($C1239="","NIK kosong",IF(LEN($C1239)&lt;&gt;16,"NIK bukan 16 digit",IF(COUNTIF($C$4:$C$2003,$C1239&amp;"*")&gt;1,"NIK ganda",IF(AND($D1239&lt;&gt;"",LEN($D1239)&lt;&gt;16),"No. KK bukan 16 digit",IF(AND($F1239="",$I1239=""),"Alamat kosong",IF($N1239="","Jabatan kosong",IF($O1239="","No. HP kosong",IF(AND($R1239&lt;&gt;"",$R1239&lt;17),"Usia di bawah 17","")))))))))</f>
        <v/>
      </c>
      <c r="Z1239" s="40" t="str">
        <f aca="false">IF($B1239="","",IF(AND(OR(CARI!$C$5="",ISNUMBER(SEARCH(CARI!$C$5,$B1239&amp;" "&amp;$C1239&amp;" "&amp;$D1239&amp;" "&amp;$O1239&amp;" "&amp;$I1239&amp;" "&amp;$F1239&amp;" "&amp;$J1239&amp;" "&amp;$K1239&amp;" "&amp;$L1239&amp;" "&amp;$V1239))),OR(CARI!$C$6="",$F1239=CARI!$C$6),OR(CARI!$C$7="",$G1239=CARI!$C$7),OR(CARI!$C$8="",$T1239=CARI!$C$8)),MAX($Z$3:Z1238)+1,""))</f>
        <v/>
      </c>
      <c r="AA1239" s="40" t="str">
        <f aca="false">IF($Y1239="","",MAX($AA$3:AA1238)+1)</f>
        <v/>
      </c>
      <c r="AB1239" s="40" t="str">
        <f aca="false">IF($F1239="","",$F1239&amp;"#"&amp;COUNTIF($F$4:$F1239,$F1239))</f>
        <v/>
      </c>
      <c r="AC1239" s="40" t="str">
        <f aca="false">IF($B1239="","",IF(AND(OR(CETAK!$J$10="",$F1239=CETAK!$J$10),OR(CETAK!$J$11="",$G1239=CETAK!$J$11),OR(CETAK!$J$12="",$P1239=CETAK!$J$12),OR(CETAK!$J$13="",$N1239=CETAK!$J$13),OR(CETAK!$J$14="",$T1239=CETAK!$J$14)),MAX($AC$3:AC1238)+1,""))</f>
        <v/>
      </c>
      <c r="AD1239" s="40" t="str">
        <f aca="false">IF($B1239="","",IF(AND(OR(ABSENSI!$H$10="",$F1239=ABSENSI!$H$10),OR(ABSENSI!$H$11="",$G1239=ABSENSI!$H$11),OR(ABSENSI!$H$12="",$P1239=ABSENSI!$H$12)),MAX($AD$3:AD1238)+1,""))</f>
        <v/>
      </c>
      <c r="AE1239" s="40" t="str">
        <f aca="false">IF($B1239="","",IF(AND(OR(KARTU!$K$6="",$F1239=KARTU!$K$6),OR(KARTU!$K$7="",$G1239=KARTU!$K$7),OR(KARTU!$K$8="",$P1239=KARTU!$K$8)),MAX($AE$3:AE1238)+1,""))</f>
        <v/>
      </c>
    </row>
    <row r="1240" customFormat="false" ht="15" hidden="false" customHeight="false" outlineLevel="0" collapsed="false">
      <c r="A1240" s="35" t="str">
        <f aca="false">IF($B1240="","",COUNTA($B$4:$B1240))</f>
        <v/>
      </c>
      <c r="B1240" s="36"/>
      <c r="C1240" s="37"/>
      <c r="D1240" s="37"/>
      <c r="E1240" s="38"/>
      <c r="F1240" s="36"/>
      <c r="G1240" s="39"/>
      <c r="H1240" s="39"/>
      <c r="I1240" s="36"/>
      <c r="J1240" s="36"/>
      <c r="K1240" s="36"/>
      <c r="L1240" s="36"/>
      <c r="M1240" s="40" t="str">
        <f aca="false">IF($F1240="","",$F1240&amp;IF($G1240="",""," - RT "&amp;$G1240&amp;IF($H1240="","","/"&amp;$H1240)))</f>
        <v/>
      </c>
      <c r="N1240" s="36"/>
      <c r="O1240" s="37"/>
      <c r="P1240" s="39"/>
      <c r="Q1240" s="41"/>
      <c r="R1240" s="35" t="str">
        <f aca="true">IF(OR($B1240="",$Q1240=""),"",DATEDIF($Q1240,TODAY(),"Y"))</f>
        <v/>
      </c>
      <c r="S1240" s="40" t="str">
        <f aca="false">IF($R1240="","",INDEX(usia_label,MATCH($R1240,usia_min,1)))</f>
        <v/>
      </c>
      <c r="T1240" s="36"/>
      <c r="U1240" s="41"/>
      <c r="V1240" s="36"/>
      <c r="W1240" s="36"/>
      <c r="X1240" s="40" t="str">
        <f aca="false">IF($M1240="","",$M1240&amp;"#"&amp;COUNTIF($M$4:$M1240,$M1240))</f>
        <v/>
      </c>
      <c r="Y1240" s="40" t="str">
        <f aca="false">IF($B1240="","",IF($C1240="","NIK kosong",IF(LEN($C1240)&lt;&gt;16,"NIK bukan 16 digit",IF(COUNTIF($C$4:$C$2003,$C1240&amp;"*")&gt;1,"NIK ganda",IF(AND($D1240&lt;&gt;"",LEN($D1240)&lt;&gt;16),"No. KK bukan 16 digit",IF(AND($F1240="",$I1240=""),"Alamat kosong",IF($N1240="","Jabatan kosong",IF($O1240="","No. HP kosong",IF(AND($R1240&lt;&gt;"",$R1240&lt;17),"Usia di bawah 17","")))))))))</f>
        <v/>
      </c>
      <c r="Z1240" s="40" t="str">
        <f aca="false">IF($B1240="","",IF(AND(OR(CARI!$C$5="",ISNUMBER(SEARCH(CARI!$C$5,$B1240&amp;" "&amp;$C1240&amp;" "&amp;$D1240&amp;" "&amp;$O1240&amp;" "&amp;$I1240&amp;" "&amp;$F1240&amp;" "&amp;$J1240&amp;" "&amp;$K1240&amp;" "&amp;$L1240&amp;" "&amp;$V1240))),OR(CARI!$C$6="",$F1240=CARI!$C$6),OR(CARI!$C$7="",$G1240=CARI!$C$7),OR(CARI!$C$8="",$T1240=CARI!$C$8)),MAX($Z$3:Z1239)+1,""))</f>
        <v/>
      </c>
      <c r="AA1240" s="40" t="str">
        <f aca="false">IF($Y1240="","",MAX($AA$3:AA1239)+1)</f>
        <v/>
      </c>
      <c r="AB1240" s="40" t="str">
        <f aca="false">IF($F1240="","",$F1240&amp;"#"&amp;COUNTIF($F$4:$F1240,$F1240))</f>
        <v/>
      </c>
      <c r="AC1240" s="40" t="str">
        <f aca="false">IF($B1240="","",IF(AND(OR(CETAK!$J$10="",$F1240=CETAK!$J$10),OR(CETAK!$J$11="",$G1240=CETAK!$J$11),OR(CETAK!$J$12="",$P1240=CETAK!$J$12),OR(CETAK!$J$13="",$N1240=CETAK!$J$13),OR(CETAK!$J$14="",$T1240=CETAK!$J$14)),MAX($AC$3:AC1239)+1,""))</f>
        <v/>
      </c>
      <c r="AD1240" s="40" t="str">
        <f aca="false">IF($B1240="","",IF(AND(OR(ABSENSI!$H$10="",$F1240=ABSENSI!$H$10),OR(ABSENSI!$H$11="",$G1240=ABSENSI!$H$11),OR(ABSENSI!$H$12="",$P1240=ABSENSI!$H$12)),MAX($AD$3:AD1239)+1,""))</f>
        <v/>
      </c>
      <c r="AE1240" s="40" t="str">
        <f aca="false">IF($B1240="","",IF(AND(OR(KARTU!$K$6="",$F1240=KARTU!$K$6),OR(KARTU!$K$7="",$G1240=KARTU!$K$7),OR(KARTU!$K$8="",$P1240=KARTU!$K$8)),MAX($AE$3:AE1239)+1,""))</f>
        <v/>
      </c>
    </row>
    <row r="1241" customFormat="false" ht="15" hidden="false" customHeight="false" outlineLevel="0" collapsed="false">
      <c r="A1241" s="35" t="str">
        <f aca="false">IF($B1241="","",COUNTA($B$4:$B1241))</f>
        <v/>
      </c>
      <c r="B1241" s="36"/>
      <c r="C1241" s="37"/>
      <c r="D1241" s="37"/>
      <c r="E1241" s="38"/>
      <c r="F1241" s="36"/>
      <c r="G1241" s="39"/>
      <c r="H1241" s="39"/>
      <c r="I1241" s="36"/>
      <c r="J1241" s="36"/>
      <c r="K1241" s="36"/>
      <c r="L1241" s="36"/>
      <c r="M1241" s="40" t="str">
        <f aca="false">IF($F1241="","",$F1241&amp;IF($G1241="",""," - RT "&amp;$G1241&amp;IF($H1241="","","/"&amp;$H1241)))</f>
        <v/>
      </c>
      <c r="N1241" s="36"/>
      <c r="O1241" s="37"/>
      <c r="P1241" s="39"/>
      <c r="Q1241" s="41"/>
      <c r="R1241" s="35" t="str">
        <f aca="true">IF(OR($B1241="",$Q1241=""),"",DATEDIF($Q1241,TODAY(),"Y"))</f>
        <v/>
      </c>
      <c r="S1241" s="40" t="str">
        <f aca="false">IF($R1241="","",INDEX(usia_label,MATCH($R1241,usia_min,1)))</f>
        <v/>
      </c>
      <c r="T1241" s="36"/>
      <c r="U1241" s="41"/>
      <c r="V1241" s="36"/>
      <c r="W1241" s="36"/>
      <c r="X1241" s="40" t="str">
        <f aca="false">IF($M1241="","",$M1241&amp;"#"&amp;COUNTIF($M$4:$M1241,$M1241))</f>
        <v/>
      </c>
      <c r="Y1241" s="40" t="str">
        <f aca="false">IF($B1241="","",IF($C1241="","NIK kosong",IF(LEN($C1241)&lt;&gt;16,"NIK bukan 16 digit",IF(COUNTIF($C$4:$C$2003,$C1241&amp;"*")&gt;1,"NIK ganda",IF(AND($D1241&lt;&gt;"",LEN($D1241)&lt;&gt;16),"No. KK bukan 16 digit",IF(AND($F1241="",$I1241=""),"Alamat kosong",IF($N1241="","Jabatan kosong",IF($O1241="","No. HP kosong",IF(AND($R1241&lt;&gt;"",$R1241&lt;17),"Usia di bawah 17","")))))))))</f>
        <v/>
      </c>
      <c r="Z1241" s="40" t="str">
        <f aca="false">IF($B1241="","",IF(AND(OR(CARI!$C$5="",ISNUMBER(SEARCH(CARI!$C$5,$B1241&amp;" "&amp;$C1241&amp;" "&amp;$D1241&amp;" "&amp;$O1241&amp;" "&amp;$I1241&amp;" "&amp;$F1241&amp;" "&amp;$J1241&amp;" "&amp;$K1241&amp;" "&amp;$L1241&amp;" "&amp;$V1241))),OR(CARI!$C$6="",$F1241=CARI!$C$6),OR(CARI!$C$7="",$G1241=CARI!$C$7),OR(CARI!$C$8="",$T1241=CARI!$C$8)),MAX($Z$3:Z1240)+1,""))</f>
        <v/>
      </c>
      <c r="AA1241" s="40" t="str">
        <f aca="false">IF($Y1241="","",MAX($AA$3:AA1240)+1)</f>
        <v/>
      </c>
      <c r="AB1241" s="40" t="str">
        <f aca="false">IF($F1241="","",$F1241&amp;"#"&amp;COUNTIF($F$4:$F1241,$F1241))</f>
        <v/>
      </c>
      <c r="AC1241" s="40" t="str">
        <f aca="false">IF($B1241="","",IF(AND(OR(CETAK!$J$10="",$F1241=CETAK!$J$10),OR(CETAK!$J$11="",$G1241=CETAK!$J$11),OR(CETAK!$J$12="",$P1241=CETAK!$J$12),OR(CETAK!$J$13="",$N1241=CETAK!$J$13),OR(CETAK!$J$14="",$T1241=CETAK!$J$14)),MAX($AC$3:AC1240)+1,""))</f>
        <v/>
      </c>
      <c r="AD1241" s="40" t="str">
        <f aca="false">IF($B1241="","",IF(AND(OR(ABSENSI!$H$10="",$F1241=ABSENSI!$H$10),OR(ABSENSI!$H$11="",$G1241=ABSENSI!$H$11),OR(ABSENSI!$H$12="",$P1241=ABSENSI!$H$12)),MAX($AD$3:AD1240)+1,""))</f>
        <v/>
      </c>
      <c r="AE1241" s="40" t="str">
        <f aca="false">IF($B1241="","",IF(AND(OR(KARTU!$K$6="",$F1241=KARTU!$K$6),OR(KARTU!$K$7="",$G1241=KARTU!$K$7),OR(KARTU!$K$8="",$P1241=KARTU!$K$8)),MAX($AE$3:AE1240)+1,""))</f>
        <v/>
      </c>
    </row>
    <row r="1242" customFormat="false" ht="15" hidden="false" customHeight="false" outlineLevel="0" collapsed="false">
      <c r="A1242" s="35" t="str">
        <f aca="false">IF($B1242="","",COUNTA($B$4:$B1242))</f>
        <v/>
      </c>
      <c r="B1242" s="36"/>
      <c r="C1242" s="37"/>
      <c r="D1242" s="37"/>
      <c r="E1242" s="38"/>
      <c r="F1242" s="36"/>
      <c r="G1242" s="39"/>
      <c r="H1242" s="39"/>
      <c r="I1242" s="36"/>
      <c r="J1242" s="36"/>
      <c r="K1242" s="36"/>
      <c r="L1242" s="36"/>
      <c r="M1242" s="40" t="str">
        <f aca="false">IF($F1242="","",$F1242&amp;IF($G1242="",""," - RT "&amp;$G1242&amp;IF($H1242="","","/"&amp;$H1242)))</f>
        <v/>
      </c>
      <c r="N1242" s="36"/>
      <c r="O1242" s="37"/>
      <c r="P1242" s="39"/>
      <c r="Q1242" s="41"/>
      <c r="R1242" s="35" t="str">
        <f aca="true">IF(OR($B1242="",$Q1242=""),"",DATEDIF($Q1242,TODAY(),"Y"))</f>
        <v/>
      </c>
      <c r="S1242" s="40" t="str">
        <f aca="false">IF($R1242="","",INDEX(usia_label,MATCH($R1242,usia_min,1)))</f>
        <v/>
      </c>
      <c r="T1242" s="36"/>
      <c r="U1242" s="41"/>
      <c r="V1242" s="36"/>
      <c r="W1242" s="36"/>
      <c r="X1242" s="40" t="str">
        <f aca="false">IF($M1242="","",$M1242&amp;"#"&amp;COUNTIF($M$4:$M1242,$M1242))</f>
        <v/>
      </c>
      <c r="Y1242" s="40" t="str">
        <f aca="false">IF($B1242="","",IF($C1242="","NIK kosong",IF(LEN($C1242)&lt;&gt;16,"NIK bukan 16 digit",IF(COUNTIF($C$4:$C$2003,$C1242&amp;"*")&gt;1,"NIK ganda",IF(AND($D1242&lt;&gt;"",LEN($D1242)&lt;&gt;16),"No. KK bukan 16 digit",IF(AND($F1242="",$I1242=""),"Alamat kosong",IF($N1242="","Jabatan kosong",IF($O1242="","No. HP kosong",IF(AND($R1242&lt;&gt;"",$R1242&lt;17),"Usia di bawah 17","")))))))))</f>
        <v/>
      </c>
      <c r="Z1242" s="40" t="str">
        <f aca="false">IF($B1242="","",IF(AND(OR(CARI!$C$5="",ISNUMBER(SEARCH(CARI!$C$5,$B1242&amp;" "&amp;$C1242&amp;" "&amp;$D1242&amp;" "&amp;$O1242&amp;" "&amp;$I1242&amp;" "&amp;$F1242&amp;" "&amp;$J1242&amp;" "&amp;$K1242&amp;" "&amp;$L1242&amp;" "&amp;$V1242))),OR(CARI!$C$6="",$F1242=CARI!$C$6),OR(CARI!$C$7="",$G1242=CARI!$C$7),OR(CARI!$C$8="",$T1242=CARI!$C$8)),MAX($Z$3:Z1241)+1,""))</f>
        <v/>
      </c>
      <c r="AA1242" s="40" t="str">
        <f aca="false">IF($Y1242="","",MAX($AA$3:AA1241)+1)</f>
        <v/>
      </c>
      <c r="AB1242" s="40" t="str">
        <f aca="false">IF($F1242="","",$F1242&amp;"#"&amp;COUNTIF($F$4:$F1242,$F1242))</f>
        <v/>
      </c>
      <c r="AC1242" s="40" t="str">
        <f aca="false">IF($B1242="","",IF(AND(OR(CETAK!$J$10="",$F1242=CETAK!$J$10),OR(CETAK!$J$11="",$G1242=CETAK!$J$11),OR(CETAK!$J$12="",$P1242=CETAK!$J$12),OR(CETAK!$J$13="",$N1242=CETAK!$J$13),OR(CETAK!$J$14="",$T1242=CETAK!$J$14)),MAX($AC$3:AC1241)+1,""))</f>
        <v/>
      </c>
      <c r="AD1242" s="40" t="str">
        <f aca="false">IF($B1242="","",IF(AND(OR(ABSENSI!$H$10="",$F1242=ABSENSI!$H$10),OR(ABSENSI!$H$11="",$G1242=ABSENSI!$H$11),OR(ABSENSI!$H$12="",$P1242=ABSENSI!$H$12)),MAX($AD$3:AD1241)+1,""))</f>
        <v/>
      </c>
      <c r="AE1242" s="40" t="str">
        <f aca="false">IF($B1242="","",IF(AND(OR(KARTU!$K$6="",$F1242=KARTU!$K$6),OR(KARTU!$K$7="",$G1242=KARTU!$K$7),OR(KARTU!$K$8="",$P1242=KARTU!$K$8)),MAX($AE$3:AE1241)+1,""))</f>
        <v/>
      </c>
    </row>
    <row r="1243" customFormat="false" ht="15" hidden="false" customHeight="false" outlineLevel="0" collapsed="false">
      <c r="A1243" s="35" t="str">
        <f aca="false">IF($B1243="","",COUNTA($B$4:$B1243))</f>
        <v/>
      </c>
      <c r="B1243" s="36"/>
      <c r="C1243" s="37"/>
      <c r="D1243" s="37"/>
      <c r="E1243" s="38"/>
      <c r="F1243" s="36"/>
      <c r="G1243" s="39"/>
      <c r="H1243" s="39"/>
      <c r="I1243" s="36"/>
      <c r="J1243" s="36"/>
      <c r="K1243" s="36"/>
      <c r="L1243" s="36"/>
      <c r="M1243" s="40" t="str">
        <f aca="false">IF($F1243="","",$F1243&amp;IF($G1243="",""," - RT "&amp;$G1243&amp;IF($H1243="","","/"&amp;$H1243)))</f>
        <v/>
      </c>
      <c r="N1243" s="36"/>
      <c r="O1243" s="37"/>
      <c r="P1243" s="39"/>
      <c r="Q1243" s="41"/>
      <c r="R1243" s="35" t="str">
        <f aca="true">IF(OR($B1243="",$Q1243=""),"",DATEDIF($Q1243,TODAY(),"Y"))</f>
        <v/>
      </c>
      <c r="S1243" s="40" t="str">
        <f aca="false">IF($R1243="","",INDEX(usia_label,MATCH($R1243,usia_min,1)))</f>
        <v/>
      </c>
      <c r="T1243" s="36"/>
      <c r="U1243" s="41"/>
      <c r="V1243" s="36"/>
      <c r="W1243" s="36"/>
      <c r="X1243" s="40" t="str">
        <f aca="false">IF($M1243="","",$M1243&amp;"#"&amp;COUNTIF($M$4:$M1243,$M1243))</f>
        <v/>
      </c>
      <c r="Y1243" s="40" t="str">
        <f aca="false">IF($B1243="","",IF($C1243="","NIK kosong",IF(LEN($C1243)&lt;&gt;16,"NIK bukan 16 digit",IF(COUNTIF($C$4:$C$2003,$C1243&amp;"*")&gt;1,"NIK ganda",IF(AND($D1243&lt;&gt;"",LEN($D1243)&lt;&gt;16),"No. KK bukan 16 digit",IF(AND($F1243="",$I1243=""),"Alamat kosong",IF($N1243="","Jabatan kosong",IF($O1243="","No. HP kosong",IF(AND($R1243&lt;&gt;"",$R1243&lt;17),"Usia di bawah 17","")))))))))</f>
        <v/>
      </c>
      <c r="Z1243" s="40" t="str">
        <f aca="false">IF($B1243="","",IF(AND(OR(CARI!$C$5="",ISNUMBER(SEARCH(CARI!$C$5,$B1243&amp;" "&amp;$C1243&amp;" "&amp;$D1243&amp;" "&amp;$O1243&amp;" "&amp;$I1243&amp;" "&amp;$F1243&amp;" "&amp;$J1243&amp;" "&amp;$K1243&amp;" "&amp;$L1243&amp;" "&amp;$V1243))),OR(CARI!$C$6="",$F1243=CARI!$C$6),OR(CARI!$C$7="",$G1243=CARI!$C$7),OR(CARI!$C$8="",$T1243=CARI!$C$8)),MAX($Z$3:Z1242)+1,""))</f>
        <v/>
      </c>
      <c r="AA1243" s="40" t="str">
        <f aca="false">IF($Y1243="","",MAX($AA$3:AA1242)+1)</f>
        <v/>
      </c>
      <c r="AB1243" s="40" t="str">
        <f aca="false">IF($F1243="","",$F1243&amp;"#"&amp;COUNTIF($F$4:$F1243,$F1243))</f>
        <v/>
      </c>
      <c r="AC1243" s="40" t="str">
        <f aca="false">IF($B1243="","",IF(AND(OR(CETAK!$J$10="",$F1243=CETAK!$J$10),OR(CETAK!$J$11="",$G1243=CETAK!$J$11),OR(CETAK!$J$12="",$P1243=CETAK!$J$12),OR(CETAK!$J$13="",$N1243=CETAK!$J$13),OR(CETAK!$J$14="",$T1243=CETAK!$J$14)),MAX($AC$3:AC1242)+1,""))</f>
        <v/>
      </c>
      <c r="AD1243" s="40" t="str">
        <f aca="false">IF($B1243="","",IF(AND(OR(ABSENSI!$H$10="",$F1243=ABSENSI!$H$10),OR(ABSENSI!$H$11="",$G1243=ABSENSI!$H$11),OR(ABSENSI!$H$12="",$P1243=ABSENSI!$H$12)),MAX($AD$3:AD1242)+1,""))</f>
        <v/>
      </c>
      <c r="AE1243" s="40" t="str">
        <f aca="false">IF($B1243="","",IF(AND(OR(KARTU!$K$6="",$F1243=KARTU!$K$6),OR(KARTU!$K$7="",$G1243=KARTU!$K$7),OR(KARTU!$K$8="",$P1243=KARTU!$K$8)),MAX($AE$3:AE1242)+1,""))</f>
        <v/>
      </c>
    </row>
    <row r="1244" customFormat="false" ht="15" hidden="false" customHeight="false" outlineLevel="0" collapsed="false">
      <c r="A1244" s="35" t="str">
        <f aca="false">IF($B1244="","",COUNTA($B$4:$B1244))</f>
        <v/>
      </c>
      <c r="B1244" s="36"/>
      <c r="C1244" s="37"/>
      <c r="D1244" s="37"/>
      <c r="E1244" s="38"/>
      <c r="F1244" s="36"/>
      <c r="G1244" s="39"/>
      <c r="H1244" s="39"/>
      <c r="I1244" s="36"/>
      <c r="J1244" s="36"/>
      <c r="K1244" s="36"/>
      <c r="L1244" s="36"/>
      <c r="M1244" s="40" t="str">
        <f aca="false">IF($F1244="","",$F1244&amp;IF($G1244="",""," - RT "&amp;$G1244&amp;IF($H1244="","","/"&amp;$H1244)))</f>
        <v/>
      </c>
      <c r="N1244" s="36"/>
      <c r="O1244" s="37"/>
      <c r="P1244" s="39"/>
      <c r="Q1244" s="41"/>
      <c r="R1244" s="35" t="str">
        <f aca="true">IF(OR($B1244="",$Q1244=""),"",DATEDIF($Q1244,TODAY(),"Y"))</f>
        <v/>
      </c>
      <c r="S1244" s="40" t="str">
        <f aca="false">IF($R1244="","",INDEX(usia_label,MATCH($R1244,usia_min,1)))</f>
        <v/>
      </c>
      <c r="T1244" s="36"/>
      <c r="U1244" s="41"/>
      <c r="V1244" s="36"/>
      <c r="W1244" s="36"/>
      <c r="X1244" s="40" t="str">
        <f aca="false">IF($M1244="","",$M1244&amp;"#"&amp;COUNTIF($M$4:$M1244,$M1244))</f>
        <v/>
      </c>
      <c r="Y1244" s="40" t="str">
        <f aca="false">IF($B1244="","",IF($C1244="","NIK kosong",IF(LEN($C1244)&lt;&gt;16,"NIK bukan 16 digit",IF(COUNTIF($C$4:$C$2003,$C1244&amp;"*")&gt;1,"NIK ganda",IF(AND($D1244&lt;&gt;"",LEN($D1244)&lt;&gt;16),"No. KK bukan 16 digit",IF(AND($F1244="",$I1244=""),"Alamat kosong",IF($N1244="","Jabatan kosong",IF($O1244="","No. HP kosong",IF(AND($R1244&lt;&gt;"",$R1244&lt;17),"Usia di bawah 17","")))))))))</f>
        <v/>
      </c>
      <c r="Z1244" s="40" t="str">
        <f aca="false">IF($B1244="","",IF(AND(OR(CARI!$C$5="",ISNUMBER(SEARCH(CARI!$C$5,$B1244&amp;" "&amp;$C1244&amp;" "&amp;$D1244&amp;" "&amp;$O1244&amp;" "&amp;$I1244&amp;" "&amp;$F1244&amp;" "&amp;$J1244&amp;" "&amp;$K1244&amp;" "&amp;$L1244&amp;" "&amp;$V1244))),OR(CARI!$C$6="",$F1244=CARI!$C$6),OR(CARI!$C$7="",$G1244=CARI!$C$7),OR(CARI!$C$8="",$T1244=CARI!$C$8)),MAX($Z$3:Z1243)+1,""))</f>
        <v/>
      </c>
      <c r="AA1244" s="40" t="str">
        <f aca="false">IF($Y1244="","",MAX($AA$3:AA1243)+1)</f>
        <v/>
      </c>
      <c r="AB1244" s="40" t="str">
        <f aca="false">IF($F1244="","",$F1244&amp;"#"&amp;COUNTIF($F$4:$F1244,$F1244))</f>
        <v/>
      </c>
      <c r="AC1244" s="40" t="str">
        <f aca="false">IF($B1244="","",IF(AND(OR(CETAK!$J$10="",$F1244=CETAK!$J$10),OR(CETAK!$J$11="",$G1244=CETAK!$J$11),OR(CETAK!$J$12="",$P1244=CETAK!$J$12),OR(CETAK!$J$13="",$N1244=CETAK!$J$13),OR(CETAK!$J$14="",$T1244=CETAK!$J$14)),MAX($AC$3:AC1243)+1,""))</f>
        <v/>
      </c>
      <c r="AD1244" s="40" t="str">
        <f aca="false">IF($B1244="","",IF(AND(OR(ABSENSI!$H$10="",$F1244=ABSENSI!$H$10),OR(ABSENSI!$H$11="",$G1244=ABSENSI!$H$11),OR(ABSENSI!$H$12="",$P1244=ABSENSI!$H$12)),MAX($AD$3:AD1243)+1,""))</f>
        <v/>
      </c>
      <c r="AE1244" s="40" t="str">
        <f aca="false">IF($B1244="","",IF(AND(OR(KARTU!$K$6="",$F1244=KARTU!$K$6),OR(KARTU!$K$7="",$G1244=KARTU!$K$7),OR(KARTU!$K$8="",$P1244=KARTU!$K$8)),MAX($AE$3:AE1243)+1,""))</f>
        <v/>
      </c>
    </row>
    <row r="1245" customFormat="false" ht="15" hidden="false" customHeight="false" outlineLevel="0" collapsed="false">
      <c r="A1245" s="35" t="str">
        <f aca="false">IF($B1245="","",COUNTA($B$4:$B1245))</f>
        <v/>
      </c>
      <c r="B1245" s="36"/>
      <c r="C1245" s="37"/>
      <c r="D1245" s="37"/>
      <c r="E1245" s="38"/>
      <c r="F1245" s="36"/>
      <c r="G1245" s="39"/>
      <c r="H1245" s="39"/>
      <c r="I1245" s="36"/>
      <c r="J1245" s="36"/>
      <c r="K1245" s="36"/>
      <c r="L1245" s="36"/>
      <c r="M1245" s="40" t="str">
        <f aca="false">IF($F1245="","",$F1245&amp;IF($G1245="",""," - RT "&amp;$G1245&amp;IF($H1245="","","/"&amp;$H1245)))</f>
        <v/>
      </c>
      <c r="N1245" s="36"/>
      <c r="O1245" s="37"/>
      <c r="P1245" s="39"/>
      <c r="Q1245" s="41"/>
      <c r="R1245" s="35" t="str">
        <f aca="true">IF(OR($B1245="",$Q1245=""),"",DATEDIF($Q1245,TODAY(),"Y"))</f>
        <v/>
      </c>
      <c r="S1245" s="40" t="str">
        <f aca="false">IF($R1245="","",INDEX(usia_label,MATCH($R1245,usia_min,1)))</f>
        <v/>
      </c>
      <c r="T1245" s="36"/>
      <c r="U1245" s="41"/>
      <c r="V1245" s="36"/>
      <c r="W1245" s="36"/>
      <c r="X1245" s="40" t="str">
        <f aca="false">IF($M1245="","",$M1245&amp;"#"&amp;COUNTIF($M$4:$M1245,$M1245))</f>
        <v/>
      </c>
      <c r="Y1245" s="40" t="str">
        <f aca="false">IF($B1245="","",IF($C1245="","NIK kosong",IF(LEN($C1245)&lt;&gt;16,"NIK bukan 16 digit",IF(COUNTIF($C$4:$C$2003,$C1245&amp;"*")&gt;1,"NIK ganda",IF(AND($D1245&lt;&gt;"",LEN($D1245)&lt;&gt;16),"No. KK bukan 16 digit",IF(AND($F1245="",$I1245=""),"Alamat kosong",IF($N1245="","Jabatan kosong",IF($O1245="","No. HP kosong",IF(AND($R1245&lt;&gt;"",$R1245&lt;17),"Usia di bawah 17","")))))))))</f>
        <v/>
      </c>
      <c r="Z1245" s="40" t="str">
        <f aca="false">IF($B1245="","",IF(AND(OR(CARI!$C$5="",ISNUMBER(SEARCH(CARI!$C$5,$B1245&amp;" "&amp;$C1245&amp;" "&amp;$D1245&amp;" "&amp;$O1245&amp;" "&amp;$I1245&amp;" "&amp;$F1245&amp;" "&amp;$J1245&amp;" "&amp;$K1245&amp;" "&amp;$L1245&amp;" "&amp;$V1245))),OR(CARI!$C$6="",$F1245=CARI!$C$6),OR(CARI!$C$7="",$G1245=CARI!$C$7),OR(CARI!$C$8="",$T1245=CARI!$C$8)),MAX($Z$3:Z1244)+1,""))</f>
        <v/>
      </c>
      <c r="AA1245" s="40" t="str">
        <f aca="false">IF($Y1245="","",MAX($AA$3:AA1244)+1)</f>
        <v/>
      </c>
      <c r="AB1245" s="40" t="str">
        <f aca="false">IF($F1245="","",$F1245&amp;"#"&amp;COUNTIF($F$4:$F1245,$F1245))</f>
        <v/>
      </c>
      <c r="AC1245" s="40" t="str">
        <f aca="false">IF($B1245="","",IF(AND(OR(CETAK!$J$10="",$F1245=CETAK!$J$10),OR(CETAK!$J$11="",$G1245=CETAK!$J$11),OR(CETAK!$J$12="",$P1245=CETAK!$J$12),OR(CETAK!$J$13="",$N1245=CETAK!$J$13),OR(CETAK!$J$14="",$T1245=CETAK!$J$14)),MAX($AC$3:AC1244)+1,""))</f>
        <v/>
      </c>
      <c r="AD1245" s="40" t="str">
        <f aca="false">IF($B1245="","",IF(AND(OR(ABSENSI!$H$10="",$F1245=ABSENSI!$H$10),OR(ABSENSI!$H$11="",$G1245=ABSENSI!$H$11),OR(ABSENSI!$H$12="",$P1245=ABSENSI!$H$12)),MAX($AD$3:AD1244)+1,""))</f>
        <v/>
      </c>
      <c r="AE1245" s="40" t="str">
        <f aca="false">IF($B1245="","",IF(AND(OR(KARTU!$K$6="",$F1245=KARTU!$K$6),OR(KARTU!$K$7="",$G1245=KARTU!$K$7),OR(KARTU!$K$8="",$P1245=KARTU!$K$8)),MAX($AE$3:AE1244)+1,""))</f>
        <v/>
      </c>
    </row>
    <row r="1246" customFormat="false" ht="15" hidden="false" customHeight="false" outlineLevel="0" collapsed="false">
      <c r="A1246" s="35" t="str">
        <f aca="false">IF($B1246="","",COUNTA($B$4:$B1246))</f>
        <v/>
      </c>
      <c r="B1246" s="36"/>
      <c r="C1246" s="37"/>
      <c r="D1246" s="37"/>
      <c r="E1246" s="38"/>
      <c r="F1246" s="36"/>
      <c r="G1246" s="39"/>
      <c r="H1246" s="39"/>
      <c r="I1246" s="36"/>
      <c r="J1246" s="36"/>
      <c r="K1246" s="36"/>
      <c r="L1246" s="36"/>
      <c r="M1246" s="40" t="str">
        <f aca="false">IF($F1246="","",$F1246&amp;IF($G1246="",""," - RT "&amp;$G1246&amp;IF($H1246="","","/"&amp;$H1246)))</f>
        <v/>
      </c>
      <c r="N1246" s="36"/>
      <c r="O1246" s="37"/>
      <c r="P1246" s="39"/>
      <c r="Q1246" s="41"/>
      <c r="R1246" s="35" t="str">
        <f aca="true">IF(OR($B1246="",$Q1246=""),"",DATEDIF($Q1246,TODAY(),"Y"))</f>
        <v/>
      </c>
      <c r="S1246" s="40" t="str">
        <f aca="false">IF($R1246="","",INDEX(usia_label,MATCH($R1246,usia_min,1)))</f>
        <v/>
      </c>
      <c r="T1246" s="36"/>
      <c r="U1246" s="41"/>
      <c r="V1246" s="36"/>
      <c r="W1246" s="36"/>
      <c r="X1246" s="40" t="str">
        <f aca="false">IF($M1246="","",$M1246&amp;"#"&amp;COUNTIF($M$4:$M1246,$M1246))</f>
        <v/>
      </c>
      <c r="Y1246" s="40" t="str">
        <f aca="false">IF($B1246="","",IF($C1246="","NIK kosong",IF(LEN($C1246)&lt;&gt;16,"NIK bukan 16 digit",IF(COUNTIF($C$4:$C$2003,$C1246&amp;"*")&gt;1,"NIK ganda",IF(AND($D1246&lt;&gt;"",LEN($D1246)&lt;&gt;16),"No. KK bukan 16 digit",IF(AND($F1246="",$I1246=""),"Alamat kosong",IF($N1246="","Jabatan kosong",IF($O1246="","No. HP kosong",IF(AND($R1246&lt;&gt;"",$R1246&lt;17),"Usia di bawah 17","")))))))))</f>
        <v/>
      </c>
      <c r="Z1246" s="40" t="str">
        <f aca="false">IF($B1246="","",IF(AND(OR(CARI!$C$5="",ISNUMBER(SEARCH(CARI!$C$5,$B1246&amp;" "&amp;$C1246&amp;" "&amp;$D1246&amp;" "&amp;$O1246&amp;" "&amp;$I1246&amp;" "&amp;$F1246&amp;" "&amp;$J1246&amp;" "&amp;$K1246&amp;" "&amp;$L1246&amp;" "&amp;$V1246))),OR(CARI!$C$6="",$F1246=CARI!$C$6),OR(CARI!$C$7="",$G1246=CARI!$C$7),OR(CARI!$C$8="",$T1246=CARI!$C$8)),MAX($Z$3:Z1245)+1,""))</f>
        <v/>
      </c>
      <c r="AA1246" s="40" t="str">
        <f aca="false">IF($Y1246="","",MAX($AA$3:AA1245)+1)</f>
        <v/>
      </c>
      <c r="AB1246" s="40" t="str">
        <f aca="false">IF($F1246="","",$F1246&amp;"#"&amp;COUNTIF($F$4:$F1246,$F1246))</f>
        <v/>
      </c>
      <c r="AC1246" s="40" t="str">
        <f aca="false">IF($B1246="","",IF(AND(OR(CETAK!$J$10="",$F1246=CETAK!$J$10),OR(CETAK!$J$11="",$G1246=CETAK!$J$11),OR(CETAK!$J$12="",$P1246=CETAK!$J$12),OR(CETAK!$J$13="",$N1246=CETAK!$J$13),OR(CETAK!$J$14="",$T1246=CETAK!$J$14)),MAX($AC$3:AC1245)+1,""))</f>
        <v/>
      </c>
      <c r="AD1246" s="40" t="str">
        <f aca="false">IF($B1246="","",IF(AND(OR(ABSENSI!$H$10="",$F1246=ABSENSI!$H$10),OR(ABSENSI!$H$11="",$G1246=ABSENSI!$H$11),OR(ABSENSI!$H$12="",$P1246=ABSENSI!$H$12)),MAX($AD$3:AD1245)+1,""))</f>
        <v/>
      </c>
      <c r="AE1246" s="40" t="str">
        <f aca="false">IF($B1246="","",IF(AND(OR(KARTU!$K$6="",$F1246=KARTU!$K$6),OR(KARTU!$K$7="",$G1246=KARTU!$K$7),OR(KARTU!$K$8="",$P1246=KARTU!$K$8)),MAX($AE$3:AE1245)+1,""))</f>
        <v/>
      </c>
    </row>
    <row r="1247" customFormat="false" ht="15" hidden="false" customHeight="false" outlineLevel="0" collapsed="false">
      <c r="A1247" s="35" t="str">
        <f aca="false">IF($B1247="","",COUNTA($B$4:$B1247))</f>
        <v/>
      </c>
      <c r="B1247" s="36"/>
      <c r="C1247" s="37"/>
      <c r="D1247" s="37"/>
      <c r="E1247" s="38"/>
      <c r="F1247" s="36"/>
      <c r="G1247" s="39"/>
      <c r="H1247" s="39"/>
      <c r="I1247" s="36"/>
      <c r="J1247" s="36"/>
      <c r="K1247" s="36"/>
      <c r="L1247" s="36"/>
      <c r="M1247" s="40" t="str">
        <f aca="false">IF($F1247="","",$F1247&amp;IF($G1247="",""," - RT "&amp;$G1247&amp;IF($H1247="","","/"&amp;$H1247)))</f>
        <v/>
      </c>
      <c r="N1247" s="36"/>
      <c r="O1247" s="37"/>
      <c r="P1247" s="39"/>
      <c r="Q1247" s="41"/>
      <c r="R1247" s="35" t="str">
        <f aca="true">IF(OR($B1247="",$Q1247=""),"",DATEDIF($Q1247,TODAY(),"Y"))</f>
        <v/>
      </c>
      <c r="S1247" s="40" t="str">
        <f aca="false">IF($R1247="","",INDEX(usia_label,MATCH($R1247,usia_min,1)))</f>
        <v/>
      </c>
      <c r="T1247" s="36"/>
      <c r="U1247" s="41"/>
      <c r="V1247" s="36"/>
      <c r="W1247" s="36"/>
      <c r="X1247" s="40" t="str">
        <f aca="false">IF($M1247="","",$M1247&amp;"#"&amp;COUNTIF($M$4:$M1247,$M1247))</f>
        <v/>
      </c>
      <c r="Y1247" s="40" t="str">
        <f aca="false">IF($B1247="","",IF($C1247="","NIK kosong",IF(LEN($C1247)&lt;&gt;16,"NIK bukan 16 digit",IF(COUNTIF($C$4:$C$2003,$C1247&amp;"*")&gt;1,"NIK ganda",IF(AND($D1247&lt;&gt;"",LEN($D1247)&lt;&gt;16),"No. KK bukan 16 digit",IF(AND($F1247="",$I1247=""),"Alamat kosong",IF($N1247="","Jabatan kosong",IF($O1247="","No. HP kosong",IF(AND($R1247&lt;&gt;"",$R1247&lt;17),"Usia di bawah 17","")))))))))</f>
        <v/>
      </c>
      <c r="Z1247" s="40" t="str">
        <f aca="false">IF($B1247="","",IF(AND(OR(CARI!$C$5="",ISNUMBER(SEARCH(CARI!$C$5,$B1247&amp;" "&amp;$C1247&amp;" "&amp;$D1247&amp;" "&amp;$O1247&amp;" "&amp;$I1247&amp;" "&amp;$F1247&amp;" "&amp;$J1247&amp;" "&amp;$K1247&amp;" "&amp;$L1247&amp;" "&amp;$V1247))),OR(CARI!$C$6="",$F1247=CARI!$C$6),OR(CARI!$C$7="",$G1247=CARI!$C$7),OR(CARI!$C$8="",$T1247=CARI!$C$8)),MAX($Z$3:Z1246)+1,""))</f>
        <v/>
      </c>
      <c r="AA1247" s="40" t="str">
        <f aca="false">IF($Y1247="","",MAX($AA$3:AA1246)+1)</f>
        <v/>
      </c>
      <c r="AB1247" s="40" t="str">
        <f aca="false">IF($F1247="","",$F1247&amp;"#"&amp;COUNTIF($F$4:$F1247,$F1247))</f>
        <v/>
      </c>
      <c r="AC1247" s="40" t="str">
        <f aca="false">IF($B1247="","",IF(AND(OR(CETAK!$J$10="",$F1247=CETAK!$J$10),OR(CETAK!$J$11="",$G1247=CETAK!$J$11),OR(CETAK!$J$12="",$P1247=CETAK!$J$12),OR(CETAK!$J$13="",$N1247=CETAK!$J$13),OR(CETAK!$J$14="",$T1247=CETAK!$J$14)),MAX($AC$3:AC1246)+1,""))</f>
        <v/>
      </c>
      <c r="AD1247" s="40" t="str">
        <f aca="false">IF($B1247="","",IF(AND(OR(ABSENSI!$H$10="",$F1247=ABSENSI!$H$10),OR(ABSENSI!$H$11="",$G1247=ABSENSI!$H$11),OR(ABSENSI!$H$12="",$P1247=ABSENSI!$H$12)),MAX($AD$3:AD1246)+1,""))</f>
        <v/>
      </c>
      <c r="AE1247" s="40" t="str">
        <f aca="false">IF($B1247="","",IF(AND(OR(KARTU!$K$6="",$F1247=KARTU!$K$6),OR(KARTU!$K$7="",$G1247=KARTU!$K$7),OR(KARTU!$K$8="",$P1247=KARTU!$K$8)),MAX($AE$3:AE1246)+1,""))</f>
        <v/>
      </c>
    </row>
    <row r="1248" customFormat="false" ht="15" hidden="false" customHeight="false" outlineLevel="0" collapsed="false">
      <c r="A1248" s="35" t="str">
        <f aca="false">IF($B1248="","",COUNTA($B$4:$B1248))</f>
        <v/>
      </c>
      <c r="B1248" s="36"/>
      <c r="C1248" s="37"/>
      <c r="D1248" s="37"/>
      <c r="E1248" s="38"/>
      <c r="F1248" s="36"/>
      <c r="G1248" s="39"/>
      <c r="H1248" s="39"/>
      <c r="I1248" s="36"/>
      <c r="J1248" s="36"/>
      <c r="K1248" s="36"/>
      <c r="L1248" s="36"/>
      <c r="M1248" s="40" t="str">
        <f aca="false">IF($F1248="","",$F1248&amp;IF($G1248="",""," - RT "&amp;$G1248&amp;IF($H1248="","","/"&amp;$H1248)))</f>
        <v/>
      </c>
      <c r="N1248" s="36"/>
      <c r="O1248" s="37"/>
      <c r="P1248" s="39"/>
      <c r="Q1248" s="41"/>
      <c r="R1248" s="35" t="str">
        <f aca="true">IF(OR($B1248="",$Q1248=""),"",DATEDIF($Q1248,TODAY(),"Y"))</f>
        <v/>
      </c>
      <c r="S1248" s="40" t="str">
        <f aca="false">IF($R1248="","",INDEX(usia_label,MATCH($R1248,usia_min,1)))</f>
        <v/>
      </c>
      <c r="T1248" s="36"/>
      <c r="U1248" s="41"/>
      <c r="V1248" s="36"/>
      <c r="W1248" s="36"/>
      <c r="X1248" s="40" t="str">
        <f aca="false">IF($M1248="","",$M1248&amp;"#"&amp;COUNTIF($M$4:$M1248,$M1248))</f>
        <v/>
      </c>
      <c r="Y1248" s="40" t="str">
        <f aca="false">IF($B1248="","",IF($C1248="","NIK kosong",IF(LEN($C1248)&lt;&gt;16,"NIK bukan 16 digit",IF(COUNTIF($C$4:$C$2003,$C1248&amp;"*")&gt;1,"NIK ganda",IF(AND($D1248&lt;&gt;"",LEN($D1248)&lt;&gt;16),"No. KK bukan 16 digit",IF(AND($F1248="",$I1248=""),"Alamat kosong",IF($N1248="","Jabatan kosong",IF($O1248="","No. HP kosong",IF(AND($R1248&lt;&gt;"",$R1248&lt;17),"Usia di bawah 17","")))))))))</f>
        <v/>
      </c>
      <c r="Z1248" s="40" t="str">
        <f aca="false">IF($B1248="","",IF(AND(OR(CARI!$C$5="",ISNUMBER(SEARCH(CARI!$C$5,$B1248&amp;" "&amp;$C1248&amp;" "&amp;$D1248&amp;" "&amp;$O1248&amp;" "&amp;$I1248&amp;" "&amp;$F1248&amp;" "&amp;$J1248&amp;" "&amp;$K1248&amp;" "&amp;$L1248&amp;" "&amp;$V1248))),OR(CARI!$C$6="",$F1248=CARI!$C$6),OR(CARI!$C$7="",$G1248=CARI!$C$7),OR(CARI!$C$8="",$T1248=CARI!$C$8)),MAX($Z$3:Z1247)+1,""))</f>
        <v/>
      </c>
      <c r="AA1248" s="40" t="str">
        <f aca="false">IF($Y1248="","",MAX($AA$3:AA1247)+1)</f>
        <v/>
      </c>
      <c r="AB1248" s="40" t="str">
        <f aca="false">IF($F1248="","",$F1248&amp;"#"&amp;COUNTIF($F$4:$F1248,$F1248))</f>
        <v/>
      </c>
      <c r="AC1248" s="40" t="str">
        <f aca="false">IF($B1248="","",IF(AND(OR(CETAK!$J$10="",$F1248=CETAK!$J$10),OR(CETAK!$J$11="",$G1248=CETAK!$J$11),OR(CETAK!$J$12="",$P1248=CETAK!$J$12),OR(CETAK!$J$13="",$N1248=CETAK!$J$13),OR(CETAK!$J$14="",$T1248=CETAK!$J$14)),MAX($AC$3:AC1247)+1,""))</f>
        <v/>
      </c>
      <c r="AD1248" s="40" t="str">
        <f aca="false">IF($B1248="","",IF(AND(OR(ABSENSI!$H$10="",$F1248=ABSENSI!$H$10),OR(ABSENSI!$H$11="",$G1248=ABSENSI!$H$11),OR(ABSENSI!$H$12="",$P1248=ABSENSI!$H$12)),MAX($AD$3:AD1247)+1,""))</f>
        <v/>
      </c>
      <c r="AE1248" s="40" t="str">
        <f aca="false">IF($B1248="","",IF(AND(OR(KARTU!$K$6="",$F1248=KARTU!$K$6),OR(KARTU!$K$7="",$G1248=KARTU!$K$7),OR(KARTU!$K$8="",$P1248=KARTU!$K$8)),MAX($AE$3:AE1247)+1,""))</f>
        <v/>
      </c>
    </row>
    <row r="1249" customFormat="false" ht="15" hidden="false" customHeight="false" outlineLevel="0" collapsed="false">
      <c r="A1249" s="35" t="str">
        <f aca="false">IF($B1249="","",COUNTA($B$4:$B1249))</f>
        <v/>
      </c>
      <c r="B1249" s="36"/>
      <c r="C1249" s="37"/>
      <c r="D1249" s="37"/>
      <c r="E1249" s="38"/>
      <c r="F1249" s="36"/>
      <c r="G1249" s="39"/>
      <c r="H1249" s="39"/>
      <c r="I1249" s="36"/>
      <c r="J1249" s="36"/>
      <c r="K1249" s="36"/>
      <c r="L1249" s="36"/>
      <c r="M1249" s="40" t="str">
        <f aca="false">IF($F1249="","",$F1249&amp;IF($G1249="",""," - RT "&amp;$G1249&amp;IF($H1249="","","/"&amp;$H1249)))</f>
        <v/>
      </c>
      <c r="N1249" s="36"/>
      <c r="O1249" s="37"/>
      <c r="P1249" s="39"/>
      <c r="Q1249" s="41"/>
      <c r="R1249" s="35" t="str">
        <f aca="true">IF(OR($B1249="",$Q1249=""),"",DATEDIF($Q1249,TODAY(),"Y"))</f>
        <v/>
      </c>
      <c r="S1249" s="40" t="str">
        <f aca="false">IF($R1249="","",INDEX(usia_label,MATCH($R1249,usia_min,1)))</f>
        <v/>
      </c>
      <c r="T1249" s="36"/>
      <c r="U1249" s="41"/>
      <c r="V1249" s="36"/>
      <c r="W1249" s="36"/>
      <c r="X1249" s="40" t="str">
        <f aca="false">IF($M1249="","",$M1249&amp;"#"&amp;COUNTIF($M$4:$M1249,$M1249))</f>
        <v/>
      </c>
      <c r="Y1249" s="40" t="str">
        <f aca="false">IF($B1249="","",IF($C1249="","NIK kosong",IF(LEN($C1249)&lt;&gt;16,"NIK bukan 16 digit",IF(COUNTIF($C$4:$C$2003,$C1249&amp;"*")&gt;1,"NIK ganda",IF(AND($D1249&lt;&gt;"",LEN($D1249)&lt;&gt;16),"No. KK bukan 16 digit",IF(AND($F1249="",$I1249=""),"Alamat kosong",IF($N1249="","Jabatan kosong",IF($O1249="","No. HP kosong",IF(AND($R1249&lt;&gt;"",$R1249&lt;17),"Usia di bawah 17","")))))))))</f>
        <v/>
      </c>
      <c r="Z1249" s="40" t="str">
        <f aca="false">IF($B1249="","",IF(AND(OR(CARI!$C$5="",ISNUMBER(SEARCH(CARI!$C$5,$B1249&amp;" "&amp;$C1249&amp;" "&amp;$D1249&amp;" "&amp;$O1249&amp;" "&amp;$I1249&amp;" "&amp;$F1249&amp;" "&amp;$J1249&amp;" "&amp;$K1249&amp;" "&amp;$L1249&amp;" "&amp;$V1249))),OR(CARI!$C$6="",$F1249=CARI!$C$6),OR(CARI!$C$7="",$G1249=CARI!$C$7),OR(CARI!$C$8="",$T1249=CARI!$C$8)),MAX($Z$3:Z1248)+1,""))</f>
        <v/>
      </c>
      <c r="AA1249" s="40" t="str">
        <f aca="false">IF($Y1249="","",MAX($AA$3:AA1248)+1)</f>
        <v/>
      </c>
      <c r="AB1249" s="40" t="str">
        <f aca="false">IF($F1249="","",$F1249&amp;"#"&amp;COUNTIF($F$4:$F1249,$F1249))</f>
        <v/>
      </c>
      <c r="AC1249" s="40" t="str">
        <f aca="false">IF($B1249="","",IF(AND(OR(CETAK!$J$10="",$F1249=CETAK!$J$10),OR(CETAK!$J$11="",$G1249=CETAK!$J$11),OR(CETAK!$J$12="",$P1249=CETAK!$J$12),OR(CETAK!$J$13="",$N1249=CETAK!$J$13),OR(CETAK!$J$14="",$T1249=CETAK!$J$14)),MAX($AC$3:AC1248)+1,""))</f>
        <v/>
      </c>
      <c r="AD1249" s="40" t="str">
        <f aca="false">IF($B1249="","",IF(AND(OR(ABSENSI!$H$10="",$F1249=ABSENSI!$H$10),OR(ABSENSI!$H$11="",$G1249=ABSENSI!$H$11),OR(ABSENSI!$H$12="",$P1249=ABSENSI!$H$12)),MAX($AD$3:AD1248)+1,""))</f>
        <v/>
      </c>
      <c r="AE1249" s="40" t="str">
        <f aca="false">IF($B1249="","",IF(AND(OR(KARTU!$K$6="",$F1249=KARTU!$K$6),OR(KARTU!$K$7="",$G1249=KARTU!$K$7),OR(KARTU!$K$8="",$P1249=KARTU!$K$8)),MAX($AE$3:AE1248)+1,""))</f>
        <v/>
      </c>
    </row>
    <row r="1250" customFormat="false" ht="15" hidden="false" customHeight="false" outlineLevel="0" collapsed="false">
      <c r="A1250" s="35" t="str">
        <f aca="false">IF($B1250="","",COUNTA($B$4:$B1250))</f>
        <v/>
      </c>
      <c r="B1250" s="36"/>
      <c r="C1250" s="37"/>
      <c r="D1250" s="37"/>
      <c r="E1250" s="38"/>
      <c r="F1250" s="36"/>
      <c r="G1250" s="39"/>
      <c r="H1250" s="39"/>
      <c r="I1250" s="36"/>
      <c r="J1250" s="36"/>
      <c r="K1250" s="36"/>
      <c r="L1250" s="36"/>
      <c r="M1250" s="40" t="str">
        <f aca="false">IF($F1250="","",$F1250&amp;IF($G1250="",""," - RT "&amp;$G1250&amp;IF($H1250="","","/"&amp;$H1250)))</f>
        <v/>
      </c>
      <c r="N1250" s="36"/>
      <c r="O1250" s="37"/>
      <c r="P1250" s="39"/>
      <c r="Q1250" s="41"/>
      <c r="R1250" s="35" t="str">
        <f aca="true">IF(OR($B1250="",$Q1250=""),"",DATEDIF($Q1250,TODAY(),"Y"))</f>
        <v/>
      </c>
      <c r="S1250" s="40" t="str">
        <f aca="false">IF($R1250="","",INDEX(usia_label,MATCH($R1250,usia_min,1)))</f>
        <v/>
      </c>
      <c r="T1250" s="36"/>
      <c r="U1250" s="41"/>
      <c r="V1250" s="36"/>
      <c r="W1250" s="36"/>
      <c r="X1250" s="40" t="str">
        <f aca="false">IF($M1250="","",$M1250&amp;"#"&amp;COUNTIF($M$4:$M1250,$M1250))</f>
        <v/>
      </c>
      <c r="Y1250" s="40" t="str">
        <f aca="false">IF($B1250="","",IF($C1250="","NIK kosong",IF(LEN($C1250)&lt;&gt;16,"NIK bukan 16 digit",IF(COUNTIF($C$4:$C$2003,$C1250&amp;"*")&gt;1,"NIK ganda",IF(AND($D1250&lt;&gt;"",LEN($D1250)&lt;&gt;16),"No. KK bukan 16 digit",IF(AND($F1250="",$I1250=""),"Alamat kosong",IF($N1250="","Jabatan kosong",IF($O1250="","No. HP kosong",IF(AND($R1250&lt;&gt;"",$R1250&lt;17),"Usia di bawah 17","")))))))))</f>
        <v/>
      </c>
      <c r="Z1250" s="40" t="str">
        <f aca="false">IF($B1250="","",IF(AND(OR(CARI!$C$5="",ISNUMBER(SEARCH(CARI!$C$5,$B1250&amp;" "&amp;$C1250&amp;" "&amp;$D1250&amp;" "&amp;$O1250&amp;" "&amp;$I1250&amp;" "&amp;$F1250&amp;" "&amp;$J1250&amp;" "&amp;$K1250&amp;" "&amp;$L1250&amp;" "&amp;$V1250))),OR(CARI!$C$6="",$F1250=CARI!$C$6),OR(CARI!$C$7="",$G1250=CARI!$C$7),OR(CARI!$C$8="",$T1250=CARI!$C$8)),MAX($Z$3:Z1249)+1,""))</f>
        <v/>
      </c>
      <c r="AA1250" s="40" t="str">
        <f aca="false">IF($Y1250="","",MAX($AA$3:AA1249)+1)</f>
        <v/>
      </c>
      <c r="AB1250" s="40" t="str">
        <f aca="false">IF($F1250="","",$F1250&amp;"#"&amp;COUNTIF($F$4:$F1250,$F1250))</f>
        <v/>
      </c>
      <c r="AC1250" s="40" t="str">
        <f aca="false">IF($B1250="","",IF(AND(OR(CETAK!$J$10="",$F1250=CETAK!$J$10),OR(CETAK!$J$11="",$G1250=CETAK!$J$11),OR(CETAK!$J$12="",$P1250=CETAK!$J$12),OR(CETAK!$J$13="",$N1250=CETAK!$J$13),OR(CETAK!$J$14="",$T1250=CETAK!$J$14)),MAX($AC$3:AC1249)+1,""))</f>
        <v/>
      </c>
      <c r="AD1250" s="40" t="str">
        <f aca="false">IF($B1250="","",IF(AND(OR(ABSENSI!$H$10="",$F1250=ABSENSI!$H$10),OR(ABSENSI!$H$11="",$G1250=ABSENSI!$H$11),OR(ABSENSI!$H$12="",$P1250=ABSENSI!$H$12)),MAX($AD$3:AD1249)+1,""))</f>
        <v/>
      </c>
      <c r="AE1250" s="40" t="str">
        <f aca="false">IF($B1250="","",IF(AND(OR(KARTU!$K$6="",$F1250=KARTU!$K$6),OR(KARTU!$K$7="",$G1250=KARTU!$K$7),OR(KARTU!$K$8="",$P1250=KARTU!$K$8)),MAX($AE$3:AE1249)+1,""))</f>
        <v/>
      </c>
    </row>
    <row r="1251" customFormat="false" ht="15" hidden="false" customHeight="false" outlineLevel="0" collapsed="false">
      <c r="A1251" s="35" t="str">
        <f aca="false">IF($B1251="","",COUNTA($B$4:$B1251))</f>
        <v/>
      </c>
      <c r="B1251" s="36"/>
      <c r="C1251" s="37"/>
      <c r="D1251" s="37"/>
      <c r="E1251" s="38"/>
      <c r="F1251" s="36"/>
      <c r="G1251" s="39"/>
      <c r="H1251" s="39"/>
      <c r="I1251" s="36"/>
      <c r="J1251" s="36"/>
      <c r="K1251" s="36"/>
      <c r="L1251" s="36"/>
      <c r="M1251" s="40" t="str">
        <f aca="false">IF($F1251="","",$F1251&amp;IF($G1251="",""," - RT "&amp;$G1251&amp;IF($H1251="","","/"&amp;$H1251)))</f>
        <v/>
      </c>
      <c r="N1251" s="36"/>
      <c r="O1251" s="37"/>
      <c r="P1251" s="39"/>
      <c r="Q1251" s="41"/>
      <c r="R1251" s="35" t="str">
        <f aca="true">IF(OR($B1251="",$Q1251=""),"",DATEDIF($Q1251,TODAY(),"Y"))</f>
        <v/>
      </c>
      <c r="S1251" s="40" t="str">
        <f aca="false">IF($R1251="","",INDEX(usia_label,MATCH($R1251,usia_min,1)))</f>
        <v/>
      </c>
      <c r="T1251" s="36"/>
      <c r="U1251" s="41"/>
      <c r="V1251" s="36"/>
      <c r="W1251" s="36"/>
      <c r="X1251" s="40" t="str">
        <f aca="false">IF($M1251="","",$M1251&amp;"#"&amp;COUNTIF($M$4:$M1251,$M1251))</f>
        <v/>
      </c>
      <c r="Y1251" s="40" t="str">
        <f aca="false">IF($B1251="","",IF($C1251="","NIK kosong",IF(LEN($C1251)&lt;&gt;16,"NIK bukan 16 digit",IF(COUNTIF($C$4:$C$2003,$C1251&amp;"*")&gt;1,"NIK ganda",IF(AND($D1251&lt;&gt;"",LEN($D1251)&lt;&gt;16),"No. KK bukan 16 digit",IF(AND($F1251="",$I1251=""),"Alamat kosong",IF($N1251="","Jabatan kosong",IF($O1251="","No. HP kosong",IF(AND($R1251&lt;&gt;"",$R1251&lt;17),"Usia di bawah 17","")))))))))</f>
        <v/>
      </c>
      <c r="Z1251" s="40" t="str">
        <f aca="false">IF($B1251="","",IF(AND(OR(CARI!$C$5="",ISNUMBER(SEARCH(CARI!$C$5,$B1251&amp;" "&amp;$C1251&amp;" "&amp;$D1251&amp;" "&amp;$O1251&amp;" "&amp;$I1251&amp;" "&amp;$F1251&amp;" "&amp;$J1251&amp;" "&amp;$K1251&amp;" "&amp;$L1251&amp;" "&amp;$V1251))),OR(CARI!$C$6="",$F1251=CARI!$C$6),OR(CARI!$C$7="",$G1251=CARI!$C$7),OR(CARI!$C$8="",$T1251=CARI!$C$8)),MAX($Z$3:Z1250)+1,""))</f>
        <v/>
      </c>
      <c r="AA1251" s="40" t="str">
        <f aca="false">IF($Y1251="","",MAX($AA$3:AA1250)+1)</f>
        <v/>
      </c>
      <c r="AB1251" s="40" t="str">
        <f aca="false">IF($F1251="","",$F1251&amp;"#"&amp;COUNTIF($F$4:$F1251,$F1251))</f>
        <v/>
      </c>
      <c r="AC1251" s="40" t="str">
        <f aca="false">IF($B1251="","",IF(AND(OR(CETAK!$J$10="",$F1251=CETAK!$J$10),OR(CETAK!$J$11="",$G1251=CETAK!$J$11),OR(CETAK!$J$12="",$P1251=CETAK!$J$12),OR(CETAK!$J$13="",$N1251=CETAK!$J$13),OR(CETAK!$J$14="",$T1251=CETAK!$J$14)),MAX($AC$3:AC1250)+1,""))</f>
        <v/>
      </c>
      <c r="AD1251" s="40" t="str">
        <f aca="false">IF($B1251="","",IF(AND(OR(ABSENSI!$H$10="",$F1251=ABSENSI!$H$10),OR(ABSENSI!$H$11="",$G1251=ABSENSI!$H$11),OR(ABSENSI!$H$12="",$P1251=ABSENSI!$H$12)),MAX($AD$3:AD1250)+1,""))</f>
        <v/>
      </c>
      <c r="AE1251" s="40" t="str">
        <f aca="false">IF($B1251="","",IF(AND(OR(KARTU!$K$6="",$F1251=KARTU!$K$6),OR(KARTU!$K$7="",$G1251=KARTU!$K$7),OR(KARTU!$K$8="",$P1251=KARTU!$K$8)),MAX($AE$3:AE1250)+1,""))</f>
        <v/>
      </c>
    </row>
    <row r="1252" customFormat="false" ht="15" hidden="false" customHeight="false" outlineLevel="0" collapsed="false">
      <c r="A1252" s="35" t="str">
        <f aca="false">IF($B1252="","",COUNTA($B$4:$B1252))</f>
        <v/>
      </c>
      <c r="B1252" s="36"/>
      <c r="C1252" s="37"/>
      <c r="D1252" s="37"/>
      <c r="E1252" s="38"/>
      <c r="F1252" s="36"/>
      <c r="G1252" s="39"/>
      <c r="H1252" s="39"/>
      <c r="I1252" s="36"/>
      <c r="J1252" s="36"/>
      <c r="K1252" s="36"/>
      <c r="L1252" s="36"/>
      <c r="M1252" s="40" t="str">
        <f aca="false">IF($F1252="","",$F1252&amp;IF($G1252="",""," - RT "&amp;$G1252&amp;IF($H1252="","","/"&amp;$H1252)))</f>
        <v/>
      </c>
      <c r="N1252" s="36"/>
      <c r="O1252" s="37"/>
      <c r="P1252" s="39"/>
      <c r="Q1252" s="41"/>
      <c r="R1252" s="35" t="str">
        <f aca="true">IF(OR($B1252="",$Q1252=""),"",DATEDIF($Q1252,TODAY(),"Y"))</f>
        <v/>
      </c>
      <c r="S1252" s="40" t="str">
        <f aca="false">IF($R1252="","",INDEX(usia_label,MATCH($R1252,usia_min,1)))</f>
        <v/>
      </c>
      <c r="T1252" s="36"/>
      <c r="U1252" s="41"/>
      <c r="V1252" s="36"/>
      <c r="W1252" s="36"/>
      <c r="X1252" s="40" t="str">
        <f aca="false">IF($M1252="","",$M1252&amp;"#"&amp;COUNTIF($M$4:$M1252,$M1252))</f>
        <v/>
      </c>
      <c r="Y1252" s="40" t="str">
        <f aca="false">IF($B1252="","",IF($C1252="","NIK kosong",IF(LEN($C1252)&lt;&gt;16,"NIK bukan 16 digit",IF(COUNTIF($C$4:$C$2003,$C1252&amp;"*")&gt;1,"NIK ganda",IF(AND($D1252&lt;&gt;"",LEN($D1252)&lt;&gt;16),"No. KK bukan 16 digit",IF(AND($F1252="",$I1252=""),"Alamat kosong",IF($N1252="","Jabatan kosong",IF($O1252="","No. HP kosong",IF(AND($R1252&lt;&gt;"",$R1252&lt;17),"Usia di bawah 17","")))))))))</f>
        <v/>
      </c>
      <c r="Z1252" s="40" t="str">
        <f aca="false">IF($B1252="","",IF(AND(OR(CARI!$C$5="",ISNUMBER(SEARCH(CARI!$C$5,$B1252&amp;" "&amp;$C1252&amp;" "&amp;$D1252&amp;" "&amp;$O1252&amp;" "&amp;$I1252&amp;" "&amp;$F1252&amp;" "&amp;$J1252&amp;" "&amp;$K1252&amp;" "&amp;$L1252&amp;" "&amp;$V1252))),OR(CARI!$C$6="",$F1252=CARI!$C$6),OR(CARI!$C$7="",$G1252=CARI!$C$7),OR(CARI!$C$8="",$T1252=CARI!$C$8)),MAX($Z$3:Z1251)+1,""))</f>
        <v/>
      </c>
      <c r="AA1252" s="40" t="str">
        <f aca="false">IF($Y1252="","",MAX($AA$3:AA1251)+1)</f>
        <v/>
      </c>
      <c r="AB1252" s="40" t="str">
        <f aca="false">IF($F1252="","",$F1252&amp;"#"&amp;COUNTIF($F$4:$F1252,$F1252))</f>
        <v/>
      </c>
      <c r="AC1252" s="40" t="str">
        <f aca="false">IF($B1252="","",IF(AND(OR(CETAK!$J$10="",$F1252=CETAK!$J$10),OR(CETAK!$J$11="",$G1252=CETAK!$J$11),OR(CETAK!$J$12="",$P1252=CETAK!$J$12),OR(CETAK!$J$13="",$N1252=CETAK!$J$13),OR(CETAK!$J$14="",$T1252=CETAK!$J$14)),MAX($AC$3:AC1251)+1,""))</f>
        <v/>
      </c>
      <c r="AD1252" s="40" t="str">
        <f aca="false">IF($B1252="","",IF(AND(OR(ABSENSI!$H$10="",$F1252=ABSENSI!$H$10),OR(ABSENSI!$H$11="",$G1252=ABSENSI!$H$11),OR(ABSENSI!$H$12="",$P1252=ABSENSI!$H$12)),MAX($AD$3:AD1251)+1,""))</f>
        <v/>
      </c>
      <c r="AE1252" s="40" t="str">
        <f aca="false">IF($B1252="","",IF(AND(OR(KARTU!$K$6="",$F1252=KARTU!$K$6),OR(KARTU!$K$7="",$G1252=KARTU!$K$7),OR(KARTU!$K$8="",$P1252=KARTU!$K$8)),MAX($AE$3:AE1251)+1,""))</f>
        <v/>
      </c>
    </row>
    <row r="1253" customFormat="false" ht="15" hidden="false" customHeight="false" outlineLevel="0" collapsed="false">
      <c r="A1253" s="35" t="str">
        <f aca="false">IF($B1253="","",COUNTA($B$4:$B1253))</f>
        <v/>
      </c>
      <c r="B1253" s="36"/>
      <c r="C1253" s="37"/>
      <c r="D1253" s="37"/>
      <c r="E1253" s="38"/>
      <c r="F1253" s="36"/>
      <c r="G1253" s="39"/>
      <c r="H1253" s="39"/>
      <c r="I1253" s="36"/>
      <c r="J1253" s="36"/>
      <c r="K1253" s="36"/>
      <c r="L1253" s="36"/>
      <c r="M1253" s="40" t="str">
        <f aca="false">IF($F1253="","",$F1253&amp;IF($G1253="",""," - RT "&amp;$G1253&amp;IF($H1253="","","/"&amp;$H1253)))</f>
        <v/>
      </c>
      <c r="N1253" s="36"/>
      <c r="O1253" s="37"/>
      <c r="P1253" s="39"/>
      <c r="Q1253" s="41"/>
      <c r="R1253" s="35" t="str">
        <f aca="true">IF(OR($B1253="",$Q1253=""),"",DATEDIF($Q1253,TODAY(),"Y"))</f>
        <v/>
      </c>
      <c r="S1253" s="40" t="str">
        <f aca="false">IF($R1253="","",INDEX(usia_label,MATCH($R1253,usia_min,1)))</f>
        <v/>
      </c>
      <c r="T1253" s="36"/>
      <c r="U1253" s="41"/>
      <c r="V1253" s="36"/>
      <c r="W1253" s="36"/>
      <c r="X1253" s="40" t="str">
        <f aca="false">IF($M1253="","",$M1253&amp;"#"&amp;COUNTIF($M$4:$M1253,$M1253))</f>
        <v/>
      </c>
      <c r="Y1253" s="40" t="str">
        <f aca="false">IF($B1253="","",IF($C1253="","NIK kosong",IF(LEN($C1253)&lt;&gt;16,"NIK bukan 16 digit",IF(COUNTIF($C$4:$C$2003,$C1253&amp;"*")&gt;1,"NIK ganda",IF(AND($D1253&lt;&gt;"",LEN($D1253)&lt;&gt;16),"No. KK bukan 16 digit",IF(AND($F1253="",$I1253=""),"Alamat kosong",IF($N1253="","Jabatan kosong",IF($O1253="","No. HP kosong",IF(AND($R1253&lt;&gt;"",$R1253&lt;17),"Usia di bawah 17","")))))))))</f>
        <v/>
      </c>
      <c r="Z1253" s="40" t="str">
        <f aca="false">IF($B1253="","",IF(AND(OR(CARI!$C$5="",ISNUMBER(SEARCH(CARI!$C$5,$B1253&amp;" "&amp;$C1253&amp;" "&amp;$D1253&amp;" "&amp;$O1253&amp;" "&amp;$I1253&amp;" "&amp;$F1253&amp;" "&amp;$J1253&amp;" "&amp;$K1253&amp;" "&amp;$L1253&amp;" "&amp;$V1253))),OR(CARI!$C$6="",$F1253=CARI!$C$6),OR(CARI!$C$7="",$G1253=CARI!$C$7),OR(CARI!$C$8="",$T1253=CARI!$C$8)),MAX($Z$3:Z1252)+1,""))</f>
        <v/>
      </c>
      <c r="AA1253" s="40" t="str">
        <f aca="false">IF($Y1253="","",MAX($AA$3:AA1252)+1)</f>
        <v/>
      </c>
      <c r="AB1253" s="40" t="str">
        <f aca="false">IF($F1253="","",$F1253&amp;"#"&amp;COUNTIF($F$4:$F1253,$F1253))</f>
        <v/>
      </c>
      <c r="AC1253" s="40" t="str">
        <f aca="false">IF($B1253="","",IF(AND(OR(CETAK!$J$10="",$F1253=CETAK!$J$10),OR(CETAK!$J$11="",$G1253=CETAK!$J$11),OR(CETAK!$J$12="",$P1253=CETAK!$J$12),OR(CETAK!$J$13="",$N1253=CETAK!$J$13),OR(CETAK!$J$14="",$T1253=CETAK!$J$14)),MAX($AC$3:AC1252)+1,""))</f>
        <v/>
      </c>
      <c r="AD1253" s="40" t="str">
        <f aca="false">IF($B1253="","",IF(AND(OR(ABSENSI!$H$10="",$F1253=ABSENSI!$H$10),OR(ABSENSI!$H$11="",$G1253=ABSENSI!$H$11),OR(ABSENSI!$H$12="",$P1253=ABSENSI!$H$12)),MAX($AD$3:AD1252)+1,""))</f>
        <v/>
      </c>
      <c r="AE1253" s="40" t="str">
        <f aca="false">IF($B1253="","",IF(AND(OR(KARTU!$K$6="",$F1253=KARTU!$K$6),OR(KARTU!$K$7="",$G1253=KARTU!$K$7),OR(KARTU!$K$8="",$P1253=KARTU!$K$8)),MAX($AE$3:AE1252)+1,""))</f>
        <v/>
      </c>
    </row>
    <row r="1254" customFormat="false" ht="15" hidden="false" customHeight="false" outlineLevel="0" collapsed="false">
      <c r="A1254" s="35" t="str">
        <f aca="false">IF($B1254="","",COUNTA($B$4:$B1254))</f>
        <v/>
      </c>
      <c r="B1254" s="36"/>
      <c r="C1254" s="37"/>
      <c r="D1254" s="37"/>
      <c r="E1254" s="38"/>
      <c r="F1254" s="36"/>
      <c r="G1254" s="39"/>
      <c r="H1254" s="39"/>
      <c r="I1254" s="36"/>
      <c r="J1254" s="36"/>
      <c r="K1254" s="36"/>
      <c r="L1254" s="36"/>
      <c r="M1254" s="40" t="str">
        <f aca="false">IF($F1254="","",$F1254&amp;IF($G1254="",""," - RT "&amp;$G1254&amp;IF($H1254="","","/"&amp;$H1254)))</f>
        <v/>
      </c>
      <c r="N1254" s="36"/>
      <c r="O1254" s="37"/>
      <c r="P1254" s="39"/>
      <c r="Q1254" s="41"/>
      <c r="R1254" s="35" t="str">
        <f aca="true">IF(OR($B1254="",$Q1254=""),"",DATEDIF($Q1254,TODAY(),"Y"))</f>
        <v/>
      </c>
      <c r="S1254" s="40" t="str">
        <f aca="false">IF($R1254="","",INDEX(usia_label,MATCH($R1254,usia_min,1)))</f>
        <v/>
      </c>
      <c r="T1254" s="36"/>
      <c r="U1254" s="41"/>
      <c r="V1254" s="36"/>
      <c r="W1254" s="36"/>
      <c r="X1254" s="40" t="str">
        <f aca="false">IF($M1254="","",$M1254&amp;"#"&amp;COUNTIF($M$4:$M1254,$M1254))</f>
        <v/>
      </c>
      <c r="Y1254" s="40" t="str">
        <f aca="false">IF($B1254="","",IF($C1254="","NIK kosong",IF(LEN($C1254)&lt;&gt;16,"NIK bukan 16 digit",IF(COUNTIF($C$4:$C$2003,$C1254&amp;"*")&gt;1,"NIK ganda",IF(AND($D1254&lt;&gt;"",LEN($D1254)&lt;&gt;16),"No. KK bukan 16 digit",IF(AND($F1254="",$I1254=""),"Alamat kosong",IF($N1254="","Jabatan kosong",IF($O1254="","No. HP kosong",IF(AND($R1254&lt;&gt;"",$R1254&lt;17),"Usia di bawah 17","")))))))))</f>
        <v/>
      </c>
      <c r="Z1254" s="40" t="str">
        <f aca="false">IF($B1254="","",IF(AND(OR(CARI!$C$5="",ISNUMBER(SEARCH(CARI!$C$5,$B1254&amp;" "&amp;$C1254&amp;" "&amp;$D1254&amp;" "&amp;$O1254&amp;" "&amp;$I1254&amp;" "&amp;$F1254&amp;" "&amp;$J1254&amp;" "&amp;$K1254&amp;" "&amp;$L1254&amp;" "&amp;$V1254))),OR(CARI!$C$6="",$F1254=CARI!$C$6),OR(CARI!$C$7="",$G1254=CARI!$C$7),OR(CARI!$C$8="",$T1254=CARI!$C$8)),MAX($Z$3:Z1253)+1,""))</f>
        <v/>
      </c>
      <c r="AA1254" s="40" t="str">
        <f aca="false">IF($Y1254="","",MAX($AA$3:AA1253)+1)</f>
        <v/>
      </c>
      <c r="AB1254" s="40" t="str">
        <f aca="false">IF($F1254="","",$F1254&amp;"#"&amp;COUNTIF($F$4:$F1254,$F1254))</f>
        <v/>
      </c>
      <c r="AC1254" s="40" t="str">
        <f aca="false">IF($B1254="","",IF(AND(OR(CETAK!$J$10="",$F1254=CETAK!$J$10),OR(CETAK!$J$11="",$G1254=CETAK!$J$11),OR(CETAK!$J$12="",$P1254=CETAK!$J$12),OR(CETAK!$J$13="",$N1254=CETAK!$J$13),OR(CETAK!$J$14="",$T1254=CETAK!$J$14)),MAX($AC$3:AC1253)+1,""))</f>
        <v/>
      </c>
      <c r="AD1254" s="40" t="str">
        <f aca="false">IF($B1254="","",IF(AND(OR(ABSENSI!$H$10="",$F1254=ABSENSI!$H$10),OR(ABSENSI!$H$11="",$G1254=ABSENSI!$H$11),OR(ABSENSI!$H$12="",$P1254=ABSENSI!$H$12)),MAX($AD$3:AD1253)+1,""))</f>
        <v/>
      </c>
      <c r="AE1254" s="40" t="str">
        <f aca="false">IF($B1254="","",IF(AND(OR(KARTU!$K$6="",$F1254=KARTU!$K$6),OR(KARTU!$K$7="",$G1254=KARTU!$K$7),OR(KARTU!$K$8="",$P1254=KARTU!$K$8)),MAX($AE$3:AE1253)+1,""))</f>
        <v/>
      </c>
    </row>
    <row r="1255" customFormat="false" ht="15" hidden="false" customHeight="false" outlineLevel="0" collapsed="false">
      <c r="A1255" s="35" t="str">
        <f aca="false">IF($B1255="","",COUNTA($B$4:$B1255))</f>
        <v/>
      </c>
      <c r="B1255" s="36"/>
      <c r="C1255" s="37"/>
      <c r="D1255" s="37"/>
      <c r="E1255" s="38"/>
      <c r="F1255" s="36"/>
      <c r="G1255" s="39"/>
      <c r="H1255" s="39"/>
      <c r="I1255" s="36"/>
      <c r="J1255" s="36"/>
      <c r="K1255" s="36"/>
      <c r="L1255" s="36"/>
      <c r="M1255" s="40" t="str">
        <f aca="false">IF($F1255="","",$F1255&amp;IF($G1255="",""," - RT "&amp;$G1255&amp;IF($H1255="","","/"&amp;$H1255)))</f>
        <v/>
      </c>
      <c r="N1255" s="36"/>
      <c r="O1255" s="37"/>
      <c r="P1255" s="39"/>
      <c r="Q1255" s="41"/>
      <c r="R1255" s="35" t="str">
        <f aca="true">IF(OR($B1255="",$Q1255=""),"",DATEDIF($Q1255,TODAY(),"Y"))</f>
        <v/>
      </c>
      <c r="S1255" s="40" t="str">
        <f aca="false">IF($R1255="","",INDEX(usia_label,MATCH($R1255,usia_min,1)))</f>
        <v/>
      </c>
      <c r="T1255" s="36"/>
      <c r="U1255" s="41"/>
      <c r="V1255" s="36"/>
      <c r="W1255" s="36"/>
      <c r="X1255" s="40" t="str">
        <f aca="false">IF($M1255="","",$M1255&amp;"#"&amp;COUNTIF($M$4:$M1255,$M1255))</f>
        <v/>
      </c>
      <c r="Y1255" s="40" t="str">
        <f aca="false">IF($B1255="","",IF($C1255="","NIK kosong",IF(LEN($C1255)&lt;&gt;16,"NIK bukan 16 digit",IF(COUNTIF($C$4:$C$2003,$C1255&amp;"*")&gt;1,"NIK ganda",IF(AND($D1255&lt;&gt;"",LEN($D1255)&lt;&gt;16),"No. KK bukan 16 digit",IF(AND($F1255="",$I1255=""),"Alamat kosong",IF($N1255="","Jabatan kosong",IF($O1255="","No. HP kosong",IF(AND($R1255&lt;&gt;"",$R1255&lt;17),"Usia di bawah 17","")))))))))</f>
        <v/>
      </c>
      <c r="Z1255" s="40" t="str">
        <f aca="false">IF($B1255="","",IF(AND(OR(CARI!$C$5="",ISNUMBER(SEARCH(CARI!$C$5,$B1255&amp;" "&amp;$C1255&amp;" "&amp;$D1255&amp;" "&amp;$O1255&amp;" "&amp;$I1255&amp;" "&amp;$F1255&amp;" "&amp;$J1255&amp;" "&amp;$K1255&amp;" "&amp;$L1255&amp;" "&amp;$V1255))),OR(CARI!$C$6="",$F1255=CARI!$C$6),OR(CARI!$C$7="",$G1255=CARI!$C$7),OR(CARI!$C$8="",$T1255=CARI!$C$8)),MAX($Z$3:Z1254)+1,""))</f>
        <v/>
      </c>
      <c r="AA1255" s="40" t="str">
        <f aca="false">IF($Y1255="","",MAX($AA$3:AA1254)+1)</f>
        <v/>
      </c>
      <c r="AB1255" s="40" t="str">
        <f aca="false">IF($F1255="","",$F1255&amp;"#"&amp;COUNTIF($F$4:$F1255,$F1255))</f>
        <v/>
      </c>
      <c r="AC1255" s="40" t="str">
        <f aca="false">IF($B1255="","",IF(AND(OR(CETAK!$J$10="",$F1255=CETAK!$J$10),OR(CETAK!$J$11="",$G1255=CETAK!$J$11),OR(CETAK!$J$12="",$P1255=CETAK!$J$12),OR(CETAK!$J$13="",$N1255=CETAK!$J$13),OR(CETAK!$J$14="",$T1255=CETAK!$J$14)),MAX($AC$3:AC1254)+1,""))</f>
        <v/>
      </c>
      <c r="AD1255" s="40" t="str">
        <f aca="false">IF($B1255="","",IF(AND(OR(ABSENSI!$H$10="",$F1255=ABSENSI!$H$10),OR(ABSENSI!$H$11="",$G1255=ABSENSI!$H$11),OR(ABSENSI!$H$12="",$P1255=ABSENSI!$H$12)),MAX($AD$3:AD1254)+1,""))</f>
        <v/>
      </c>
      <c r="AE1255" s="40" t="str">
        <f aca="false">IF($B1255="","",IF(AND(OR(KARTU!$K$6="",$F1255=KARTU!$K$6),OR(KARTU!$K$7="",$G1255=KARTU!$K$7),OR(KARTU!$K$8="",$P1255=KARTU!$K$8)),MAX($AE$3:AE1254)+1,""))</f>
        <v/>
      </c>
    </row>
    <row r="1256" customFormat="false" ht="15" hidden="false" customHeight="false" outlineLevel="0" collapsed="false">
      <c r="A1256" s="35" t="str">
        <f aca="false">IF($B1256="","",COUNTA($B$4:$B1256))</f>
        <v/>
      </c>
      <c r="B1256" s="36"/>
      <c r="C1256" s="37"/>
      <c r="D1256" s="37"/>
      <c r="E1256" s="38"/>
      <c r="F1256" s="36"/>
      <c r="G1256" s="39"/>
      <c r="H1256" s="39"/>
      <c r="I1256" s="36"/>
      <c r="J1256" s="36"/>
      <c r="K1256" s="36"/>
      <c r="L1256" s="36"/>
      <c r="M1256" s="40" t="str">
        <f aca="false">IF($F1256="","",$F1256&amp;IF($G1256="",""," - RT "&amp;$G1256&amp;IF($H1256="","","/"&amp;$H1256)))</f>
        <v/>
      </c>
      <c r="N1256" s="36"/>
      <c r="O1256" s="37"/>
      <c r="P1256" s="39"/>
      <c r="Q1256" s="41"/>
      <c r="R1256" s="35" t="str">
        <f aca="true">IF(OR($B1256="",$Q1256=""),"",DATEDIF($Q1256,TODAY(),"Y"))</f>
        <v/>
      </c>
      <c r="S1256" s="40" t="str">
        <f aca="false">IF($R1256="","",INDEX(usia_label,MATCH($R1256,usia_min,1)))</f>
        <v/>
      </c>
      <c r="T1256" s="36"/>
      <c r="U1256" s="41"/>
      <c r="V1256" s="36"/>
      <c r="W1256" s="36"/>
      <c r="X1256" s="40" t="str">
        <f aca="false">IF($M1256="","",$M1256&amp;"#"&amp;COUNTIF($M$4:$M1256,$M1256))</f>
        <v/>
      </c>
      <c r="Y1256" s="40" t="str">
        <f aca="false">IF($B1256="","",IF($C1256="","NIK kosong",IF(LEN($C1256)&lt;&gt;16,"NIK bukan 16 digit",IF(COUNTIF($C$4:$C$2003,$C1256&amp;"*")&gt;1,"NIK ganda",IF(AND($D1256&lt;&gt;"",LEN($D1256)&lt;&gt;16),"No. KK bukan 16 digit",IF(AND($F1256="",$I1256=""),"Alamat kosong",IF($N1256="","Jabatan kosong",IF($O1256="","No. HP kosong",IF(AND($R1256&lt;&gt;"",$R1256&lt;17),"Usia di bawah 17","")))))))))</f>
        <v/>
      </c>
      <c r="Z1256" s="40" t="str">
        <f aca="false">IF($B1256="","",IF(AND(OR(CARI!$C$5="",ISNUMBER(SEARCH(CARI!$C$5,$B1256&amp;" "&amp;$C1256&amp;" "&amp;$D1256&amp;" "&amp;$O1256&amp;" "&amp;$I1256&amp;" "&amp;$F1256&amp;" "&amp;$J1256&amp;" "&amp;$K1256&amp;" "&amp;$L1256&amp;" "&amp;$V1256))),OR(CARI!$C$6="",$F1256=CARI!$C$6),OR(CARI!$C$7="",$G1256=CARI!$C$7),OR(CARI!$C$8="",$T1256=CARI!$C$8)),MAX($Z$3:Z1255)+1,""))</f>
        <v/>
      </c>
      <c r="AA1256" s="40" t="str">
        <f aca="false">IF($Y1256="","",MAX($AA$3:AA1255)+1)</f>
        <v/>
      </c>
      <c r="AB1256" s="40" t="str">
        <f aca="false">IF($F1256="","",$F1256&amp;"#"&amp;COUNTIF($F$4:$F1256,$F1256))</f>
        <v/>
      </c>
      <c r="AC1256" s="40" t="str">
        <f aca="false">IF($B1256="","",IF(AND(OR(CETAK!$J$10="",$F1256=CETAK!$J$10),OR(CETAK!$J$11="",$G1256=CETAK!$J$11),OR(CETAK!$J$12="",$P1256=CETAK!$J$12),OR(CETAK!$J$13="",$N1256=CETAK!$J$13),OR(CETAK!$J$14="",$T1256=CETAK!$J$14)),MAX($AC$3:AC1255)+1,""))</f>
        <v/>
      </c>
      <c r="AD1256" s="40" t="str">
        <f aca="false">IF($B1256="","",IF(AND(OR(ABSENSI!$H$10="",$F1256=ABSENSI!$H$10),OR(ABSENSI!$H$11="",$G1256=ABSENSI!$H$11),OR(ABSENSI!$H$12="",$P1256=ABSENSI!$H$12)),MAX($AD$3:AD1255)+1,""))</f>
        <v/>
      </c>
      <c r="AE1256" s="40" t="str">
        <f aca="false">IF($B1256="","",IF(AND(OR(KARTU!$K$6="",$F1256=KARTU!$K$6),OR(KARTU!$K$7="",$G1256=KARTU!$K$7),OR(KARTU!$K$8="",$P1256=KARTU!$K$8)),MAX($AE$3:AE1255)+1,""))</f>
        <v/>
      </c>
    </row>
    <row r="1257" customFormat="false" ht="15" hidden="false" customHeight="false" outlineLevel="0" collapsed="false">
      <c r="A1257" s="35" t="str">
        <f aca="false">IF($B1257="","",COUNTA($B$4:$B1257))</f>
        <v/>
      </c>
      <c r="B1257" s="36"/>
      <c r="C1257" s="37"/>
      <c r="D1257" s="37"/>
      <c r="E1257" s="38"/>
      <c r="F1257" s="36"/>
      <c r="G1257" s="39"/>
      <c r="H1257" s="39"/>
      <c r="I1257" s="36"/>
      <c r="J1257" s="36"/>
      <c r="K1257" s="36"/>
      <c r="L1257" s="36"/>
      <c r="M1257" s="40" t="str">
        <f aca="false">IF($F1257="","",$F1257&amp;IF($G1257="",""," - RT "&amp;$G1257&amp;IF($H1257="","","/"&amp;$H1257)))</f>
        <v/>
      </c>
      <c r="N1257" s="36"/>
      <c r="O1257" s="37"/>
      <c r="P1257" s="39"/>
      <c r="Q1257" s="41"/>
      <c r="R1257" s="35" t="str">
        <f aca="true">IF(OR($B1257="",$Q1257=""),"",DATEDIF($Q1257,TODAY(),"Y"))</f>
        <v/>
      </c>
      <c r="S1257" s="40" t="str">
        <f aca="false">IF($R1257="","",INDEX(usia_label,MATCH($R1257,usia_min,1)))</f>
        <v/>
      </c>
      <c r="T1257" s="36"/>
      <c r="U1257" s="41"/>
      <c r="V1257" s="36"/>
      <c r="W1257" s="36"/>
      <c r="X1257" s="40" t="str">
        <f aca="false">IF($M1257="","",$M1257&amp;"#"&amp;COUNTIF($M$4:$M1257,$M1257))</f>
        <v/>
      </c>
      <c r="Y1257" s="40" t="str">
        <f aca="false">IF($B1257="","",IF($C1257="","NIK kosong",IF(LEN($C1257)&lt;&gt;16,"NIK bukan 16 digit",IF(COUNTIF($C$4:$C$2003,$C1257&amp;"*")&gt;1,"NIK ganda",IF(AND($D1257&lt;&gt;"",LEN($D1257)&lt;&gt;16),"No. KK bukan 16 digit",IF(AND($F1257="",$I1257=""),"Alamat kosong",IF($N1257="","Jabatan kosong",IF($O1257="","No. HP kosong",IF(AND($R1257&lt;&gt;"",$R1257&lt;17),"Usia di bawah 17","")))))))))</f>
        <v/>
      </c>
      <c r="Z1257" s="40" t="str">
        <f aca="false">IF($B1257="","",IF(AND(OR(CARI!$C$5="",ISNUMBER(SEARCH(CARI!$C$5,$B1257&amp;" "&amp;$C1257&amp;" "&amp;$D1257&amp;" "&amp;$O1257&amp;" "&amp;$I1257&amp;" "&amp;$F1257&amp;" "&amp;$J1257&amp;" "&amp;$K1257&amp;" "&amp;$L1257&amp;" "&amp;$V1257))),OR(CARI!$C$6="",$F1257=CARI!$C$6),OR(CARI!$C$7="",$G1257=CARI!$C$7),OR(CARI!$C$8="",$T1257=CARI!$C$8)),MAX($Z$3:Z1256)+1,""))</f>
        <v/>
      </c>
      <c r="AA1257" s="40" t="str">
        <f aca="false">IF($Y1257="","",MAX($AA$3:AA1256)+1)</f>
        <v/>
      </c>
      <c r="AB1257" s="40" t="str">
        <f aca="false">IF($F1257="","",$F1257&amp;"#"&amp;COUNTIF($F$4:$F1257,$F1257))</f>
        <v/>
      </c>
      <c r="AC1257" s="40" t="str">
        <f aca="false">IF($B1257="","",IF(AND(OR(CETAK!$J$10="",$F1257=CETAK!$J$10),OR(CETAK!$J$11="",$G1257=CETAK!$J$11),OR(CETAK!$J$12="",$P1257=CETAK!$J$12),OR(CETAK!$J$13="",$N1257=CETAK!$J$13),OR(CETAK!$J$14="",$T1257=CETAK!$J$14)),MAX($AC$3:AC1256)+1,""))</f>
        <v/>
      </c>
      <c r="AD1257" s="40" t="str">
        <f aca="false">IF($B1257="","",IF(AND(OR(ABSENSI!$H$10="",$F1257=ABSENSI!$H$10),OR(ABSENSI!$H$11="",$G1257=ABSENSI!$H$11),OR(ABSENSI!$H$12="",$P1257=ABSENSI!$H$12)),MAX($AD$3:AD1256)+1,""))</f>
        <v/>
      </c>
      <c r="AE1257" s="40" t="str">
        <f aca="false">IF($B1257="","",IF(AND(OR(KARTU!$K$6="",$F1257=KARTU!$K$6),OR(KARTU!$K$7="",$G1257=KARTU!$K$7),OR(KARTU!$K$8="",$P1257=KARTU!$K$8)),MAX($AE$3:AE1256)+1,""))</f>
        <v/>
      </c>
    </row>
    <row r="1258" customFormat="false" ht="15" hidden="false" customHeight="false" outlineLevel="0" collapsed="false">
      <c r="A1258" s="35" t="str">
        <f aca="false">IF($B1258="","",COUNTA($B$4:$B1258))</f>
        <v/>
      </c>
      <c r="B1258" s="36"/>
      <c r="C1258" s="37"/>
      <c r="D1258" s="37"/>
      <c r="E1258" s="38"/>
      <c r="F1258" s="36"/>
      <c r="G1258" s="39"/>
      <c r="H1258" s="39"/>
      <c r="I1258" s="36"/>
      <c r="J1258" s="36"/>
      <c r="K1258" s="36"/>
      <c r="L1258" s="36"/>
      <c r="M1258" s="40" t="str">
        <f aca="false">IF($F1258="","",$F1258&amp;IF($G1258="",""," - RT "&amp;$G1258&amp;IF($H1258="","","/"&amp;$H1258)))</f>
        <v/>
      </c>
      <c r="N1258" s="36"/>
      <c r="O1258" s="37"/>
      <c r="P1258" s="39"/>
      <c r="Q1258" s="41"/>
      <c r="R1258" s="35" t="str">
        <f aca="true">IF(OR($B1258="",$Q1258=""),"",DATEDIF($Q1258,TODAY(),"Y"))</f>
        <v/>
      </c>
      <c r="S1258" s="40" t="str">
        <f aca="false">IF($R1258="","",INDEX(usia_label,MATCH($R1258,usia_min,1)))</f>
        <v/>
      </c>
      <c r="T1258" s="36"/>
      <c r="U1258" s="41"/>
      <c r="V1258" s="36"/>
      <c r="W1258" s="36"/>
      <c r="X1258" s="40" t="str">
        <f aca="false">IF($M1258="","",$M1258&amp;"#"&amp;COUNTIF($M$4:$M1258,$M1258))</f>
        <v/>
      </c>
      <c r="Y1258" s="40" t="str">
        <f aca="false">IF($B1258="","",IF($C1258="","NIK kosong",IF(LEN($C1258)&lt;&gt;16,"NIK bukan 16 digit",IF(COUNTIF($C$4:$C$2003,$C1258&amp;"*")&gt;1,"NIK ganda",IF(AND($D1258&lt;&gt;"",LEN($D1258)&lt;&gt;16),"No. KK bukan 16 digit",IF(AND($F1258="",$I1258=""),"Alamat kosong",IF($N1258="","Jabatan kosong",IF($O1258="","No. HP kosong",IF(AND($R1258&lt;&gt;"",$R1258&lt;17),"Usia di bawah 17","")))))))))</f>
        <v/>
      </c>
      <c r="Z1258" s="40" t="str">
        <f aca="false">IF($B1258="","",IF(AND(OR(CARI!$C$5="",ISNUMBER(SEARCH(CARI!$C$5,$B1258&amp;" "&amp;$C1258&amp;" "&amp;$D1258&amp;" "&amp;$O1258&amp;" "&amp;$I1258&amp;" "&amp;$F1258&amp;" "&amp;$J1258&amp;" "&amp;$K1258&amp;" "&amp;$L1258&amp;" "&amp;$V1258))),OR(CARI!$C$6="",$F1258=CARI!$C$6),OR(CARI!$C$7="",$G1258=CARI!$C$7),OR(CARI!$C$8="",$T1258=CARI!$C$8)),MAX($Z$3:Z1257)+1,""))</f>
        <v/>
      </c>
      <c r="AA1258" s="40" t="str">
        <f aca="false">IF($Y1258="","",MAX($AA$3:AA1257)+1)</f>
        <v/>
      </c>
      <c r="AB1258" s="40" t="str">
        <f aca="false">IF($F1258="","",$F1258&amp;"#"&amp;COUNTIF($F$4:$F1258,$F1258))</f>
        <v/>
      </c>
      <c r="AC1258" s="40" t="str">
        <f aca="false">IF($B1258="","",IF(AND(OR(CETAK!$J$10="",$F1258=CETAK!$J$10),OR(CETAK!$J$11="",$G1258=CETAK!$J$11),OR(CETAK!$J$12="",$P1258=CETAK!$J$12),OR(CETAK!$J$13="",$N1258=CETAK!$J$13),OR(CETAK!$J$14="",$T1258=CETAK!$J$14)),MAX($AC$3:AC1257)+1,""))</f>
        <v/>
      </c>
      <c r="AD1258" s="40" t="str">
        <f aca="false">IF($B1258="","",IF(AND(OR(ABSENSI!$H$10="",$F1258=ABSENSI!$H$10),OR(ABSENSI!$H$11="",$G1258=ABSENSI!$H$11),OR(ABSENSI!$H$12="",$P1258=ABSENSI!$H$12)),MAX($AD$3:AD1257)+1,""))</f>
        <v/>
      </c>
      <c r="AE1258" s="40" t="str">
        <f aca="false">IF($B1258="","",IF(AND(OR(KARTU!$K$6="",$F1258=KARTU!$K$6),OR(KARTU!$K$7="",$G1258=KARTU!$K$7),OR(KARTU!$K$8="",$P1258=KARTU!$K$8)),MAX($AE$3:AE1257)+1,""))</f>
        <v/>
      </c>
    </row>
    <row r="1259" customFormat="false" ht="15" hidden="false" customHeight="false" outlineLevel="0" collapsed="false">
      <c r="A1259" s="35" t="str">
        <f aca="false">IF($B1259="","",COUNTA($B$4:$B1259))</f>
        <v/>
      </c>
      <c r="B1259" s="36"/>
      <c r="C1259" s="37"/>
      <c r="D1259" s="37"/>
      <c r="E1259" s="38"/>
      <c r="F1259" s="36"/>
      <c r="G1259" s="39"/>
      <c r="H1259" s="39"/>
      <c r="I1259" s="36"/>
      <c r="J1259" s="36"/>
      <c r="K1259" s="36"/>
      <c r="L1259" s="36"/>
      <c r="M1259" s="40" t="str">
        <f aca="false">IF($F1259="","",$F1259&amp;IF($G1259="",""," - RT "&amp;$G1259&amp;IF($H1259="","","/"&amp;$H1259)))</f>
        <v/>
      </c>
      <c r="N1259" s="36"/>
      <c r="O1259" s="37"/>
      <c r="P1259" s="39"/>
      <c r="Q1259" s="41"/>
      <c r="R1259" s="35" t="str">
        <f aca="true">IF(OR($B1259="",$Q1259=""),"",DATEDIF($Q1259,TODAY(),"Y"))</f>
        <v/>
      </c>
      <c r="S1259" s="40" t="str">
        <f aca="false">IF($R1259="","",INDEX(usia_label,MATCH($R1259,usia_min,1)))</f>
        <v/>
      </c>
      <c r="T1259" s="36"/>
      <c r="U1259" s="41"/>
      <c r="V1259" s="36"/>
      <c r="W1259" s="36"/>
      <c r="X1259" s="40" t="str">
        <f aca="false">IF($M1259="","",$M1259&amp;"#"&amp;COUNTIF($M$4:$M1259,$M1259))</f>
        <v/>
      </c>
      <c r="Y1259" s="40" t="str">
        <f aca="false">IF($B1259="","",IF($C1259="","NIK kosong",IF(LEN($C1259)&lt;&gt;16,"NIK bukan 16 digit",IF(COUNTIF($C$4:$C$2003,$C1259&amp;"*")&gt;1,"NIK ganda",IF(AND($D1259&lt;&gt;"",LEN($D1259)&lt;&gt;16),"No. KK bukan 16 digit",IF(AND($F1259="",$I1259=""),"Alamat kosong",IF($N1259="","Jabatan kosong",IF($O1259="","No. HP kosong",IF(AND($R1259&lt;&gt;"",$R1259&lt;17),"Usia di bawah 17","")))))))))</f>
        <v/>
      </c>
      <c r="Z1259" s="40" t="str">
        <f aca="false">IF($B1259="","",IF(AND(OR(CARI!$C$5="",ISNUMBER(SEARCH(CARI!$C$5,$B1259&amp;" "&amp;$C1259&amp;" "&amp;$D1259&amp;" "&amp;$O1259&amp;" "&amp;$I1259&amp;" "&amp;$F1259&amp;" "&amp;$J1259&amp;" "&amp;$K1259&amp;" "&amp;$L1259&amp;" "&amp;$V1259))),OR(CARI!$C$6="",$F1259=CARI!$C$6),OR(CARI!$C$7="",$G1259=CARI!$C$7),OR(CARI!$C$8="",$T1259=CARI!$C$8)),MAX($Z$3:Z1258)+1,""))</f>
        <v/>
      </c>
      <c r="AA1259" s="40" t="str">
        <f aca="false">IF($Y1259="","",MAX($AA$3:AA1258)+1)</f>
        <v/>
      </c>
      <c r="AB1259" s="40" t="str">
        <f aca="false">IF($F1259="","",$F1259&amp;"#"&amp;COUNTIF($F$4:$F1259,$F1259))</f>
        <v/>
      </c>
      <c r="AC1259" s="40" t="str">
        <f aca="false">IF($B1259="","",IF(AND(OR(CETAK!$J$10="",$F1259=CETAK!$J$10),OR(CETAK!$J$11="",$G1259=CETAK!$J$11),OR(CETAK!$J$12="",$P1259=CETAK!$J$12),OR(CETAK!$J$13="",$N1259=CETAK!$J$13),OR(CETAK!$J$14="",$T1259=CETAK!$J$14)),MAX($AC$3:AC1258)+1,""))</f>
        <v/>
      </c>
      <c r="AD1259" s="40" t="str">
        <f aca="false">IF($B1259="","",IF(AND(OR(ABSENSI!$H$10="",$F1259=ABSENSI!$H$10),OR(ABSENSI!$H$11="",$G1259=ABSENSI!$H$11),OR(ABSENSI!$H$12="",$P1259=ABSENSI!$H$12)),MAX($AD$3:AD1258)+1,""))</f>
        <v/>
      </c>
      <c r="AE1259" s="40" t="str">
        <f aca="false">IF($B1259="","",IF(AND(OR(KARTU!$K$6="",$F1259=KARTU!$K$6),OR(KARTU!$K$7="",$G1259=KARTU!$K$7),OR(KARTU!$K$8="",$P1259=KARTU!$K$8)),MAX($AE$3:AE1258)+1,""))</f>
        <v/>
      </c>
    </row>
    <row r="1260" customFormat="false" ht="15" hidden="false" customHeight="false" outlineLevel="0" collapsed="false">
      <c r="A1260" s="35" t="str">
        <f aca="false">IF($B1260="","",COUNTA($B$4:$B1260))</f>
        <v/>
      </c>
      <c r="B1260" s="36"/>
      <c r="C1260" s="37"/>
      <c r="D1260" s="37"/>
      <c r="E1260" s="38"/>
      <c r="F1260" s="36"/>
      <c r="G1260" s="39"/>
      <c r="H1260" s="39"/>
      <c r="I1260" s="36"/>
      <c r="J1260" s="36"/>
      <c r="K1260" s="36"/>
      <c r="L1260" s="36"/>
      <c r="M1260" s="40" t="str">
        <f aca="false">IF($F1260="","",$F1260&amp;IF($G1260="",""," - RT "&amp;$G1260&amp;IF($H1260="","","/"&amp;$H1260)))</f>
        <v/>
      </c>
      <c r="N1260" s="36"/>
      <c r="O1260" s="37"/>
      <c r="P1260" s="39"/>
      <c r="Q1260" s="41"/>
      <c r="R1260" s="35" t="str">
        <f aca="true">IF(OR($B1260="",$Q1260=""),"",DATEDIF($Q1260,TODAY(),"Y"))</f>
        <v/>
      </c>
      <c r="S1260" s="40" t="str">
        <f aca="false">IF($R1260="","",INDEX(usia_label,MATCH($R1260,usia_min,1)))</f>
        <v/>
      </c>
      <c r="T1260" s="36"/>
      <c r="U1260" s="41"/>
      <c r="V1260" s="36"/>
      <c r="W1260" s="36"/>
      <c r="X1260" s="40" t="str">
        <f aca="false">IF($M1260="","",$M1260&amp;"#"&amp;COUNTIF($M$4:$M1260,$M1260))</f>
        <v/>
      </c>
      <c r="Y1260" s="40" t="str">
        <f aca="false">IF($B1260="","",IF($C1260="","NIK kosong",IF(LEN($C1260)&lt;&gt;16,"NIK bukan 16 digit",IF(COUNTIF($C$4:$C$2003,$C1260&amp;"*")&gt;1,"NIK ganda",IF(AND($D1260&lt;&gt;"",LEN($D1260)&lt;&gt;16),"No. KK bukan 16 digit",IF(AND($F1260="",$I1260=""),"Alamat kosong",IF($N1260="","Jabatan kosong",IF($O1260="","No. HP kosong",IF(AND($R1260&lt;&gt;"",$R1260&lt;17),"Usia di bawah 17","")))))))))</f>
        <v/>
      </c>
      <c r="Z1260" s="40" t="str">
        <f aca="false">IF($B1260="","",IF(AND(OR(CARI!$C$5="",ISNUMBER(SEARCH(CARI!$C$5,$B1260&amp;" "&amp;$C1260&amp;" "&amp;$D1260&amp;" "&amp;$O1260&amp;" "&amp;$I1260&amp;" "&amp;$F1260&amp;" "&amp;$J1260&amp;" "&amp;$K1260&amp;" "&amp;$L1260&amp;" "&amp;$V1260))),OR(CARI!$C$6="",$F1260=CARI!$C$6),OR(CARI!$C$7="",$G1260=CARI!$C$7),OR(CARI!$C$8="",$T1260=CARI!$C$8)),MAX($Z$3:Z1259)+1,""))</f>
        <v/>
      </c>
      <c r="AA1260" s="40" t="str">
        <f aca="false">IF($Y1260="","",MAX($AA$3:AA1259)+1)</f>
        <v/>
      </c>
      <c r="AB1260" s="40" t="str">
        <f aca="false">IF($F1260="","",$F1260&amp;"#"&amp;COUNTIF($F$4:$F1260,$F1260))</f>
        <v/>
      </c>
      <c r="AC1260" s="40" t="str">
        <f aca="false">IF($B1260="","",IF(AND(OR(CETAK!$J$10="",$F1260=CETAK!$J$10),OR(CETAK!$J$11="",$G1260=CETAK!$J$11),OR(CETAK!$J$12="",$P1260=CETAK!$J$12),OR(CETAK!$J$13="",$N1260=CETAK!$J$13),OR(CETAK!$J$14="",$T1260=CETAK!$J$14)),MAX($AC$3:AC1259)+1,""))</f>
        <v/>
      </c>
      <c r="AD1260" s="40" t="str">
        <f aca="false">IF($B1260="","",IF(AND(OR(ABSENSI!$H$10="",$F1260=ABSENSI!$H$10),OR(ABSENSI!$H$11="",$G1260=ABSENSI!$H$11),OR(ABSENSI!$H$12="",$P1260=ABSENSI!$H$12)),MAX($AD$3:AD1259)+1,""))</f>
        <v/>
      </c>
      <c r="AE1260" s="40" t="str">
        <f aca="false">IF($B1260="","",IF(AND(OR(KARTU!$K$6="",$F1260=KARTU!$K$6),OR(KARTU!$K$7="",$G1260=KARTU!$K$7),OR(KARTU!$K$8="",$P1260=KARTU!$K$8)),MAX($AE$3:AE1259)+1,""))</f>
        <v/>
      </c>
    </row>
    <row r="1261" customFormat="false" ht="15" hidden="false" customHeight="false" outlineLevel="0" collapsed="false">
      <c r="A1261" s="35" t="str">
        <f aca="false">IF($B1261="","",COUNTA($B$4:$B1261))</f>
        <v/>
      </c>
      <c r="B1261" s="36"/>
      <c r="C1261" s="37"/>
      <c r="D1261" s="37"/>
      <c r="E1261" s="38"/>
      <c r="F1261" s="36"/>
      <c r="G1261" s="39"/>
      <c r="H1261" s="39"/>
      <c r="I1261" s="36"/>
      <c r="J1261" s="36"/>
      <c r="K1261" s="36"/>
      <c r="L1261" s="36"/>
      <c r="M1261" s="40" t="str">
        <f aca="false">IF($F1261="","",$F1261&amp;IF($G1261="",""," - RT "&amp;$G1261&amp;IF($H1261="","","/"&amp;$H1261)))</f>
        <v/>
      </c>
      <c r="N1261" s="36"/>
      <c r="O1261" s="37"/>
      <c r="P1261" s="39"/>
      <c r="Q1261" s="41"/>
      <c r="R1261" s="35" t="str">
        <f aca="true">IF(OR($B1261="",$Q1261=""),"",DATEDIF($Q1261,TODAY(),"Y"))</f>
        <v/>
      </c>
      <c r="S1261" s="40" t="str">
        <f aca="false">IF($R1261="","",INDEX(usia_label,MATCH($R1261,usia_min,1)))</f>
        <v/>
      </c>
      <c r="T1261" s="36"/>
      <c r="U1261" s="41"/>
      <c r="V1261" s="36"/>
      <c r="W1261" s="36"/>
      <c r="X1261" s="40" t="str">
        <f aca="false">IF($M1261="","",$M1261&amp;"#"&amp;COUNTIF($M$4:$M1261,$M1261))</f>
        <v/>
      </c>
      <c r="Y1261" s="40" t="str">
        <f aca="false">IF($B1261="","",IF($C1261="","NIK kosong",IF(LEN($C1261)&lt;&gt;16,"NIK bukan 16 digit",IF(COUNTIF($C$4:$C$2003,$C1261&amp;"*")&gt;1,"NIK ganda",IF(AND($D1261&lt;&gt;"",LEN($D1261)&lt;&gt;16),"No. KK bukan 16 digit",IF(AND($F1261="",$I1261=""),"Alamat kosong",IF($N1261="","Jabatan kosong",IF($O1261="","No. HP kosong",IF(AND($R1261&lt;&gt;"",$R1261&lt;17),"Usia di bawah 17","")))))))))</f>
        <v/>
      </c>
      <c r="Z1261" s="40" t="str">
        <f aca="false">IF($B1261="","",IF(AND(OR(CARI!$C$5="",ISNUMBER(SEARCH(CARI!$C$5,$B1261&amp;" "&amp;$C1261&amp;" "&amp;$D1261&amp;" "&amp;$O1261&amp;" "&amp;$I1261&amp;" "&amp;$F1261&amp;" "&amp;$J1261&amp;" "&amp;$K1261&amp;" "&amp;$L1261&amp;" "&amp;$V1261))),OR(CARI!$C$6="",$F1261=CARI!$C$6),OR(CARI!$C$7="",$G1261=CARI!$C$7),OR(CARI!$C$8="",$T1261=CARI!$C$8)),MAX($Z$3:Z1260)+1,""))</f>
        <v/>
      </c>
      <c r="AA1261" s="40" t="str">
        <f aca="false">IF($Y1261="","",MAX($AA$3:AA1260)+1)</f>
        <v/>
      </c>
      <c r="AB1261" s="40" t="str">
        <f aca="false">IF($F1261="","",$F1261&amp;"#"&amp;COUNTIF($F$4:$F1261,$F1261))</f>
        <v/>
      </c>
      <c r="AC1261" s="40" t="str">
        <f aca="false">IF($B1261="","",IF(AND(OR(CETAK!$J$10="",$F1261=CETAK!$J$10),OR(CETAK!$J$11="",$G1261=CETAK!$J$11),OR(CETAK!$J$12="",$P1261=CETAK!$J$12),OR(CETAK!$J$13="",$N1261=CETAK!$J$13),OR(CETAK!$J$14="",$T1261=CETAK!$J$14)),MAX($AC$3:AC1260)+1,""))</f>
        <v/>
      </c>
      <c r="AD1261" s="40" t="str">
        <f aca="false">IF($B1261="","",IF(AND(OR(ABSENSI!$H$10="",$F1261=ABSENSI!$H$10),OR(ABSENSI!$H$11="",$G1261=ABSENSI!$H$11),OR(ABSENSI!$H$12="",$P1261=ABSENSI!$H$12)),MAX($AD$3:AD1260)+1,""))</f>
        <v/>
      </c>
      <c r="AE1261" s="40" t="str">
        <f aca="false">IF($B1261="","",IF(AND(OR(KARTU!$K$6="",$F1261=KARTU!$K$6),OR(KARTU!$K$7="",$G1261=KARTU!$K$7),OR(KARTU!$K$8="",$P1261=KARTU!$K$8)),MAX($AE$3:AE1260)+1,""))</f>
        <v/>
      </c>
    </row>
    <row r="1262" customFormat="false" ht="15" hidden="false" customHeight="false" outlineLevel="0" collapsed="false">
      <c r="A1262" s="35" t="str">
        <f aca="false">IF($B1262="","",COUNTA($B$4:$B1262))</f>
        <v/>
      </c>
      <c r="B1262" s="36"/>
      <c r="C1262" s="37"/>
      <c r="D1262" s="37"/>
      <c r="E1262" s="38"/>
      <c r="F1262" s="36"/>
      <c r="G1262" s="39"/>
      <c r="H1262" s="39"/>
      <c r="I1262" s="36"/>
      <c r="J1262" s="36"/>
      <c r="K1262" s="36"/>
      <c r="L1262" s="36"/>
      <c r="M1262" s="40" t="str">
        <f aca="false">IF($F1262="","",$F1262&amp;IF($G1262="",""," - RT "&amp;$G1262&amp;IF($H1262="","","/"&amp;$H1262)))</f>
        <v/>
      </c>
      <c r="N1262" s="36"/>
      <c r="O1262" s="37"/>
      <c r="P1262" s="39"/>
      <c r="Q1262" s="41"/>
      <c r="R1262" s="35" t="str">
        <f aca="true">IF(OR($B1262="",$Q1262=""),"",DATEDIF($Q1262,TODAY(),"Y"))</f>
        <v/>
      </c>
      <c r="S1262" s="40" t="str">
        <f aca="false">IF($R1262="","",INDEX(usia_label,MATCH($R1262,usia_min,1)))</f>
        <v/>
      </c>
      <c r="T1262" s="36"/>
      <c r="U1262" s="41"/>
      <c r="V1262" s="36"/>
      <c r="W1262" s="36"/>
      <c r="X1262" s="40" t="str">
        <f aca="false">IF($M1262="","",$M1262&amp;"#"&amp;COUNTIF($M$4:$M1262,$M1262))</f>
        <v/>
      </c>
      <c r="Y1262" s="40" t="str">
        <f aca="false">IF($B1262="","",IF($C1262="","NIK kosong",IF(LEN($C1262)&lt;&gt;16,"NIK bukan 16 digit",IF(COUNTIF($C$4:$C$2003,$C1262&amp;"*")&gt;1,"NIK ganda",IF(AND($D1262&lt;&gt;"",LEN($D1262)&lt;&gt;16),"No. KK bukan 16 digit",IF(AND($F1262="",$I1262=""),"Alamat kosong",IF($N1262="","Jabatan kosong",IF($O1262="","No. HP kosong",IF(AND($R1262&lt;&gt;"",$R1262&lt;17),"Usia di bawah 17","")))))))))</f>
        <v/>
      </c>
      <c r="Z1262" s="40" t="str">
        <f aca="false">IF($B1262="","",IF(AND(OR(CARI!$C$5="",ISNUMBER(SEARCH(CARI!$C$5,$B1262&amp;" "&amp;$C1262&amp;" "&amp;$D1262&amp;" "&amp;$O1262&amp;" "&amp;$I1262&amp;" "&amp;$F1262&amp;" "&amp;$J1262&amp;" "&amp;$K1262&amp;" "&amp;$L1262&amp;" "&amp;$V1262))),OR(CARI!$C$6="",$F1262=CARI!$C$6),OR(CARI!$C$7="",$G1262=CARI!$C$7),OR(CARI!$C$8="",$T1262=CARI!$C$8)),MAX($Z$3:Z1261)+1,""))</f>
        <v/>
      </c>
      <c r="AA1262" s="40" t="str">
        <f aca="false">IF($Y1262="","",MAX($AA$3:AA1261)+1)</f>
        <v/>
      </c>
      <c r="AB1262" s="40" t="str">
        <f aca="false">IF($F1262="","",$F1262&amp;"#"&amp;COUNTIF($F$4:$F1262,$F1262))</f>
        <v/>
      </c>
      <c r="AC1262" s="40" t="str">
        <f aca="false">IF($B1262="","",IF(AND(OR(CETAK!$J$10="",$F1262=CETAK!$J$10),OR(CETAK!$J$11="",$G1262=CETAK!$J$11),OR(CETAK!$J$12="",$P1262=CETAK!$J$12),OR(CETAK!$J$13="",$N1262=CETAK!$J$13),OR(CETAK!$J$14="",$T1262=CETAK!$J$14)),MAX($AC$3:AC1261)+1,""))</f>
        <v/>
      </c>
      <c r="AD1262" s="40" t="str">
        <f aca="false">IF($B1262="","",IF(AND(OR(ABSENSI!$H$10="",$F1262=ABSENSI!$H$10),OR(ABSENSI!$H$11="",$G1262=ABSENSI!$H$11),OR(ABSENSI!$H$12="",$P1262=ABSENSI!$H$12)),MAX($AD$3:AD1261)+1,""))</f>
        <v/>
      </c>
      <c r="AE1262" s="40" t="str">
        <f aca="false">IF($B1262="","",IF(AND(OR(KARTU!$K$6="",$F1262=KARTU!$K$6),OR(KARTU!$K$7="",$G1262=KARTU!$K$7),OR(KARTU!$K$8="",$P1262=KARTU!$K$8)),MAX($AE$3:AE1261)+1,""))</f>
        <v/>
      </c>
    </row>
    <row r="1263" customFormat="false" ht="15" hidden="false" customHeight="false" outlineLevel="0" collapsed="false">
      <c r="A1263" s="35" t="str">
        <f aca="false">IF($B1263="","",COUNTA($B$4:$B1263))</f>
        <v/>
      </c>
      <c r="B1263" s="36"/>
      <c r="C1263" s="37"/>
      <c r="D1263" s="37"/>
      <c r="E1263" s="38"/>
      <c r="F1263" s="36"/>
      <c r="G1263" s="39"/>
      <c r="H1263" s="39"/>
      <c r="I1263" s="36"/>
      <c r="J1263" s="36"/>
      <c r="K1263" s="36"/>
      <c r="L1263" s="36"/>
      <c r="M1263" s="40" t="str">
        <f aca="false">IF($F1263="","",$F1263&amp;IF($G1263="",""," - RT "&amp;$G1263&amp;IF($H1263="","","/"&amp;$H1263)))</f>
        <v/>
      </c>
      <c r="N1263" s="36"/>
      <c r="O1263" s="37"/>
      <c r="P1263" s="39"/>
      <c r="Q1263" s="41"/>
      <c r="R1263" s="35" t="str">
        <f aca="true">IF(OR($B1263="",$Q1263=""),"",DATEDIF($Q1263,TODAY(),"Y"))</f>
        <v/>
      </c>
      <c r="S1263" s="40" t="str">
        <f aca="false">IF($R1263="","",INDEX(usia_label,MATCH($R1263,usia_min,1)))</f>
        <v/>
      </c>
      <c r="T1263" s="36"/>
      <c r="U1263" s="41"/>
      <c r="V1263" s="36"/>
      <c r="W1263" s="36"/>
      <c r="X1263" s="40" t="str">
        <f aca="false">IF($M1263="","",$M1263&amp;"#"&amp;COUNTIF($M$4:$M1263,$M1263))</f>
        <v/>
      </c>
      <c r="Y1263" s="40" t="str">
        <f aca="false">IF($B1263="","",IF($C1263="","NIK kosong",IF(LEN($C1263)&lt;&gt;16,"NIK bukan 16 digit",IF(COUNTIF($C$4:$C$2003,$C1263&amp;"*")&gt;1,"NIK ganda",IF(AND($D1263&lt;&gt;"",LEN($D1263)&lt;&gt;16),"No. KK bukan 16 digit",IF(AND($F1263="",$I1263=""),"Alamat kosong",IF($N1263="","Jabatan kosong",IF($O1263="","No. HP kosong",IF(AND($R1263&lt;&gt;"",$R1263&lt;17),"Usia di bawah 17","")))))))))</f>
        <v/>
      </c>
      <c r="Z1263" s="40" t="str">
        <f aca="false">IF($B1263="","",IF(AND(OR(CARI!$C$5="",ISNUMBER(SEARCH(CARI!$C$5,$B1263&amp;" "&amp;$C1263&amp;" "&amp;$D1263&amp;" "&amp;$O1263&amp;" "&amp;$I1263&amp;" "&amp;$F1263&amp;" "&amp;$J1263&amp;" "&amp;$K1263&amp;" "&amp;$L1263&amp;" "&amp;$V1263))),OR(CARI!$C$6="",$F1263=CARI!$C$6),OR(CARI!$C$7="",$G1263=CARI!$C$7),OR(CARI!$C$8="",$T1263=CARI!$C$8)),MAX($Z$3:Z1262)+1,""))</f>
        <v/>
      </c>
      <c r="AA1263" s="40" t="str">
        <f aca="false">IF($Y1263="","",MAX($AA$3:AA1262)+1)</f>
        <v/>
      </c>
      <c r="AB1263" s="40" t="str">
        <f aca="false">IF($F1263="","",$F1263&amp;"#"&amp;COUNTIF($F$4:$F1263,$F1263))</f>
        <v/>
      </c>
      <c r="AC1263" s="40" t="str">
        <f aca="false">IF($B1263="","",IF(AND(OR(CETAK!$J$10="",$F1263=CETAK!$J$10),OR(CETAK!$J$11="",$G1263=CETAK!$J$11),OR(CETAK!$J$12="",$P1263=CETAK!$J$12),OR(CETAK!$J$13="",$N1263=CETAK!$J$13),OR(CETAK!$J$14="",$T1263=CETAK!$J$14)),MAX($AC$3:AC1262)+1,""))</f>
        <v/>
      </c>
      <c r="AD1263" s="40" t="str">
        <f aca="false">IF($B1263="","",IF(AND(OR(ABSENSI!$H$10="",$F1263=ABSENSI!$H$10),OR(ABSENSI!$H$11="",$G1263=ABSENSI!$H$11),OR(ABSENSI!$H$12="",$P1263=ABSENSI!$H$12)),MAX($AD$3:AD1262)+1,""))</f>
        <v/>
      </c>
      <c r="AE1263" s="40" t="str">
        <f aca="false">IF($B1263="","",IF(AND(OR(KARTU!$K$6="",$F1263=KARTU!$K$6),OR(KARTU!$K$7="",$G1263=KARTU!$K$7),OR(KARTU!$K$8="",$P1263=KARTU!$K$8)),MAX($AE$3:AE1262)+1,""))</f>
        <v/>
      </c>
    </row>
    <row r="1264" customFormat="false" ht="15" hidden="false" customHeight="false" outlineLevel="0" collapsed="false">
      <c r="A1264" s="35" t="str">
        <f aca="false">IF($B1264="","",COUNTA($B$4:$B1264))</f>
        <v/>
      </c>
      <c r="B1264" s="36"/>
      <c r="C1264" s="37"/>
      <c r="D1264" s="37"/>
      <c r="E1264" s="38"/>
      <c r="F1264" s="36"/>
      <c r="G1264" s="39"/>
      <c r="H1264" s="39"/>
      <c r="I1264" s="36"/>
      <c r="J1264" s="36"/>
      <c r="K1264" s="36"/>
      <c r="L1264" s="36"/>
      <c r="M1264" s="40" t="str">
        <f aca="false">IF($F1264="","",$F1264&amp;IF($G1264="",""," - RT "&amp;$G1264&amp;IF($H1264="","","/"&amp;$H1264)))</f>
        <v/>
      </c>
      <c r="N1264" s="36"/>
      <c r="O1264" s="37"/>
      <c r="P1264" s="39"/>
      <c r="Q1264" s="41"/>
      <c r="R1264" s="35" t="str">
        <f aca="true">IF(OR($B1264="",$Q1264=""),"",DATEDIF($Q1264,TODAY(),"Y"))</f>
        <v/>
      </c>
      <c r="S1264" s="40" t="str">
        <f aca="false">IF($R1264="","",INDEX(usia_label,MATCH($R1264,usia_min,1)))</f>
        <v/>
      </c>
      <c r="T1264" s="36"/>
      <c r="U1264" s="41"/>
      <c r="V1264" s="36"/>
      <c r="W1264" s="36"/>
      <c r="X1264" s="40" t="str">
        <f aca="false">IF($M1264="","",$M1264&amp;"#"&amp;COUNTIF($M$4:$M1264,$M1264))</f>
        <v/>
      </c>
      <c r="Y1264" s="40" t="str">
        <f aca="false">IF($B1264="","",IF($C1264="","NIK kosong",IF(LEN($C1264)&lt;&gt;16,"NIK bukan 16 digit",IF(COUNTIF($C$4:$C$2003,$C1264&amp;"*")&gt;1,"NIK ganda",IF(AND($D1264&lt;&gt;"",LEN($D1264)&lt;&gt;16),"No. KK bukan 16 digit",IF(AND($F1264="",$I1264=""),"Alamat kosong",IF($N1264="","Jabatan kosong",IF($O1264="","No. HP kosong",IF(AND($R1264&lt;&gt;"",$R1264&lt;17),"Usia di bawah 17","")))))))))</f>
        <v/>
      </c>
      <c r="Z1264" s="40" t="str">
        <f aca="false">IF($B1264="","",IF(AND(OR(CARI!$C$5="",ISNUMBER(SEARCH(CARI!$C$5,$B1264&amp;" "&amp;$C1264&amp;" "&amp;$D1264&amp;" "&amp;$O1264&amp;" "&amp;$I1264&amp;" "&amp;$F1264&amp;" "&amp;$J1264&amp;" "&amp;$K1264&amp;" "&amp;$L1264&amp;" "&amp;$V1264))),OR(CARI!$C$6="",$F1264=CARI!$C$6),OR(CARI!$C$7="",$G1264=CARI!$C$7),OR(CARI!$C$8="",$T1264=CARI!$C$8)),MAX($Z$3:Z1263)+1,""))</f>
        <v/>
      </c>
      <c r="AA1264" s="40" t="str">
        <f aca="false">IF($Y1264="","",MAX($AA$3:AA1263)+1)</f>
        <v/>
      </c>
      <c r="AB1264" s="40" t="str">
        <f aca="false">IF($F1264="","",$F1264&amp;"#"&amp;COUNTIF($F$4:$F1264,$F1264))</f>
        <v/>
      </c>
      <c r="AC1264" s="40" t="str">
        <f aca="false">IF($B1264="","",IF(AND(OR(CETAK!$J$10="",$F1264=CETAK!$J$10),OR(CETAK!$J$11="",$G1264=CETAK!$J$11),OR(CETAK!$J$12="",$P1264=CETAK!$J$12),OR(CETAK!$J$13="",$N1264=CETAK!$J$13),OR(CETAK!$J$14="",$T1264=CETAK!$J$14)),MAX($AC$3:AC1263)+1,""))</f>
        <v/>
      </c>
      <c r="AD1264" s="40" t="str">
        <f aca="false">IF($B1264="","",IF(AND(OR(ABSENSI!$H$10="",$F1264=ABSENSI!$H$10),OR(ABSENSI!$H$11="",$G1264=ABSENSI!$H$11),OR(ABSENSI!$H$12="",$P1264=ABSENSI!$H$12)),MAX($AD$3:AD1263)+1,""))</f>
        <v/>
      </c>
      <c r="AE1264" s="40" t="str">
        <f aca="false">IF($B1264="","",IF(AND(OR(KARTU!$K$6="",$F1264=KARTU!$K$6),OR(KARTU!$K$7="",$G1264=KARTU!$K$7),OR(KARTU!$K$8="",$P1264=KARTU!$K$8)),MAX($AE$3:AE1263)+1,""))</f>
        <v/>
      </c>
    </row>
    <row r="1265" customFormat="false" ht="15" hidden="false" customHeight="false" outlineLevel="0" collapsed="false">
      <c r="A1265" s="35" t="str">
        <f aca="false">IF($B1265="","",COUNTA($B$4:$B1265))</f>
        <v/>
      </c>
      <c r="B1265" s="36"/>
      <c r="C1265" s="37"/>
      <c r="D1265" s="37"/>
      <c r="E1265" s="38"/>
      <c r="F1265" s="36"/>
      <c r="G1265" s="39"/>
      <c r="H1265" s="39"/>
      <c r="I1265" s="36"/>
      <c r="J1265" s="36"/>
      <c r="K1265" s="36"/>
      <c r="L1265" s="36"/>
      <c r="M1265" s="40" t="str">
        <f aca="false">IF($F1265="","",$F1265&amp;IF($G1265="",""," - RT "&amp;$G1265&amp;IF($H1265="","","/"&amp;$H1265)))</f>
        <v/>
      </c>
      <c r="N1265" s="36"/>
      <c r="O1265" s="37"/>
      <c r="P1265" s="39"/>
      <c r="Q1265" s="41"/>
      <c r="R1265" s="35" t="str">
        <f aca="true">IF(OR($B1265="",$Q1265=""),"",DATEDIF($Q1265,TODAY(),"Y"))</f>
        <v/>
      </c>
      <c r="S1265" s="40" t="str">
        <f aca="false">IF($R1265="","",INDEX(usia_label,MATCH($R1265,usia_min,1)))</f>
        <v/>
      </c>
      <c r="T1265" s="36"/>
      <c r="U1265" s="41"/>
      <c r="V1265" s="36"/>
      <c r="W1265" s="36"/>
      <c r="X1265" s="40" t="str">
        <f aca="false">IF($M1265="","",$M1265&amp;"#"&amp;COUNTIF($M$4:$M1265,$M1265))</f>
        <v/>
      </c>
      <c r="Y1265" s="40" t="str">
        <f aca="false">IF($B1265="","",IF($C1265="","NIK kosong",IF(LEN($C1265)&lt;&gt;16,"NIK bukan 16 digit",IF(COUNTIF($C$4:$C$2003,$C1265&amp;"*")&gt;1,"NIK ganda",IF(AND($D1265&lt;&gt;"",LEN($D1265)&lt;&gt;16),"No. KK bukan 16 digit",IF(AND($F1265="",$I1265=""),"Alamat kosong",IF($N1265="","Jabatan kosong",IF($O1265="","No. HP kosong",IF(AND($R1265&lt;&gt;"",$R1265&lt;17),"Usia di bawah 17","")))))))))</f>
        <v/>
      </c>
      <c r="Z1265" s="40" t="str">
        <f aca="false">IF($B1265="","",IF(AND(OR(CARI!$C$5="",ISNUMBER(SEARCH(CARI!$C$5,$B1265&amp;" "&amp;$C1265&amp;" "&amp;$D1265&amp;" "&amp;$O1265&amp;" "&amp;$I1265&amp;" "&amp;$F1265&amp;" "&amp;$J1265&amp;" "&amp;$K1265&amp;" "&amp;$L1265&amp;" "&amp;$V1265))),OR(CARI!$C$6="",$F1265=CARI!$C$6),OR(CARI!$C$7="",$G1265=CARI!$C$7),OR(CARI!$C$8="",$T1265=CARI!$C$8)),MAX($Z$3:Z1264)+1,""))</f>
        <v/>
      </c>
      <c r="AA1265" s="40" t="str">
        <f aca="false">IF($Y1265="","",MAX($AA$3:AA1264)+1)</f>
        <v/>
      </c>
      <c r="AB1265" s="40" t="str">
        <f aca="false">IF($F1265="","",$F1265&amp;"#"&amp;COUNTIF($F$4:$F1265,$F1265))</f>
        <v/>
      </c>
      <c r="AC1265" s="40" t="str">
        <f aca="false">IF($B1265="","",IF(AND(OR(CETAK!$J$10="",$F1265=CETAK!$J$10),OR(CETAK!$J$11="",$G1265=CETAK!$J$11),OR(CETAK!$J$12="",$P1265=CETAK!$J$12),OR(CETAK!$J$13="",$N1265=CETAK!$J$13),OR(CETAK!$J$14="",$T1265=CETAK!$J$14)),MAX($AC$3:AC1264)+1,""))</f>
        <v/>
      </c>
      <c r="AD1265" s="40" t="str">
        <f aca="false">IF($B1265="","",IF(AND(OR(ABSENSI!$H$10="",$F1265=ABSENSI!$H$10),OR(ABSENSI!$H$11="",$G1265=ABSENSI!$H$11),OR(ABSENSI!$H$12="",$P1265=ABSENSI!$H$12)),MAX($AD$3:AD1264)+1,""))</f>
        <v/>
      </c>
      <c r="AE1265" s="40" t="str">
        <f aca="false">IF($B1265="","",IF(AND(OR(KARTU!$K$6="",$F1265=KARTU!$K$6),OR(KARTU!$K$7="",$G1265=KARTU!$K$7),OR(KARTU!$K$8="",$P1265=KARTU!$K$8)),MAX($AE$3:AE1264)+1,""))</f>
        <v/>
      </c>
    </row>
    <row r="1266" customFormat="false" ht="15" hidden="false" customHeight="false" outlineLevel="0" collapsed="false">
      <c r="A1266" s="35" t="str">
        <f aca="false">IF($B1266="","",COUNTA($B$4:$B1266))</f>
        <v/>
      </c>
      <c r="B1266" s="36"/>
      <c r="C1266" s="37"/>
      <c r="D1266" s="37"/>
      <c r="E1266" s="38"/>
      <c r="F1266" s="36"/>
      <c r="G1266" s="39"/>
      <c r="H1266" s="39"/>
      <c r="I1266" s="36"/>
      <c r="J1266" s="36"/>
      <c r="K1266" s="36"/>
      <c r="L1266" s="36"/>
      <c r="M1266" s="40" t="str">
        <f aca="false">IF($F1266="","",$F1266&amp;IF($G1266="",""," - RT "&amp;$G1266&amp;IF($H1266="","","/"&amp;$H1266)))</f>
        <v/>
      </c>
      <c r="N1266" s="36"/>
      <c r="O1266" s="37"/>
      <c r="P1266" s="39"/>
      <c r="Q1266" s="41"/>
      <c r="R1266" s="35" t="str">
        <f aca="true">IF(OR($B1266="",$Q1266=""),"",DATEDIF($Q1266,TODAY(),"Y"))</f>
        <v/>
      </c>
      <c r="S1266" s="40" t="str">
        <f aca="false">IF($R1266="","",INDEX(usia_label,MATCH($R1266,usia_min,1)))</f>
        <v/>
      </c>
      <c r="T1266" s="36"/>
      <c r="U1266" s="41"/>
      <c r="V1266" s="36"/>
      <c r="W1266" s="36"/>
      <c r="X1266" s="40" t="str">
        <f aca="false">IF($M1266="","",$M1266&amp;"#"&amp;COUNTIF($M$4:$M1266,$M1266))</f>
        <v/>
      </c>
      <c r="Y1266" s="40" t="str">
        <f aca="false">IF($B1266="","",IF($C1266="","NIK kosong",IF(LEN($C1266)&lt;&gt;16,"NIK bukan 16 digit",IF(COUNTIF($C$4:$C$2003,$C1266&amp;"*")&gt;1,"NIK ganda",IF(AND($D1266&lt;&gt;"",LEN($D1266)&lt;&gt;16),"No. KK bukan 16 digit",IF(AND($F1266="",$I1266=""),"Alamat kosong",IF($N1266="","Jabatan kosong",IF($O1266="","No. HP kosong",IF(AND($R1266&lt;&gt;"",$R1266&lt;17),"Usia di bawah 17","")))))))))</f>
        <v/>
      </c>
      <c r="Z1266" s="40" t="str">
        <f aca="false">IF($B1266="","",IF(AND(OR(CARI!$C$5="",ISNUMBER(SEARCH(CARI!$C$5,$B1266&amp;" "&amp;$C1266&amp;" "&amp;$D1266&amp;" "&amp;$O1266&amp;" "&amp;$I1266&amp;" "&amp;$F1266&amp;" "&amp;$J1266&amp;" "&amp;$K1266&amp;" "&amp;$L1266&amp;" "&amp;$V1266))),OR(CARI!$C$6="",$F1266=CARI!$C$6),OR(CARI!$C$7="",$G1266=CARI!$C$7),OR(CARI!$C$8="",$T1266=CARI!$C$8)),MAX($Z$3:Z1265)+1,""))</f>
        <v/>
      </c>
      <c r="AA1266" s="40" t="str">
        <f aca="false">IF($Y1266="","",MAX($AA$3:AA1265)+1)</f>
        <v/>
      </c>
      <c r="AB1266" s="40" t="str">
        <f aca="false">IF($F1266="","",$F1266&amp;"#"&amp;COUNTIF($F$4:$F1266,$F1266))</f>
        <v/>
      </c>
      <c r="AC1266" s="40" t="str">
        <f aca="false">IF($B1266="","",IF(AND(OR(CETAK!$J$10="",$F1266=CETAK!$J$10),OR(CETAK!$J$11="",$G1266=CETAK!$J$11),OR(CETAK!$J$12="",$P1266=CETAK!$J$12),OR(CETAK!$J$13="",$N1266=CETAK!$J$13),OR(CETAK!$J$14="",$T1266=CETAK!$J$14)),MAX($AC$3:AC1265)+1,""))</f>
        <v/>
      </c>
      <c r="AD1266" s="40" t="str">
        <f aca="false">IF($B1266="","",IF(AND(OR(ABSENSI!$H$10="",$F1266=ABSENSI!$H$10),OR(ABSENSI!$H$11="",$G1266=ABSENSI!$H$11),OR(ABSENSI!$H$12="",$P1266=ABSENSI!$H$12)),MAX($AD$3:AD1265)+1,""))</f>
        <v/>
      </c>
      <c r="AE1266" s="40" t="str">
        <f aca="false">IF($B1266="","",IF(AND(OR(KARTU!$K$6="",$F1266=KARTU!$K$6),OR(KARTU!$K$7="",$G1266=KARTU!$K$7),OR(KARTU!$K$8="",$P1266=KARTU!$K$8)),MAX($AE$3:AE1265)+1,""))</f>
        <v/>
      </c>
    </row>
    <row r="1267" customFormat="false" ht="15" hidden="false" customHeight="false" outlineLevel="0" collapsed="false">
      <c r="A1267" s="35" t="str">
        <f aca="false">IF($B1267="","",COUNTA($B$4:$B1267))</f>
        <v/>
      </c>
      <c r="B1267" s="36"/>
      <c r="C1267" s="37"/>
      <c r="D1267" s="37"/>
      <c r="E1267" s="38"/>
      <c r="F1267" s="36"/>
      <c r="G1267" s="39"/>
      <c r="H1267" s="39"/>
      <c r="I1267" s="36"/>
      <c r="J1267" s="36"/>
      <c r="K1267" s="36"/>
      <c r="L1267" s="36"/>
      <c r="M1267" s="40" t="str">
        <f aca="false">IF($F1267="","",$F1267&amp;IF($G1267="",""," - RT "&amp;$G1267&amp;IF($H1267="","","/"&amp;$H1267)))</f>
        <v/>
      </c>
      <c r="N1267" s="36"/>
      <c r="O1267" s="37"/>
      <c r="P1267" s="39"/>
      <c r="Q1267" s="41"/>
      <c r="R1267" s="35" t="str">
        <f aca="true">IF(OR($B1267="",$Q1267=""),"",DATEDIF($Q1267,TODAY(),"Y"))</f>
        <v/>
      </c>
      <c r="S1267" s="40" t="str">
        <f aca="false">IF($R1267="","",INDEX(usia_label,MATCH($R1267,usia_min,1)))</f>
        <v/>
      </c>
      <c r="T1267" s="36"/>
      <c r="U1267" s="41"/>
      <c r="V1267" s="36"/>
      <c r="W1267" s="36"/>
      <c r="X1267" s="40" t="str">
        <f aca="false">IF($M1267="","",$M1267&amp;"#"&amp;COUNTIF($M$4:$M1267,$M1267))</f>
        <v/>
      </c>
      <c r="Y1267" s="40" t="str">
        <f aca="false">IF($B1267="","",IF($C1267="","NIK kosong",IF(LEN($C1267)&lt;&gt;16,"NIK bukan 16 digit",IF(COUNTIF($C$4:$C$2003,$C1267&amp;"*")&gt;1,"NIK ganda",IF(AND($D1267&lt;&gt;"",LEN($D1267)&lt;&gt;16),"No. KK bukan 16 digit",IF(AND($F1267="",$I1267=""),"Alamat kosong",IF($N1267="","Jabatan kosong",IF($O1267="","No. HP kosong",IF(AND($R1267&lt;&gt;"",$R1267&lt;17),"Usia di bawah 17","")))))))))</f>
        <v/>
      </c>
      <c r="Z1267" s="40" t="str">
        <f aca="false">IF($B1267="","",IF(AND(OR(CARI!$C$5="",ISNUMBER(SEARCH(CARI!$C$5,$B1267&amp;" "&amp;$C1267&amp;" "&amp;$D1267&amp;" "&amp;$O1267&amp;" "&amp;$I1267&amp;" "&amp;$F1267&amp;" "&amp;$J1267&amp;" "&amp;$K1267&amp;" "&amp;$L1267&amp;" "&amp;$V1267))),OR(CARI!$C$6="",$F1267=CARI!$C$6),OR(CARI!$C$7="",$G1267=CARI!$C$7),OR(CARI!$C$8="",$T1267=CARI!$C$8)),MAX($Z$3:Z1266)+1,""))</f>
        <v/>
      </c>
      <c r="AA1267" s="40" t="str">
        <f aca="false">IF($Y1267="","",MAX($AA$3:AA1266)+1)</f>
        <v/>
      </c>
      <c r="AB1267" s="40" t="str">
        <f aca="false">IF($F1267="","",$F1267&amp;"#"&amp;COUNTIF($F$4:$F1267,$F1267))</f>
        <v/>
      </c>
      <c r="AC1267" s="40" t="str">
        <f aca="false">IF($B1267="","",IF(AND(OR(CETAK!$J$10="",$F1267=CETAK!$J$10),OR(CETAK!$J$11="",$G1267=CETAK!$J$11),OR(CETAK!$J$12="",$P1267=CETAK!$J$12),OR(CETAK!$J$13="",$N1267=CETAK!$J$13),OR(CETAK!$J$14="",$T1267=CETAK!$J$14)),MAX($AC$3:AC1266)+1,""))</f>
        <v/>
      </c>
      <c r="AD1267" s="40" t="str">
        <f aca="false">IF($B1267="","",IF(AND(OR(ABSENSI!$H$10="",$F1267=ABSENSI!$H$10),OR(ABSENSI!$H$11="",$G1267=ABSENSI!$H$11),OR(ABSENSI!$H$12="",$P1267=ABSENSI!$H$12)),MAX($AD$3:AD1266)+1,""))</f>
        <v/>
      </c>
      <c r="AE1267" s="40" t="str">
        <f aca="false">IF($B1267="","",IF(AND(OR(KARTU!$K$6="",$F1267=KARTU!$K$6),OR(KARTU!$K$7="",$G1267=KARTU!$K$7),OR(KARTU!$K$8="",$P1267=KARTU!$K$8)),MAX($AE$3:AE1266)+1,""))</f>
        <v/>
      </c>
    </row>
    <row r="1268" customFormat="false" ht="15" hidden="false" customHeight="false" outlineLevel="0" collapsed="false">
      <c r="A1268" s="35" t="str">
        <f aca="false">IF($B1268="","",COUNTA($B$4:$B1268))</f>
        <v/>
      </c>
      <c r="B1268" s="36"/>
      <c r="C1268" s="37"/>
      <c r="D1268" s="37"/>
      <c r="E1268" s="38"/>
      <c r="F1268" s="36"/>
      <c r="G1268" s="39"/>
      <c r="H1268" s="39"/>
      <c r="I1268" s="36"/>
      <c r="J1268" s="36"/>
      <c r="K1268" s="36"/>
      <c r="L1268" s="36"/>
      <c r="M1268" s="40" t="str">
        <f aca="false">IF($F1268="","",$F1268&amp;IF($G1268="",""," - RT "&amp;$G1268&amp;IF($H1268="","","/"&amp;$H1268)))</f>
        <v/>
      </c>
      <c r="N1268" s="36"/>
      <c r="O1268" s="37"/>
      <c r="P1268" s="39"/>
      <c r="Q1268" s="41"/>
      <c r="R1268" s="35" t="str">
        <f aca="true">IF(OR($B1268="",$Q1268=""),"",DATEDIF($Q1268,TODAY(),"Y"))</f>
        <v/>
      </c>
      <c r="S1268" s="40" t="str">
        <f aca="false">IF($R1268="","",INDEX(usia_label,MATCH($R1268,usia_min,1)))</f>
        <v/>
      </c>
      <c r="T1268" s="36"/>
      <c r="U1268" s="41"/>
      <c r="V1268" s="36"/>
      <c r="W1268" s="36"/>
      <c r="X1268" s="40" t="str">
        <f aca="false">IF($M1268="","",$M1268&amp;"#"&amp;COUNTIF($M$4:$M1268,$M1268))</f>
        <v/>
      </c>
      <c r="Y1268" s="40" t="str">
        <f aca="false">IF($B1268="","",IF($C1268="","NIK kosong",IF(LEN($C1268)&lt;&gt;16,"NIK bukan 16 digit",IF(COUNTIF($C$4:$C$2003,$C1268&amp;"*")&gt;1,"NIK ganda",IF(AND($D1268&lt;&gt;"",LEN($D1268)&lt;&gt;16),"No. KK bukan 16 digit",IF(AND($F1268="",$I1268=""),"Alamat kosong",IF($N1268="","Jabatan kosong",IF($O1268="","No. HP kosong",IF(AND($R1268&lt;&gt;"",$R1268&lt;17),"Usia di bawah 17","")))))))))</f>
        <v/>
      </c>
      <c r="Z1268" s="40" t="str">
        <f aca="false">IF($B1268="","",IF(AND(OR(CARI!$C$5="",ISNUMBER(SEARCH(CARI!$C$5,$B1268&amp;" "&amp;$C1268&amp;" "&amp;$D1268&amp;" "&amp;$O1268&amp;" "&amp;$I1268&amp;" "&amp;$F1268&amp;" "&amp;$J1268&amp;" "&amp;$K1268&amp;" "&amp;$L1268&amp;" "&amp;$V1268))),OR(CARI!$C$6="",$F1268=CARI!$C$6),OR(CARI!$C$7="",$G1268=CARI!$C$7),OR(CARI!$C$8="",$T1268=CARI!$C$8)),MAX($Z$3:Z1267)+1,""))</f>
        <v/>
      </c>
      <c r="AA1268" s="40" t="str">
        <f aca="false">IF($Y1268="","",MAX($AA$3:AA1267)+1)</f>
        <v/>
      </c>
      <c r="AB1268" s="40" t="str">
        <f aca="false">IF($F1268="","",$F1268&amp;"#"&amp;COUNTIF($F$4:$F1268,$F1268))</f>
        <v/>
      </c>
      <c r="AC1268" s="40" t="str">
        <f aca="false">IF($B1268="","",IF(AND(OR(CETAK!$J$10="",$F1268=CETAK!$J$10),OR(CETAK!$J$11="",$G1268=CETAK!$J$11),OR(CETAK!$J$12="",$P1268=CETAK!$J$12),OR(CETAK!$J$13="",$N1268=CETAK!$J$13),OR(CETAK!$J$14="",$T1268=CETAK!$J$14)),MAX($AC$3:AC1267)+1,""))</f>
        <v/>
      </c>
      <c r="AD1268" s="40" t="str">
        <f aca="false">IF($B1268="","",IF(AND(OR(ABSENSI!$H$10="",$F1268=ABSENSI!$H$10),OR(ABSENSI!$H$11="",$G1268=ABSENSI!$H$11),OR(ABSENSI!$H$12="",$P1268=ABSENSI!$H$12)),MAX($AD$3:AD1267)+1,""))</f>
        <v/>
      </c>
      <c r="AE1268" s="40" t="str">
        <f aca="false">IF($B1268="","",IF(AND(OR(KARTU!$K$6="",$F1268=KARTU!$K$6),OR(KARTU!$K$7="",$G1268=KARTU!$K$7),OR(KARTU!$K$8="",$P1268=KARTU!$K$8)),MAX($AE$3:AE1267)+1,""))</f>
        <v/>
      </c>
    </row>
    <row r="1269" customFormat="false" ht="15" hidden="false" customHeight="false" outlineLevel="0" collapsed="false">
      <c r="A1269" s="35" t="str">
        <f aca="false">IF($B1269="","",COUNTA($B$4:$B1269))</f>
        <v/>
      </c>
      <c r="B1269" s="36"/>
      <c r="C1269" s="37"/>
      <c r="D1269" s="37"/>
      <c r="E1269" s="38"/>
      <c r="F1269" s="36"/>
      <c r="G1269" s="39"/>
      <c r="H1269" s="39"/>
      <c r="I1269" s="36"/>
      <c r="J1269" s="36"/>
      <c r="K1269" s="36"/>
      <c r="L1269" s="36"/>
      <c r="M1269" s="40" t="str">
        <f aca="false">IF($F1269="","",$F1269&amp;IF($G1269="",""," - RT "&amp;$G1269&amp;IF($H1269="","","/"&amp;$H1269)))</f>
        <v/>
      </c>
      <c r="N1269" s="36"/>
      <c r="O1269" s="37"/>
      <c r="P1269" s="39"/>
      <c r="Q1269" s="41"/>
      <c r="R1269" s="35" t="str">
        <f aca="true">IF(OR($B1269="",$Q1269=""),"",DATEDIF($Q1269,TODAY(),"Y"))</f>
        <v/>
      </c>
      <c r="S1269" s="40" t="str">
        <f aca="false">IF($R1269="","",INDEX(usia_label,MATCH($R1269,usia_min,1)))</f>
        <v/>
      </c>
      <c r="T1269" s="36"/>
      <c r="U1269" s="41"/>
      <c r="V1269" s="36"/>
      <c r="W1269" s="36"/>
      <c r="X1269" s="40" t="str">
        <f aca="false">IF($M1269="","",$M1269&amp;"#"&amp;COUNTIF($M$4:$M1269,$M1269))</f>
        <v/>
      </c>
      <c r="Y1269" s="40" t="str">
        <f aca="false">IF($B1269="","",IF($C1269="","NIK kosong",IF(LEN($C1269)&lt;&gt;16,"NIK bukan 16 digit",IF(COUNTIF($C$4:$C$2003,$C1269&amp;"*")&gt;1,"NIK ganda",IF(AND($D1269&lt;&gt;"",LEN($D1269)&lt;&gt;16),"No. KK bukan 16 digit",IF(AND($F1269="",$I1269=""),"Alamat kosong",IF($N1269="","Jabatan kosong",IF($O1269="","No. HP kosong",IF(AND($R1269&lt;&gt;"",$R1269&lt;17),"Usia di bawah 17","")))))))))</f>
        <v/>
      </c>
      <c r="Z1269" s="40" t="str">
        <f aca="false">IF($B1269="","",IF(AND(OR(CARI!$C$5="",ISNUMBER(SEARCH(CARI!$C$5,$B1269&amp;" "&amp;$C1269&amp;" "&amp;$D1269&amp;" "&amp;$O1269&amp;" "&amp;$I1269&amp;" "&amp;$F1269&amp;" "&amp;$J1269&amp;" "&amp;$K1269&amp;" "&amp;$L1269&amp;" "&amp;$V1269))),OR(CARI!$C$6="",$F1269=CARI!$C$6),OR(CARI!$C$7="",$G1269=CARI!$C$7),OR(CARI!$C$8="",$T1269=CARI!$C$8)),MAX($Z$3:Z1268)+1,""))</f>
        <v/>
      </c>
      <c r="AA1269" s="40" t="str">
        <f aca="false">IF($Y1269="","",MAX($AA$3:AA1268)+1)</f>
        <v/>
      </c>
      <c r="AB1269" s="40" t="str">
        <f aca="false">IF($F1269="","",$F1269&amp;"#"&amp;COUNTIF($F$4:$F1269,$F1269))</f>
        <v/>
      </c>
      <c r="AC1269" s="40" t="str">
        <f aca="false">IF($B1269="","",IF(AND(OR(CETAK!$J$10="",$F1269=CETAK!$J$10),OR(CETAK!$J$11="",$G1269=CETAK!$J$11),OR(CETAK!$J$12="",$P1269=CETAK!$J$12),OR(CETAK!$J$13="",$N1269=CETAK!$J$13),OR(CETAK!$J$14="",$T1269=CETAK!$J$14)),MAX($AC$3:AC1268)+1,""))</f>
        <v/>
      </c>
      <c r="AD1269" s="40" t="str">
        <f aca="false">IF($B1269="","",IF(AND(OR(ABSENSI!$H$10="",$F1269=ABSENSI!$H$10),OR(ABSENSI!$H$11="",$G1269=ABSENSI!$H$11),OR(ABSENSI!$H$12="",$P1269=ABSENSI!$H$12)),MAX($AD$3:AD1268)+1,""))</f>
        <v/>
      </c>
      <c r="AE1269" s="40" t="str">
        <f aca="false">IF($B1269="","",IF(AND(OR(KARTU!$K$6="",$F1269=KARTU!$K$6),OR(KARTU!$K$7="",$G1269=KARTU!$K$7),OR(KARTU!$K$8="",$P1269=KARTU!$K$8)),MAX($AE$3:AE1268)+1,""))</f>
        <v/>
      </c>
    </row>
    <row r="1270" customFormat="false" ht="15" hidden="false" customHeight="false" outlineLevel="0" collapsed="false">
      <c r="A1270" s="35" t="str">
        <f aca="false">IF($B1270="","",COUNTA($B$4:$B1270))</f>
        <v/>
      </c>
      <c r="B1270" s="36"/>
      <c r="C1270" s="37"/>
      <c r="D1270" s="37"/>
      <c r="E1270" s="38"/>
      <c r="F1270" s="36"/>
      <c r="G1270" s="39"/>
      <c r="H1270" s="39"/>
      <c r="I1270" s="36"/>
      <c r="J1270" s="36"/>
      <c r="K1270" s="36"/>
      <c r="L1270" s="36"/>
      <c r="M1270" s="40" t="str">
        <f aca="false">IF($F1270="","",$F1270&amp;IF($G1270="",""," - RT "&amp;$G1270&amp;IF($H1270="","","/"&amp;$H1270)))</f>
        <v/>
      </c>
      <c r="N1270" s="36"/>
      <c r="O1270" s="37"/>
      <c r="P1270" s="39"/>
      <c r="Q1270" s="41"/>
      <c r="R1270" s="35" t="str">
        <f aca="true">IF(OR($B1270="",$Q1270=""),"",DATEDIF($Q1270,TODAY(),"Y"))</f>
        <v/>
      </c>
      <c r="S1270" s="40" t="str">
        <f aca="false">IF($R1270="","",INDEX(usia_label,MATCH($R1270,usia_min,1)))</f>
        <v/>
      </c>
      <c r="T1270" s="36"/>
      <c r="U1270" s="41"/>
      <c r="V1270" s="36"/>
      <c r="W1270" s="36"/>
      <c r="X1270" s="40" t="str">
        <f aca="false">IF($M1270="","",$M1270&amp;"#"&amp;COUNTIF($M$4:$M1270,$M1270))</f>
        <v/>
      </c>
      <c r="Y1270" s="40" t="str">
        <f aca="false">IF($B1270="","",IF($C1270="","NIK kosong",IF(LEN($C1270)&lt;&gt;16,"NIK bukan 16 digit",IF(COUNTIF($C$4:$C$2003,$C1270&amp;"*")&gt;1,"NIK ganda",IF(AND($D1270&lt;&gt;"",LEN($D1270)&lt;&gt;16),"No. KK bukan 16 digit",IF(AND($F1270="",$I1270=""),"Alamat kosong",IF($N1270="","Jabatan kosong",IF($O1270="","No. HP kosong",IF(AND($R1270&lt;&gt;"",$R1270&lt;17),"Usia di bawah 17","")))))))))</f>
        <v/>
      </c>
      <c r="Z1270" s="40" t="str">
        <f aca="false">IF($B1270="","",IF(AND(OR(CARI!$C$5="",ISNUMBER(SEARCH(CARI!$C$5,$B1270&amp;" "&amp;$C1270&amp;" "&amp;$D1270&amp;" "&amp;$O1270&amp;" "&amp;$I1270&amp;" "&amp;$F1270&amp;" "&amp;$J1270&amp;" "&amp;$K1270&amp;" "&amp;$L1270&amp;" "&amp;$V1270))),OR(CARI!$C$6="",$F1270=CARI!$C$6),OR(CARI!$C$7="",$G1270=CARI!$C$7),OR(CARI!$C$8="",$T1270=CARI!$C$8)),MAX($Z$3:Z1269)+1,""))</f>
        <v/>
      </c>
      <c r="AA1270" s="40" t="str">
        <f aca="false">IF($Y1270="","",MAX($AA$3:AA1269)+1)</f>
        <v/>
      </c>
      <c r="AB1270" s="40" t="str">
        <f aca="false">IF($F1270="","",$F1270&amp;"#"&amp;COUNTIF($F$4:$F1270,$F1270))</f>
        <v/>
      </c>
      <c r="AC1270" s="40" t="str">
        <f aca="false">IF($B1270="","",IF(AND(OR(CETAK!$J$10="",$F1270=CETAK!$J$10),OR(CETAK!$J$11="",$G1270=CETAK!$J$11),OR(CETAK!$J$12="",$P1270=CETAK!$J$12),OR(CETAK!$J$13="",$N1270=CETAK!$J$13),OR(CETAK!$J$14="",$T1270=CETAK!$J$14)),MAX($AC$3:AC1269)+1,""))</f>
        <v/>
      </c>
      <c r="AD1270" s="40" t="str">
        <f aca="false">IF($B1270="","",IF(AND(OR(ABSENSI!$H$10="",$F1270=ABSENSI!$H$10),OR(ABSENSI!$H$11="",$G1270=ABSENSI!$H$11),OR(ABSENSI!$H$12="",$P1270=ABSENSI!$H$12)),MAX($AD$3:AD1269)+1,""))</f>
        <v/>
      </c>
      <c r="AE1270" s="40" t="str">
        <f aca="false">IF($B1270="","",IF(AND(OR(KARTU!$K$6="",$F1270=KARTU!$K$6),OR(KARTU!$K$7="",$G1270=KARTU!$K$7),OR(KARTU!$K$8="",$P1270=KARTU!$K$8)),MAX($AE$3:AE1269)+1,""))</f>
        <v/>
      </c>
    </row>
    <row r="1271" customFormat="false" ht="15" hidden="false" customHeight="false" outlineLevel="0" collapsed="false">
      <c r="A1271" s="35" t="str">
        <f aca="false">IF($B1271="","",COUNTA($B$4:$B1271))</f>
        <v/>
      </c>
      <c r="B1271" s="36"/>
      <c r="C1271" s="37"/>
      <c r="D1271" s="37"/>
      <c r="E1271" s="38"/>
      <c r="F1271" s="36"/>
      <c r="G1271" s="39"/>
      <c r="H1271" s="39"/>
      <c r="I1271" s="36"/>
      <c r="J1271" s="36"/>
      <c r="K1271" s="36"/>
      <c r="L1271" s="36"/>
      <c r="M1271" s="40" t="str">
        <f aca="false">IF($F1271="","",$F1271&amp;IF($G1271="",""," - RT "&amp;$G1271&amp;IF($H1271="","","/"&amp;$H1271)))</f>
        <v/>
      </c>
      <c r="N1271" s="36"/>
      <c r="O1271" s="37"/>
      <c r="P1271" s="39"/>
      <c r="Q1271" s="41"/>
      <c r="R1271" s="35" t="str">
        <f aca="true">IF(OR($B1271="",$Q1271=""),"",DATEDIF($Q1271,TODAY(),"Y"))</f>
        <v/>
      </c>
      <c r="S1271" s="40" t="str">
        <f aca="false">IF($R1271="","",INDEX(usia_label,MATCH($R1271,usia_min,1)))</f>
        <v/>
      </c>
      <c r="T1271" s="36"/>
      <c r="U1271" s="41"/>
      <c r="V1271" s="36"/>
      <c r="W1271" s="36"/>
      <c r="X1271" s="40" t="str">
        <f aca="false">IF($M1271="","",$M1271&amp;"#"&amp;COUNTIF($M$4:$M1271,$M1271))</f>
        <v/>
      </c>
      <c r="Y1271" s="40" t="str">
        <f aca="false">IF($B1271="","",IF($C1271="","NIK kosong",IF(LEN($C1271)&lt;&gt;16,"NIK bukan 16 digit",IF(COUNTIF($C$4:$C$2003,$C1271&amp;"*")&gt;1,"NIK ganda",IF(AND($D1271&lt;&gt;"",LEN($D1271)&lt;&gt;16),"No. KK bukan 16 digit",IF(AND($F1271="",$I1271=""),"Alamat kosong",IF($N1271="","Jabatan kosong",IF($O1271="","No. HP kosong",IF(AND($R1271&lt;&gt;"",$R1271&lt;17),"Usia di bawah 17","")))))))))</f>
        <v/>
      </c>
      <c r="Z1271" s="40" t="str">
        <f aca="false">IF($B1271="","",IF(AND(OR(CARI!$C$5="",ISNUMBER(SEARCH(CARI!$C$5,$B1271&amp;" "&amp;$C1271&amp;" "&amp;$D1271&amp;" "&amp;$O1271&amp;" "&amp;$I1271&amp;" "&amp;$F1271&amp;" "&amp;$J1271&amp;" "&amp;$K1271&amp;" "&amp;$L1271&amp;" "&amp;$V1271))),OR(CARI!$C$6="",$F1271=CARI!$C$6),OR(CARI!$C$7="",$G1271=CARI!$C$7),OR(CARI!$C$8="",$T1271=CARI!$C$8)),MAX($Z$3:Z1270)+1,""))</f>
        <v/>
      </c>
      <c r="AA1271" s="40" t="str">
        <f aca="false">IF($Y1271="","",MAX($AA$3:AA1270)+1)</f>
        <v/>
      </c>
      <c r="AB1271" s="40" t="str">
        <f aca="false">IF($F1271="","",$F1271&amp;"#"&amp;COUNTIF($F$4:$F1271,$F1271))</f>
        <v/>
      </c>
      <c r="AC1271" s="40" t="str">
        <f aca="false">IF($B1271="","",IF(AND(OR(CETAK!$J$10="",$F1271=CETAK!$J$10),OR(CETAK!$J$11="",$G1271=CETAK!$J$11),OR(CETAK!$J$12="",$P1271=CETAK!$J$12),OR(CETAK!$J$13="",$N1271=CETAK!$J$13),OR(CETAK!$J$14="",$T1271=CETAK!$J$14)),MAX($AC$3:AC1270)+1,""))</f>
        <v/>
      </c>
      <c r="AD1271" s="40" t="str">
        <f aca="false">IF($B1271="","",IF(AND(OR(ABSENSI!$H$10="",$F1271=ABSENSI!$H$10),OR(ABSENSI!$H$11="",$G1271=ABSENSI!$H$11),OR(ABSENSI!$H$12="",$P1271=ABSENSI!$H$12)),MAX($AD$3:AD1270)+1,""))</f>
        <v/>
      </c>
      <c r="AE1271" s="40" t="str">
        <f aca="false">IF($B1271="","",IF(AND(OR(KARTU!$K$6="",$F1271=KARTU!$K$6),OR(KARTU!$K$7="",$G1271=KARTU!$K$7),OR(KARTU!$K$8="",$P1271=KARTU!$K$8)),MAX($AE$3:AE1270)+1,""))</f>
        <v/>
      </c>
    </row>
    <row r="1272" customFormat="false" ht="15" hidden="false" customHeight="false" outlineLevel="0" collapsed="false">
      <c r="A1272" s="35" t="str">
        <f aca="false">IF($B1272="","",COUNTA($B$4:$B1272))</f>
        <v/>
      </c>
      <c r="B1272" s="36"/>
      <c r="C1272" s="37"/>
      <c r="D1272" s="37"/>
      <c r="E1272" s="38"/>
      <c r="F1272" s="36"/>
      <c r="G1272" s="39"/>
      <c r="H1272" s="39"/>
      <c r="I1272" s="36"/>
      <c r="J1272" s="36"/>
      <c r="K1272" s="36"/>
      <c r="L1272" s="36"/>
      <c r="M1272" s="40" t="str">
        <f aca="false">IF($F1272="","",$F1272&amp;IF($G1272="",""," - RT "&amp;$G1272&amp;IF($H1272="","","/"&amp;$H1272)))</f>
        <v/>
      </c>
      <c r="N1272" s="36"/>
      <c r="O1272" s="37"/>
      <c r="P1272" s="39"/>
      <c r="Q1272" s="41"/>
      <c r="R1272" s="35" t="str">
        <f aca="true">IF(OR($B1272="",$Q1272=""),"",DATEDIF($Q1272,TODAY(),"Y"))</f>
        <v/>
      </c>
      <c r="S1272" s="40" t="str">
        <f aca="false">IF($R1272="","",INDEX(usia_label,MATCH($R1272,usia_min,1)))</f>
        <v/>
      </c>
      <c r="T1272" s="36"/>
      <c r="U1272" s="41"/>
      <c r="V1272" s="36"/>
      <c r="W1272" s="36"/>
      <c r="X1272" s="40" t="str">
        <f aca="false">IF($M1272="","",$M1272&amp;"#"&amp;COUNTIF($M$4:$M1272,$M1272))</f>
        <v/>
      </c>
      <c r="Y1272" s="40" t="str">
        <f aca="false">IF($B1272="","",IF($C1272="","NIK kosong",IF(LEN($C1272)&lt;&gt;16,"NIK bukan 16 digit",IF(COUNTIF($C$4:$C$2003,$C1272&amp;"*")&gt;1,"NIK ganda",IF(AND($D1272&lt;&gt;"",LEN($D1272)&lt;&gt;16),"No. KK bukan 16 digit",IF(AND($F1272="",$I1272=""),"Alamat kosong",IF($N1272="","Jabatan kosong",IF($O1272="","No. HP kosong",IF(AND($R1272&lt;&gt;"",$R1272&lt;17),"Usia di bawah 17","")))))))))</f>
        <v/>
      </c>
      <c r="Z1272" s="40" t="str">
        <f aca="false">IF($B1272="","",IF(AND(OR(CARI!$C$5="",ISNUMBER(SEARCH(CARI!$C$5,$B1272&amp;" "&amp;$C1272&amp;" "&amp;$D1272&amp;" "&amp;$O1272&amp;" "&amp;$I1272&amp;" "&amp;$F1272&amp;" "&amp;$J1272&amp;" "&amp;$K1272&amp;" "&amp;$L1272&amp;" "&amp;$V1272))),OR(CARI!$C$6="",$F1272=CARI!$C$6),OR(CARI!$C$7="",$G1272=CARI!$C$7),OR(CARI!$C$8="",$T1272=CARI!$C$8)),MAX($Z$3:Z1271)+1,""))</f>
        <v/>
      </c>
      <c r="AA1272" s="40" t="str">
        <f aca="false">IF($Y1272="","",MAX($AA$3:AA1271)+1)</f>
        <v/>
      </c>
      <c r="AB1272" s="40" t="str">
        <f aca="false">IF($F1272="","",$F1272&amp;"#"&amp;COUNTIF($F$4:$F1272,$F1272))</f>
        <v/>
      </c>
      <c r="AC1272" s="40" t="str">
        <f aca="false">IF($B1272="","",IF(AND(OR(CETAK!$J$10="",$F1272=CETAK!$J$10),OR(CETAK!$J$11="",$G1272=CETAK!$J$11),OR(CETAK!$J$12="",$P1272=CETAK!$J$12),OR(CETAK!$J$13="",$N1272=CETAK!$J$13),OR(CETAK!$J$14="",$T1272=CETAK!$J$14)),MAX($AC$3:AC1271)+1,""))</f>
        <v/>
      </c>
      <c r="AD1272" s="40" t="str">
        <f aca="false">IF($B1272="","",IF(AND(OR(ABSENSI!$H$10="",$F1272=ABSENSI!$H$10),OR(ABSENSI!$H$11="",$G1272=ABSENSI!$H$11),OR(ABSENSI!$H$12="",$P1272=ABSENSI!$H$12)),MAX($AD$3:AD1271)+1,""))</f>
        <v/>
      </c>
      <c r="AE1272" s="40" t="str">
        <f aca="false">IF($B1272="","",IF(AND(OR(KARTU!$K$6="",$F1272=KARTU!$K$6),OR(KARTU!$K$7="",$G1272=KARTU!$K$7),OR(KARTU!$K$8="",$P1272=KARTU!$K$8)),MAX($AE$3:AE1271)+1,""))</f>
        <v/>
      </c>
    </row>
    <row r="1273" customFormat="false" ht="15" hidden="false" customHeight="false" outlineLevel="0" collapsed="false">
      <c r="A1273" s="35" t="str">
        <f aca="false">IF($B1273="","",COUNTA($B$4:$B1273))</f>
        <v/>
      </c>
      <c r="B1273" s="36"/>
      <c r="C1273" s="37"/>
      <c r="D1273" s="37"/>
      <c r="E1273" s="38"/>
      <c r="F1273" s="36"/>
      <c r="G1273" s="39"/>
      <c r="H1273" s="39"/>
      <c r="I1273" s="36"/>
      <c r="J1273" s="36"/>
      <c r="K1273" s="36"/>
      <c r="L1273" s="36"/>
      <c r="M1273" s="40" t="str">
        <f aca="false">IF($F1273="","",$F1273&amp;IF($G1273="",""," - RT "&amp;$G1273&amp;IF($H1273="","","/"&amp;$H1273)))</f>
        <v/>
      </c>
      <c r="N1273" s="36"/>
      <c r="O1273" s="37"/>
      <c r="P1273" s="39"/>
      <c r="Q1273" s="41"/>
      <c r="R1273" s="35" t="str">
        <f aca="true">IF(OR($B1273="",$Q1273=""),"",DATEDIF($Q1273,TODAY(),"Y"))</f>
        <v/>
      </c>
      <c r="S1273" s="40" t="str">
        <f aca="false">IF($R1273="","",INDEX(usia_label,MATCH($R1273,usia_min,1)))</f>
        <v/>
      </c>
      <c r="T1273" s="36"/>
      <c r="U1273" s="41"/>
      <c r="V1273" s="36"/>
      <c r="W1273" s="36"/>
      <c r="X1273" s="40" t="str">
        <f aca="false">IF($M1273="","",$M1273&amp;"#"&amp;COUNTIF($M$4:$M1273,$M1273))</f>
        <v/>
      </c>
      <c r="Y1273" s="40" t="str">
        <f aca="false">IF($B1273="","",IF($C1273="","NIK kosong",IF(LEN($C1273)&lt;&gt;16,"NIK bukan 16 digit",IF(COUNTIF($C$4:$C$2003,$C1273&amp;"*")&gt;1,"NIK ganda",IF(AND($D1273&lt;&gt;"",LEN($D1273)&lt;&gt;16),"No. KK bukan 16 digit",IF(AND($F1273="",$I1273=""),"Alamat kosong",IF($N1273="","Jabatan kosong",IF($O1273="","No. HP kosong",IF(AND($R1273&lt;&gt;"",$R1273&lt;17),"Usia di bawah 17","")))))))))</f>
        <v/>
      </c>
      <c r="Z1273" s="40" t="str">
        <f aca="false">IF($B1273="","",IF(AND(OR(CARI!$C$5="",ISNUMBER(SEARCH(CARI!$C$5,$B1273&amp;" "&amp;$C1273&amp;" "&amp;$D1273&amp;" "&amp;$O1273&amp;" "&amp;$I1273&amp;" "&amp;$F1273&amp;" "&amp;$J1273&amp;" "&amp;$K1273&amp;" "&amp;$L1273&amp;" "&amp;$V1273))),OR(CARI!$C$6="",$F1273=CARI!$C$6),OR(CARI!$C$7="",$G1273=CARI!$C$7),OR(CARI!$C$8="",$T1273=CARI!$C$8)),MAX($Z$3:Z1272)+1,""))</f>
        <v/>
      </c>
      <c r="AA1273" s="40" t="str">
        <f aca="false">IF($Y1273="","",MAX($AA$3:AA1272)+1)</f>
        <v/>
      </c>
      <c r="AB1273" s="40" t="str">
        <f aca="false">IF($F1273="","",$F1273&amp;"#"&amp;COUNTIF($F$4:$F1273,$F1273))</f>
        <v/>
      </c>
      <c r="AC1273" s="40" t="str">
        <f aca="false">IF($B1273="","",IF(AND(OR(CETAK!$J$10="",$F1273=CETAK!$J$10),OR(CETAK!$J$11="",$G1273=CETAK!$J$11),OR(CETAK!$J$12="",$P1273=CETAK!$J$12),OR(CETAK!$J$13="",$N1273=CETAK!$J$13),OR(CETAK!$J$14="",$T1273=CETAK!$J$14)),MAX($AC$3:AC1272)+1,""))</f>
        <v/>
      </c>
      <c r="AD1273" s="40" t="str">
        <f aca="false">IF($B1273="","",IF(AND(OR(ABSENSI!$H$10="",$F1273=ABSENSI!$H$10),OR(ABSENSI!$H$11="",$G1273=ABSENSI!$H$11),OR(ABSENSI!$H$12="",$P1273=ABSENSI!$H$12)),MAX($AD$3:AD1272)+1,""))</f>
        <v/>
      </c>
      <c r="AE1273" s="40" t="str">
        <f aca="false">IF($B1273="","",IF(AND(OR(KARTU!$K$6="",$F1273=KARTU!$K$6),OR(KARTU!$K$7="",$G1273=KARTU!$K$7),OR(KARTU!$K$8="",$P1273=KARTU!$K$8)),MAX($AE$3:AE1272)+1,""))</f>
        <v/>
      </c>
    </row>
    <row r="1274" customFormat="false" ht="15" hidden="false" customHeight="false" outlineLevel="0" collapsed="false">
      <c r="A1274" s="35" t="str">
        <f aca="false">IF($B1274="","",COUNTA($B$4:$B1274))</f>
        <v/>
      </c>
      <c r="B1274" s="36"/>
      <c r="C1274" s="37"/>
      <c r="D1274" s="37"/>
      <c r="E1274" s="38"/>
      <c r="F1274" s="36"/>
      <c r="G1274" s="39"/>
      <c r="H1274" s="39"/>
      <c r="I1274" s="36"/>
      <c r="J1274" s="36"/>
      <c r="K1274" s="36"/>
      <c r="L1274" s="36"/>
      <c r="M1274" s="40" t="str">
        <f aca="false">IF($F1274="","",$F1274&amp;IF($G1274="",""," - RT "&amp;$G1274&amp;IF($H1274="","","/"&amp;$H1274)))</f>
        <v/>
      </c>
      <c r="N1274" s="36"/>
      <c r="O1274" s="37"/>
      <c r="P1274" s="39"/>
      <c r="Q1274" s="41"/>
      <c r="R1274" s="35" t="str">
        <f aca="true">IF(OR($B1274="",$Q1274=""),"",DATEDIF($Q1274,TODAY(),"Y"))</f>
        <v/>
      </c>
      <c r="S1274" s="40" t="str">
        <f aca="false">IF($R1274="","",INDEX(usia_label,MATCH($R1274,usia_min,1)))</f>
        <v/>
      </c>
      <c r="T1274" s="36"/>
      <c r="U1274" s="41"/>
      <c r="V1274" s="36"/>
      <c r="W1274" s="36"/>
      <c r="X1274" s="40" t="str">
        <f aca="false">IF($M1274="","",$M1274&amp;"#"&amp;COUNTIF($M$4:$M1274,$M1274))</f>
        <v/>
      </c>
      <c r="Y1274" s="40" t="str">
        <f aca="false">IF($B1274="","",IF($C1274="","NIK kosong",IF(LEN($C1274)&lt;&gt;16,"NIK bukan 16 digit",IF(COUNTIF($C$4:$C$2003,$C1274&amp;"*")&gt;1,"NIK ganda",IF(AND($D1274&lt;&gt;"",LEN($D1274)&lt;&gt;16),"No. KK bukan 16 digit",IF(AND($F1274="",$I1274=""),"Alamat kosong",IF($N1274="","Jabatan kosong",IF($O1274="","No. HP kosong",IF(AND($R1274&lt;&gt;"",$R1274&lt;17),"Usia di bawah 17","")))))))))</f>
        <v/>
      </c>
      <c r="Z1274" s="40" t="str">
        <f aca="false">IF($B1274="","",IF(AND(OR(CARI!$C$5="",ISNUMBER(SEARCH(CARI!$C$5,$B1274&amp;" "&amp;$C1274&amp;" "&amp;$D1274&amp;" "&amp;$O1274&amp;" "&amp;$I1274&amp;" "&amp;$F1274&amp;" "&amp;$J1274&amp;" "&amp;$K1274&amp;" "&amp;$L1274&amp;" "&amp;$V1274))),OR(CARI!$C$6="",$F1274=CARI!$C$6),OR(CARI!$C$7="",$G1274=CARI!$C$7),OR(CARI!$C$8="",$T1274=CARI!$C$8)),MAX($Z$3:Z1273)+1,""))</f>
        <v/>
      </c>
      <c r="AA1274" s="40" t="str">
        <f aca="false">IF($Y1274="","",MAX($AA$3:AA1273)+1)</f>
        <v/>
      </c>
      <c r="AB1274" s="40" t="str">
        <f aca="false">IF($F1274="","",$F1274&amp;"#"&amp;COUNTIF($F$4:$F1274,$F1274))</f>
        <v/>
      </c>
      <c r="AC1274" s="40" t="str">
        <f aca="false">IF($B1274="","",IF(AND(OR(CETAK!$J$10="",$F1274=CETAK!$J$10),OR(CETAK!$J$11="",$G1274=CETAK!$J$11),OR(CETAK!$J$12="",$P1274=CETAK!$J$12),OR(CETAK!$J$13="",$N1274=CETAK!$J$13),OR(CETAK!$J$14="",$T1274=CETAK!$J$14)),MAX($AC$3:AC1273)+1,""))</f>
        <v/>
      </c>
      <c r="AD1274" s="40" t="str">
        <f aca="false">IF($B1274="","",IF(AND(OR(ABSENSI!$H$10="",$F1274=ABSENSI!$H$10),OR(ABSENSI!$H$11="",$G1274=ABSENSI!$H$11),OR(ABSENSI!$H$12="",$P1274=ABSENSI!$H$12)),MAX($AD$3:AD1273)+1,""))</f>
        <v/>
      </c>
      <c r="AE1274" s="40" t="str">
        <f aca="false">IF($B1274="","",IF(AND(OR(KARTU!$K$6="",$F1274=KARTU!$K$6),OR(KARTU!$K$7="",$G1274=KARTU!$K$7),OR(KARTU!$K$8="",$P1274=KARTU!$K$8)),MAX($AE$3:AE1273)+1,""))</f>
        <v/>
      </c>
    </row>
    <row r="1275" customFormat="false" ht="15" hidden="false" customHeight="false" outlineLevel="0" collapsed="false">
      <c r="A1275" s="35" t="str">
        <f aca="false">IF($B1275="","",COUNTA($B$4:$B1275))</f>
        <v/>
      </c>
      <c r="B1275" s="36"/>
      <c r="C1275" s="37"/>
      <c r="D1275" s="37"/>
      <c r="E1275" s="38"/>
      <c r="F1275" s="36"/>
      <c r="G1275" s="39"/>
      <c r="H1275" s="39"/>
      <c r="I1275" s="36"/>
      <c r="J1275" s="36"/>
      <c r="K1275" s="36"/>
      <c r="L1275" s="36"/>
      <c r="M1275" s="40" t="str">
        <f aca="false">IF($F1275="","",$F1275&amp;IF($G1275="",""," - RT "&amp;$G1275&amp;IF($H1275="","","/"&amp;$H1275)))</f>
        <v/>
      </c>
      <c r="N1275" s="36"/>
      <c r="O1275" s="37"/>
      <c r="P1275" s="39"/>
      <c r="Q1275" s="41"/>
      <c r="R1275" s="35" t="str">
        <f aca="true">IF(OR($B1275="",$Q1275=""),"",DATEDIF($Q1275,TODAY(),"Y"))</f>
        <v/>
      </c>
      <c r="S1275" s="40" t="str">
        <f aca="false">IF($R1275="","",INDEX(usia_label,MATCH($R1275,usia_min,1)))</f>
        <v/>
      </c>
      <c r="T1275" s="36"/>
      <c r="U1275" s="41"/>
      <c r="V1275" s="36"/>
      <c r="W1275" s="36"/>
      <c r="X1275" s="40" t="str">
        <f aca="false">IF($M1275="","",$M1275&amp;"#"&amp;COUNTIF($M$4:$M1275,$M1275))</f>
        <v/>
      </c>
      <c r="Y1275" s="40" t="str">
        <f aca="false">IF($B1275="","",IF($C1275="","NIK kosong",IF(LEN($C1275)&lt;&gt;16,"NIK bukan 16 digit",IF(COUNTIF($C$4:$C$2003,$C1275&amp;"*")&gt;1,"NIK ganda",IF(AND($D1275&lt;&gt;"",LEN($D1275)&lt;&gt;16),"No. KK bukan 16 digit",IF(AND($F1275="",$I1275=""),"Alamat kosong",IF($N1275="","Jabatan kosong",IF($O1275="","No. HP kosong",IF(AND($R1275&lt;&gt;"",$R1275&lt;17),"Usia di bawah 17","")))))))))</f>
        <v/>
      </c>
      <c r="Z1275" s="40" t="str">
        <f aca="false">IF($B1275="","",IF(AND(OR(CARI!$C$5="",ISNUMBER(SEARCH(CARI!$C$5,$B1275&amp;" "&amp;$C1275&amp;" "&amp;$D1275&amp;" "&amp;$O1275&amp;" "&amp;$I1275&amp;" "&amp;$F1275&amp;" "&amp;$J1275&amp;" "&amp;$K1275&amp;" "&amp;$L1275&amp;" "&amp;$V1275))),OR(CARI!$C$6="",$F1275=CARI!$C$6),OR(CARI!$C$7="",$G1275=CARI!$C$7),OR(CARI!$C$8="",$T1275=CARI!$C$8)),MAX($Z$3:Z1274)+1,""))</f>
        <v/>
      </c>
      <c r="AA1275" s="40" t="str">
        <f aca="false">IF($Y1275="","",MAX($AA$3:AA1274)+1)</f>
        <v/>
      </c>
      <c r="AB1275" s="40" t="str">
        <f aca="false">IF($F1275="","",$F1275&amp;"#"&amp;COUNTIF($F$4:$F1275,$F1275))</f>
        <v/>
      </c>
      <c r="AC1275" s="40" t="str">
        <f aca="false">IF($B1275="","",IF(AND(OR(CETAK!$J$10="",$F1275=CETAK!$J$10),OR(CETAK!$J$11="",$G1275=CETAK!$J$11),OR(CETAK!$J$12="",$P1275=CETAK!$J$12),OR(CETAK!$J$13="",$N1275=CETAK!$J$13),OR(CETAK!$J$14="",$T1275=CETAK!$J$14)),MAX($AC$3:AC1274)+1,""))</f>
        <v/>
      </c>
      <c r="AD1275" s="40" t="str">
        <f aca="false">IF($B1275="","",IF(AND(OR(ABSENSI!$H$10="",$F1275=ABSENSI!$H$10),OR(ABSENSI!$H$11="",$G1275=ABSENSI!$H$11),OR(ABSENSI!$H$12="",$P1275=ABSENSI!$H$12)),MAX($AD$3:AD1274)+1,""))</f>
        <v/>
      </c>
      <c r="AE1275" s="40" t="str">
        <f aca="false">IF($B1275="","",IF(AND(OR(KARTU!$K$6="",$F1275=KARTU!$K$6),OR(KARTU!$K$7="",$G1275=KARTU!$K$7),OR(KARTU!$K$8="",$P1275=KARTU!$K$8)),MAX($AE$3:AE1274)+1,""))</f>
        <v/>
      </c>
    </row>
    <row r="1276" customFormat="false" ht="15" hidden="false" customHeight="false" outlineLevel="0" collapsed="false">
      <c r="A1276" s="35" t="str">
        <f aca="false">IF($B1276="","",COUNTA($B$4:$B1276))</f>
        <v/>
      </c>
      <c r="B1276" s="36"/>
      <c r="C1276" s="37"/>
      <c r="D1276" s="37"/>
      <c r="E1276" s="38"/>
      <c r="F1276" s="36"/>
      <c r="G1276" s="39"/>
      <c r="H1276" s="39"/>
      <c r="I1276" s="36"/>
      <c r="J1276" s="36"/>
      <c r="K1276" s="36"/>
      <c r="L1276" s="36"/>
      <c r="M1276" s="40" t="str">
        <f aca="false">IF($F1276="","",$F1276&amp;IF($G1276="",""," - RT "&amp;$G1276&amp;IF($H1276="","","/"&amp;$H1276)))</f>
        <v/>
      </c>
      <c r="N1276" s="36"/>
      <c r="O1276" s="37"/>
      <c r="P1276" s="39"/>
      <c r="Q1276" s="41"/>
      <c r="R1276" s="35" t="str">
        <f aca="true">IF(OR($B1276="",$Q1276=""),"",DATEDIF($Q1276,TODAY(),"Y"))</f>
        <v/>
      </c>
      <c r="S1276" s="40" t="str">
        <f aca="false">IF($R1276="","",INDEX(usia_label,MATCH($R1276,usia_min,1)))</f>
        <v/>
      </c>
      <c r="T1276" s="36"/>
      <c r="U1276" s="41"/>
      <c r="V1276" s="36"/>
      <c r="W1276" s="36"/>
      <c r="X1276" s="40" t="str">
        <f aca="false">IF($M1276="","",$M1276&amp;"#"&amp;COUNTIF($M$4:$M1276,$M1276))</f>
        <v/>
      </c>
      <c r="Y1276" s="40" t="str">
        <f aca="false">IF($B1276="","",IF($C1276="","NIK kosong",IF(LEN($C1276)&lt;&gt;16,"NIK bukan 16 digit",IF(COUNTIF($C$4:$C$2003,$C1276&amp;"*")&gt;1,"NIK ganda",IF(AND($D1276&lt;&gt;"",LEN($D1276)&lt;&gt;16),"No. KK bukan 16 digit",IF(AND($F1276="",$I1276=""),"Alamat kosong",IF($N1276="","Jabatan kosong",IF($O1276="","No. HP kosong",IF(AND($R1276&lt;&gt;"",$R1276&lt;17),"Usia di bawah 17","")))))))))</f>
        <v/>
      </c>
      <c r="Z1276" s="40" t="str">
        <f aca="false">IF($B1276="","",IF(AND(OR(CARI!$C$5="",ISNUMBER(SEARCH(CARI!$C$5,$B1276&amp;" "&amp;$C1276&amp;" "&amp;$D1276&amp;" "&amp;$O1276&amp;" "&amp;$I1276&amp;" "&amp;$F1276&amp;" "&amp;$J1276&amp;" "&amp;$K1276&amp;" "&amp;$L1276&amp;" "&amp;$V1276))),OR(CARI!$C$6="",$F1276=CARI!$C$6),OR(CARI!$C$7="",$G1276=CARI!$C$7),OR(CARI!$C$8="",$T1276=CARI!$C$8)),MAX($Z$3:Z1275)+1,""))</f>
        <v/>
      </c>
      <c r="AA1276" s="40" t="str">
        <f aca="false">IF($Y1276="","",MAX($AA$3:AA1275)+1)</f>
        <v/>
      </c>
      <c r="AB1276" s="40" t="str">
        <f aca="false">IF($F1276="","",$F1276&amp;"#"&amp;COUNTIF($F$4:$F1276,$F1276))</f>
        <v/>
      </c>
      <c r="AC1276" s="40" t="str">
        <f aca="false">IF($B1276="","",IF(AND(OR(CETAK!$J$10="",$F1276=CETAK!$J$10),OR(CETAK!$J$11="",$G1276=CETAK!$J$11),OR(CETAK!$J$12="",$P1276=CETAK!$J$12),OR(CETAK!$J$13="",$N1276=CETAK!$J$13),OR(CETAK!$J$14="",$T1276=CETAK!$J$14)),MAX($AC$3:AC1275)+1,""))</f>
        <v/>
      </c>
      <c r="AD1276" s="40" t="str">
        <f aca="false">IF($B1276="","",IF(AND(OR(ABSENSI!$H$10="",$F1276=ABSENSI!$H$10),OR(ABSENSI!$H$11="",$G1276=ABSENSI!$H$11),OR(ABSENSI!$H$12="",$P1276=ABSENSI!$H$12)),MAX($AD$3:AD1275)+1,""))</f>
        <v/>
      </c>
      <c r="AE1276" s="40" t="str">
        <f aca="false">IF($B1276="","",IF(AND(OR(KARTU!$K$6="",$F1276=KARTU!$K$6),OR(KARTU!$K$7="",$G1276=KARTU!$K$7),OR(KARTU!$K$8="",$P1276=KARTU!$K$8)),MAX($AE$3:AE1275)+1,""))</f>
        <v/>
      </c>
    </row>
    <row r="1277" customFormat="false" ht="15" hidden="false" customHeight="false" outlineLevel="0" collapsed="false">
      <c r="A1277" s="35" t="str">
        <f aca="false">IF($B1277="","",COUNTA($B$4:$B1277))</f>
        <v/>
      </c>
      <c r="B1277" s="36"/>
      <c r="C1277" s="37"/>
      <c r="D1277" s="37"/>
      <c r="E1277" s="38"/>
      <c r="F1277" s="36"/>
      <c r="G1277" s="39"/>
      <c r="H1277" s="39"/>
      <c r="I1277" s="36"/>
      <c r="J1277" s="36"/>
      <c r="K1277" s="36"/>
      <c r="L1277" s="36"/>
      <c r="M1277" s="40" t="str">
        <f aca="false">IF($F1277="","",$F1277&amp;IF($G1277="",""," - RT "&amp;$G1277&amp;IF($H1277="","","/"&amp;$H1277)))</f>
        <v/>
      </c>
      <c r="N1277" s="36"/>
      <c r="O1277" s="37"/>
      <c r="P1277" s="39"/>
      <c r="Q1277" s="41"/>
      <c r="R1277" s="35" t="str">
        <f aca="true">IF(OR($B1277="",$Q1277=""),"",DATEDIF($Q1277,TODAY(),"Y"))</f>
        <v/>
      </c>
      <c r="S1277" s="40" t="str">
        <f aca="false">IF($R1277="","",INDEX(usia_label,MATCH($R1277,usia_min,1)))</f>
        <v/>
      </c>
      <c r="T1277" s="36"/>
      <c r="U1277" s="41"/>
      <c r="V1277" s="36"/>
      <c r="W1277" s="36"/>
      <c r="X1277" s="40" t="str">
        <f aca="false">IF($M1277="","",$M1277&amp;"#"&amp;COUNTIF($M$4:$M1277,$M1277))</f>
        <v/>
      </c>
      <c r="Y1277" s="40" t="str">
        <f aca="false">IF($B1277="","",IF($C1277="","NIK kosong",IF(LEN($C1277)&lt;&gt;16,"NIK bukan 16 digit",IF(COUNTIF($C$4:$C$2003,$C1277&amp;"*")&gt;1,"NIK ganda",IF(AND($D1277&lt;&gt;"",LEN($D1277)&lt;&gt;16),"No. KK bukan 16 digit",IF(AND($F1277="",$I1277=""),"Alamat kosong",IF($N1277="","Jabatan kosong",IF($O1277="","No. HP kosong",IF(AND($R1277&lt;&gt;"",$R1277&lt;17),"Usia di bawah 17","")))))))))</f>
        <v/>
      </c>
      <c r="Z1277" s="40" t="str">
        <f aca="false">IF($B1277="","",IF(AND(OR(CARI!$C$5="",ISNUMBER(SEARCH(CARI!$C$5,$B1277&amp;" "&amp;$C1277&amp;" "&amp;$D1277&amp;" "&amp;$O1277&amp;" "&amp;$I1277&amp;" "&amp;$F1277&amp;" "&amp;$J1277&amp;" "&amp;$K1277&amp;" "&amp;$L1277&amp;" "&amp;$V1277))),OR(CARI!$C$6="",$F1277=CARI!$C$6),OR(CARI!$C$7="",$G1277=CARI!$C$7),OR(CARI!$C$8="",$T1277=CARI!$C$8)),MAX($Z$3:Z1276)+1,""))</f>
        <v/>
      </c>
      <c r="AA1277" s="40" t="str">
        <f aca="false">IF($Y1277="","",MAX($AA$3:AA1276)+1)</f>
        <v/>
      </c>
      <c r="AB1277" s="40" t="str">
        <f aca="false">IF($F1277="","",$F1277&amp;"#"&amp;COUNTIF($F$4:$F1277,$F1277))</f>
        <v/>
      </c>
      <c r="AC1277" s="40" t="str">
        <f aca="false">IF($B1277="","",IF(AND(OR(CETAK!$J$10="",$F1277=CETAK!$J$10),OR(CETAK!$J$11="",$G1277=CETAK!$J$11),OR(CETAK!$J$12="",$P1277=CETAK!$J$12),OR(CETAK!$J$13="",$N1277=CETAK!$J$13),OR(CETAK!$J$14="",$T1277=CETAK!$J$14)),MAX($AC$3:AC1276)+1,""))</f>
        <v/>
      </c>
      <c r="AD1277" s="40" t="str">
        <f aca="false">IF($B1277="","",IF(AND(OR(ABSENSI!$H$10="",$F1277=ABSENSI!$H$10),OR(ABSENSI!$H$11="",$G1277=ABSENSI!$H$11),OR(ABSENSI!$H$12="",$P1277=ABSENSI!$H$12)),MAX($AD$3:AD1276)+1,""))</f>
        <v/>
      </c>
      <c r="AE1277" s="40" t="str">
        <f aca="false">IF($B1277="","",IF(AND(OR(KARTU!$K$6="",$F1277=KARTU!$K$6),OR(KARTU!$K$7="",$G1277=KARTU!$K$7),OR(KARTU!$K$8="",$P1277=KARTU!$K$8)),MAX($AE$3:AE1276)+1,""))</f>
        <v/>
      </c>
    </row>
    <row r="1278" customFormat="false" ht="15" hidden="false" customHeight="false" outlineLevel="0" collapsed="false">
      <c r="A1278" s="35" t="str">
        <f aca="false">IF($B1278="","",COUNTA($B$4:$B1278))</f>
        <v/>
      </c>
      <c r="B1278" s="36"/>
      <c r="C1278" s="37"/>
      <c r="D1278" s="37"/>
      <c r="E1278" s="38"/>
      <c r="F1278" s="36"/>
      <c r="G1278" s="39"/>
      <c r="H1278" s="39"/>
      <c r="I1278" s="36"/>
      <c r="J1278" s="36"/>
      <c r="K1278" s="36"/>
      <c r="L1278" s="36"/>
      <c r="M1278" s="40" t="str">
        <f aca="false">IF($F1278="","",$F1278&amp;IF($G1278="",""," - RT "&amp;$G1278&amp;IF($H1278="","","/"&amp;$H1278)))</f>
        <v/>
      </c>
      <c r="N1278" s="36"/>
      <c r="O1278" s="37"/>
      <c r="P1278" s="39"/>
      <c r="Q1278" s="41"/>
      <c r="R1278" s="35" t="str">
        <f aca="true">IF(OR($B1278="",$Q1278=""),"",DATEDIF($Q1278,TODAY(),"Y"))</f>
        <v/>
      </c>
      <c r="S1278" s="40" t="str">
        <f aca="false">IF($R1278="","",INDEX(usia_label,MATCH($R1278,usia_min,1)))</f>
        <v/>
      </c>
      <c r="T1278" s="36"/>
      <c r="U1278" s="41"/>
      <c r="V1278" s="36"/>
      <c r="W1278" s="36"/>
      <c r="X1278" s="40" t="str">
        <f aca="false">IF($M1278="","",$M1278&amp;"#"&amp;COUNTIF($M$4:$M1278,$M1278))</f>
        <v/>
      </c>
      <c r="Y1278" s="40" t="str">
        <f aca="false">IF($B1278="","",IF($C1278="","NIK kosong",IF(LEN($C1278)&lt;&gt;16,"NIK bukan 16 digit",IF(COUNTIF($C$4:$C$2003,$C1278&amp;"*")&gt;1,"NIK ganda",IF(AND($D1278&lt;&gt;"",LEN($D1278)&lt;&gt;16),"No. KK bukan 16 digit",IF(AND($F1278="",$I1278=""),"Alamat kosong",IF($N1278="","Jabatan kosong",IF($O1278="","No. HP kosong",IF(AND($R1278&lt;&gt;"",$R1278&lt;17),"Usia di bawah 17","")))))))))</f>
        <v/>
      </c>
      <c r="Z1278" s="40" t="str">
        <f aca="false">IF($B1278="","",IF(AND(OR(CARI!$C$5="",ISNUMBER(SEARCH(CARI!$C$5,$B1278&amp;" "&amp;$C1278&amp;" "&amp;$D1278&amp;" "&amp;$O1278&amp;" "&amp;$I1278&amp;" "&amp;$F1278&amp;" "&amp;$J1278&amp;" "&amp;$K1278&amp;" "&amp;$L1278&amp;" "&amp;$V1278))),OR(CARI!$C$6="",$F1278=CARI!$C$6),OR(CARI!$C$7="",$G1278=CARI!$C$7),OR(CARI!$C$8="",$T1278=CARI!$C$8)),MAX($Z$3:Z1277)+1,""))</f>
        <v/>
      </c>
      <c r="AA1278" s="40" t="str">
        <f aca="false">IF($Y1278="","",MAX($AA$3:AA1277)+1)</f>
        <v/>
      </c>
      <c r="AB1278" s="40" t="str">
        <f aca="false">IF($F1278="","",$F1278&amp;"#"&amp;COUNTIF($F$4:$F1278,$F1278))</f>
        <v/>
      </c>
      <c r="AC1278" s="40" t="str">
        <f aca="false">IF($B1278="","",IF(AND(OR(CETAK!$J$10="",$F1278=CETAK!$J$10),OR(CETAK!$J$11="",$G1278=CETAK!$J$11),OR(CETAK!$J$12="",$P1278=CETAK!$J$12),OR(CETAK!$J$13="",$N1278=CETAK!$J$13),OR(CETAK!$J$14="",$T1278=CETAK!$J$14)),MAX($AC$3:AC1277)+1,""))</f>
        <v/>
      </c>
      <c r="AD1278" s="40" t="str">
        <f aca="false">IF($B1278="","",IF(AND(OR(ABSENSI!$H$10="",$F1278=ABSENSI!$H$10),OR(ABSENSI!$H$11="",$G1278=ABSENSI!$H$11),OR(ABSENSI!$H$12="",$P1278=ABSENSI!$H$12)),MAX($AD$3:AD1277)+1,""))</f>
        <v/>
      </c>
      <c r="AE1278" s="40" t="str">
        <f aca="false">IF($B1278="","",IF(AND(OR(KARTU!$K$6="",$F1278=KARTU!$K$6),OR(KARTU!$K$7="",$G1278=KARTU!$K$7),OR(KARTU!$K$8="",$P1278=KARTU!$K$8)),MAX($AE$3:AE1277)+1,""))</f>
        <v/>
      </c>
    </row>
    <row r="1279" customFormat="false" ht="15" hidden="false" customHeight="false" outlineLevel="0" collapsed="false">
      <c r="A1279" s="35" t="str">
        <f aca="false">IF($B1279="","",COUNTA($B$4:$B1279))</f>
        <v/>
      </c>
      <c r="B1279" s="36"/>
      <c r="C1279" s="37"/>
      <c r="D1279" s="37"/>
      <c r="E1279" s="38"/>
      <c r="F1279" s="36"/>
      <c r="G1279" s="39"/>
      <c r="H1279" s="39"/>
      <c r="I1279" s="36"/>
      <c r="J1279" s="36"/>
      <c r="K1279" s="36"/>
      <c r="L1279" s="36"/>
      <c r="M1279" s="40" t="str">
        <f aca="false">IF($F1279="","",$F1279&amp;IF($G1279="",""," - RT "&amp;$G1279&amp;IF($H1279="","","/"&amp;$H1279)))</f>
        <v/>
      </c>
      <c r="N1279" s="36"/>
      <c r="O1279" s="37"/>
      <c r="P1279" s="39"/>
      <c r="Q1279" s="41"/>
      <c r="R1279" s="35" t="str">
        <f aca="true">IF(OR($B1279="",$Q1279=""),"",DATEDIF($Q1279,TODAY(),"Y"))</f>
        <v/>
      </c>
      <c r="S1279" s="40" t="str">
        <f aca="false">IF($R1279="","",INDEX(usia_label,MATCH($R1279,usia_min,1)))</f>
        <v/>
      </c>
      <c r="T1279" s="36"/>
      <c r="U1279" s="41"/>
      <c r="V1279" s="36"/>
      <c r="W1279" s="36"/>
      <c r="X1279" s="40" t="str">
        <f aca="false">IF($M1279="","",$M1279&amp;"#"&amp;COUNTIF($M$4:$M1279,$M1279))</f>
        <v/>
      </c>
      <c r="Y1279" s="40" t="str">
        <f aca="false">IF($B1279="","",IF($C1279="","NIK kosong",IF(LEN($C1279)&lt;&gt;16,"NIK bukan 16 digit",IF(COUNTIF($C$4:$C$2003,$C1279&amp;"*")&gt;1,"NIK ganda",IF(AND($D1279&lt;&gt;"",LEN($D1279)&lt;&gt;16),"No. KK bukan 16 digit",IF(AND($F1279="",$I1279=""),"Alamat kosong",IF($N1279="","Jabatan kosong",IF($O1279="","No. HP kosong",IF(AND($R1279&lt;&gt;"",$R1279&lt;17),"Usia di bawah 17","")))))))))</f>
        <v/>
      </c>
      <c r="Z1279" s="40" t="str">
        <f aca="false">IF($B1279="","",IF(AND(OR(CARI!$C$5="",ISNUMBER(SEARCH(CARI!$C$5,$B1279&amp;" "&amp;$C1279&amp;" "&amp;$D1279&amp;" "&amp;$O1279&amp;" "&amp;$I1279&amp;" "&amp;$F1279&amp;" "&amp;$J1279&amp;" "&amp;$K1279&amp;" "&amp;$L1279&amp;" "&amp;$V1279))),OR(CARI!$C$6="",$F1279=CARI!$C$6),OR(CARI!$C$7="",$G1279=CARI!$C$7),OR(CARI!$C$8="",$T1279=CARI!$C$8)),MAX($Z$3:Z1278)+1,""))</f>
        <v/>
      </c>
      <c r="AA1279" s="40" t="str">
        <f aca="false">IF($Y1279="","",MAX($AA$3:AA1278)+1)</f>
        <v/>
      </c>
      <c r="AB1279" s="40" t="str">
        <f aca="false">IF($F1279="","",$F1279&amp;"#"&amp;COUNTIF($F$4:$F1279,$F1279))</f>
        <v/>
      </c>
      <c r="AC1279" s="40" t="str">
        <f aca="false">IF($B1279="","",IF(AND(OR(CETAK!$J$10="",$F1279=CETAK!$J$10),OR(CETAK!$J$11="",$G1279=CETAK!$J$11),OR(CETAK!$J$12="",$P1279=CETAK!$J$12),OR(CETAK!$J$13="",$N1279=CETAK!$J$13),OR(CETAK!$J$14="",$T1279=CETAK!$J$14)),MAX($AC$3:AC1278)+1,""))</f>
        <v/>
      </c>
      <c r="AD1279" s="40" t="str">
        <f aca="false">IF($B1279="","",IF(AND(OR(ABSENSI!$H$10="",$F1279=ABSENSI!$H$10),OR(ABSENSI!$H$11="",$G1279=ABSENSI!$H$11),OR(ABSENSI!$H$12="",$P1279=ABSENSI!$H$12)),MAX($AD$3:AD1278)+1,""))</f>
        <v/>
      </c>
      <c r="AE1279" s="40" t="str">
        <f aca="false">IF($B1279="","",IF(AND(OR(KARTU!$K$6="",$F1279=KARTU!$K$6),OR(KARTU!$K$7="",$G1279=KARTU!$K$7),OR(KARTU!$K$8="",$P1279=KARTU!$K$8)),MAX($AE$3:AE1278)+1,""))</f>
        <v/>
      </c>
    </row>
    <row r="1280" customFormat="false" ht="15" hidden="false" customHeight="false" outlineLevel="0" collapsed="false">
      <c r="A1280" s="35" t="str">
        <f aca="false">IF($B1280="","",COUNTA($B$4:$B1280))</f>
        <v/>
      </c>
      <c r="B1280" s="36"/>
      <c r="C1280" s="37"/>
      <c r="D1280" s="37"/>
      <c r="E1280" s="38"/>
      <c r="F1280" s="36"/>
      <c r="G1280" s="39"/>
      <c r="H1280" s="39"/>
      <c r="I1280" s="36"/>
      <c r="J1280" s="36"/>
      <c r="K1280" s="36"/>
      <c r="L1280" s="36"/>
      <c r="M1280" s="40" t="str">
        <f aca="false">IF($F1280="","",$F1280&amp;IF($G1280="",""," - RT "&amp;$G1280&amp;IF($H1280="","","/"&amp;$H1280)))</f>
        <v/>
      </c>
      <c r="N1280" s="36"/>
      <c r="O1280" s="37"/>
      <c r="P1280" s="39"/>
      <c r="Q1280" s="41"/>
      <c r="R1280" s="35" t="str">
        <f aca="true">IF(OR($B1280="",$Q1280=""),"",DATEDIF($Q1280,TODAY(),"Y"))</f>
        <v/>
      </c>
      <c r="S1280" s="40" t="str">
        <f aca="false">IF($R1280="","",INDEX(usia_label,MATCH($R1280,usia_min,1)))</f>
        <v/>
      </c>
      <c r="T1280" s="36"/>
      <c r="U1280" s="41"/>
      <c r="V1280" s="36"/>
      <c r="W1280" s="36"/>
      <c r="X1280" s="40" t="str">
        <f aca="false">IF($M1280="","",$M1280&amp;"#"&amp;COUNTIF($M$4:$M1280,$M1280))</f>
        <v/>
      </c>
      <c r="Y1280" s="40" t="str">
        <f aca="false">IF($B1280="","",IF($C1280="","NIK kosong",IF(LEN($C1280)&lt;&gt;16,"NIK bukan 16 digit",IF(COUNTIF($C$4:$C$2003,$C1280&amp;"*")&gt;1,"NIK ganda",IF(AND($D1280&lt;&gt;"",LEN($D1280)&lt;&gt;16),"No. KK bukan 16 digit",IF(AND($F1280="",$I1280=""),"Alamat kosong",IF($N1280="","Jabatan kosong",IF($O1280="","No. HP kosong",IF(AND($R1280&lt;&gt;"",$R1280&lt;17),"Usia di bawah 17","")))))))))</f>
        <v/>
      </c>
      <c r="Z1280" s="40" t="str">
        <f aca="false">IF($B1280="","",IF(AND(OR(CARI!$C$5="",ISNUMBER(SEARCH(CARI!$C$5,$B1280&amp;" "&amp;$C1280&amp;" "&amp;$D1280&amp;" "&amp;$O1280&amp;" "&amp;$I1280&amp;" "&amp;$F1280&amp;" "&amp;$J1280&amp;" "&amp;$K1280&amp;" "&amp;$L1280&amp;" "&amp;$V1280))),OR(CARI!$C$6="",$F1280=CARI!$C$6),OR(CARI!$C$7="",$G1280=CARI!$C$7),OR(CARI!$C$8="",$T1280=CARI!$C$8)),MAX($Z$3:Z1279)+1,""))</f>
        <v/>
      </c>
      <c r="AA1280" s="40" t="str">
        <f aca="false">IF($Y1280="","",MAX($AA$3:AA1279)+1)</f>
        <v/>
      </c>
      <c r="AB1280" s="40" t="str">
        <f aca="false">IF($F1280="","",$F1280&amp;"#"&amp;COUNTIF($F$4:$F1280,$F1280))</f>
        <v/>
      </c>
      <c r="AC1280" s="40" t="str">
        <f aca="false">IF($B1280="","",IF(AND(OR(CETAK!$J$10="",$F1280=CETAK!$J$10),OR(CETAK!$J$11="",$G1280=CETAK!$J$11),OR(CETAK!$J$12="",$P1280=CETAK!$J$12),OR(CETAK!$J$13="",$N1280=CETAK!$J$13),OR(CETAK!$J$14="",$T1280=CETAK!$J$14)),MAX($AC$3:AC1279)+1,""))</f>
        <v/>
      </c>
      <c r="AD1280" s="40" t="str">
        <f aca="false">IF($B1280="","",IF(AND(OR(ABSENSI!$H$10="",$F1280=ABSENSI!$H$10),OR(ABSENSI!$H$11="",$G1280=ABSENSI!$H$11),OR(ABSENSI!$H$12="",$P1280=ABSENSI!$H$12)),MAX($AD$3:AD1279)+1,""))</f>
        <v/>
      </c>
      <c r="AE1280" s="40" t="str">
        <f aca="false">IF($B1280="","",IF(AND(OR(KARTU!$K$6="",$F1280=KARTU!$K$6),OR(KARTU!$K$7="",$G1280=KARTU!$K$7),OR(KARTU!$K$8="",$P1280=KARTU!$K$8)),MAX($AE$3:AE1279)+1,""))</f>
        <v/>
      </c>
    </row>
    <row r="1281" customFormat="false" ht="15" hidden="false" customHeight="false" outlineLevel="0" collapsed="false">
      <c r="A1281" s="35" t="str">
        <f aca="false">IF($B1281="","",COUNTA($B$4:$B1281))</f>
        <v/>
      </c>
      <c r="B1281" s="36"/>
      <c r="C1281" s="37"/>
      <c r="D1281" s="37"/>
      <c r="E1281" s="38"/>
      <c r="F1281" s="36"/>
      <c r="G1281" s="39"/>
      <c r="H1281" s="39"/>
      <c r="I1281" s="36"/>
      <c r="J1281" s="36"/>
      <c r="K1281" s="36"/>
      <c r="L1281" s="36"/>
      <c r="M1281" s="40" t="str">
        <f aca="false">IF($F1281="","",$F1281&amp;IF($G1281="",""," - RT "&amp;$G1281&amp;IF($H1281="","","/"&amp;$H1281)))</f>
        <v/>
      </c>
      <c r="N1281" s="36"/>
      <c r="O1281" s="37"/>
      <c r="P1281" s="39"/>
      <c r="Q1281" s="41"/>
      <c r="R1281" s="35" t="str">
        <f aca="true">IF(OR($B1281="",$Q1281=""),"",DATEDIF($Q1281,TODAY(),"Y"))</f>
        <v/>
      </c>
      <c r="S1281" s="40" t="str">
        <f aca="false">IF($R1281="","",INDEX(usia_label,MATCH($R1281,usia_min,1)))</f>
        <v/>
      </c>
      <c r="T1281" s="36"/>
      <c r="U1281" s="41"/>
      <c r="V1281" s="36"/>
      <c r="W1281" s="36"/>
      <c r="X1281" s="40" t="str">
        <f aca="false">IF($M1281="","",$M1281&amp;"#"&amp;COUNTIF($M$4:$M1281,$M1281))</f>
        <v/>
      </c>
      <c r="Y1281" s="40" t="str">
        <f aca="false">IF($B1281="","",IF($C1281="","NIK kosong",IF(LEN($C1281)&lt;&gt;16,"NIK bukan 16 digit",IF(COUNTIF($C$4:$C$2003,$C1281&amp;"*")&gt;1,"NIK ganda",IF(AND($D1281&lt;&gt;"",LEN($D1281)&lt;&gt;16),"No. KK bukan 16 digit",IF(AND($F1281="",$I1281=""),"Alamat kosong",IF($N1281="","Jabatan kosong",IF($O1281="","No. HP kosong",IF(AND($R1281&lt;&gt;"",$R1281&lt;17),"Usia di bawah 17","")))))))))</f>
        <v/>
      </c>
      <c r="Z1281" s="40" t="str">
        <f aca="false">IF($B1281="","",IF(AND(OR(CARI!$C$5="",ISNUMBER(SEARCH(CARI!$C$5,$B1281&amp;" "&amp;$C1281&amp;" "&amp;$D1281&amp;" "&amp;$O1281&amp;" "&amp;$I1281&amp;" "&amp;$F1281&amp;" "&amp;$J1281&amp;" "&amp;$K1281&amp;" "&amp;$L1281&amp;" "&amp;$V1281))),OR(CARI!$C$6="",$F1281=CARI!$C$6),OR(CARI!$C$7="",$G1281=CARI!$C$7),OR(CARI!$C$8="",$T1281=CARI!$C$8)),MAX($Z$3:Z1280)+1,""))</f>
        <v/>
      </c>
      <c r="AA1281" s="40" t="str">
        <f aca="false">IF($Y1281="","",MAX($AA$3:AA1280)+1)</f>
        <v/>
      </c>
      <c r="AB1281" s="40" t="str">
        <f aca="false">IF($F1281="","",$F1281&amp;"#"&amp;COUNTIF($F$4:$F1281,$F1281))</f>
        <v/>
      </c>
      <c r="AC1281" s="40" t="str">
        <f aca="false">IF($B1281="","",IF(AND(OR(CETAK!$J$10="",$F1281=CETAK!$J$10),OR(CETAK!$J$11="",$G1281=CETAK!$J$11),OR(CETAK!$J$12="",$P1281=CETAK!$J$12),OR(CETAK!$J$13="",$N1281=CETAK!$J$13),OR(CETAK!$J$14="",$T1281=CETAK!$J$14)),MAX($AC$3:AC1280)+1,""))</f>
        <v/>
      </c>
      <c r="AD1281" s="40" t="str">
        <f aca="false">IF($B1281="","",IF(AND(OR(ABSENSI!$H$10="",$F1281=ABSENSI!$H$10),OR(ABSENSI!$H$11="",$G1281=ABSENSI!$H$11),OR(ABSENSI!$H$12="",$P1281=ABSENSI!$H$12)),MAX($AD$3:AD1280)+1,""))</f>
        <v/>
      </c>
      <c r="AE1281" s="40" t="str">
        <f aca="false">IF($B1281="","",IF(AND(OR(KARTU!$K$6="",$F1281=KARTU!$K$6),OR(KARTU!$K$7="",$G1281=KARTU!$K$7),OR(KARTU!$K$8="",$P1281=KARTU!$K$8)),MAX($AE$3:AE1280)+1,""))</f>
        <v/>
      </c>
    </row>
    <row r="1282" customFormat="false" ht="15" hidden="false" customHeight="false" outlineLevel="0" collapsed="false">
      <c r="A1282" s="35" t="str">
        <f aca="false">IF($B1282="","",COUNTA($B$4:$B1282))</f>
        <v/>
      </c>
      <c r="B1282" s="36"/>
      <c r="C1282" s="37"/>
      <c r="D1282" s="37"/>
      <c r="E1282" s="38"/>
      <c r="F1282" s="36"/>
      <c r="G1282" s="39"/>
      <c r="H1282" s="39"/>
      <c r="I1282" s="36"/>
      <c r="J1282" s="36"/>
      <c r="K1282" s="36"/>
      <c r="L1282" s="36"/>
      <c r="M1282" s="40" t="str">
        <f aca="false">IF($F1282="","",$F1282&amp;IF($G1282="",""," - RT "&amp;$G1282&amp;IF($H1282="","","/"&amp;$H1282)))</f>
        <v/>
      </c>
      <c r="N1282" s="36"/>
      <c r="O1282" s="37"/>
      <c r="P1282" s="39"/>
      <c r="Q1282" s="41"/>
      <c r="R1282" s="35" t="str">
        <f aca="true">IF(OR($B1282="",$Q1282=""),"",DATEDIF($Q1282,TODAY(),"Y"))</f>
        <v/>
      </c>
      <c r="S1282" s="40" t="str">
        <f aca="false">IF($R1282="","",INDEX(usia_label,MATCH($R1282,usia_min,1)))</f>
        <v/>
      </c>
      <c r="T1282" s="36"/>
      <c r="U1282" s="41"/>
      <c r="V1282" s="36"/>
      <c r="W1282" s="36"/>
      <c r="X1282" s="40" t="str">
        <f aca="false">IF($M1282="","",$M1282&amp;"#"&amp;COUNTIF($M$4:$M1282,$M1282))</f>
        <v/>
      </c>
      <c r="Y1282" s="40" t="str">
        <f aca="false">IF($B1282="","",IF($C1282="","NIK kosong",IF(LEN($C1282)&lt;&gt;16,"NIK bukan 16 digit",IF(COUNTIF($C$4:$C$2003,$C1282&amp;"*")&gt;1,"NIK ganda",IF(AND($D1282&lt;&gt;"",LEN($D1282)&lt;&gt;16),"No. KK bukan 16 digit",IF(AND($F1282="",$I1282=""),"Alamat kosong",IF($N1282="","Jabatan kosong",IF($O1282="","No. HP kosong",IF(AND($R1282&lt;&gt;"",$R1282&lt;17),"Usia di bawah 17","")))))))))</f>
        <v/>
      </c>
      <c r="Z1282" s="40" t="str">
        <f aca="false">IF($B1282="","",IF(AND(OR(CARI!$C$5="",ISNUMBER(SEARCH(CARI!$C$5,$B1282&amp;" "&amp;$C1282&amp;" "&amp;$D1282&amp;" "&amp;$O1282&amp;" "&amp;$I1282&amp;" "&amp;$F1282&amp;" "&amp;$J1282&amp;" "&amp;$K1282&amp;" "&amp;$L1282&amp;" "&amp;$V1282))),OR(CARI!$C$6="",$F1282=CARI!$C$6),OR(CARI!$C$7="",$G1282=CARI!$C$7),OR(CARI!$C$8="",$T1282=CARI!$C$8)),MAX($Z$3:Z1281)+1,""))</f>
        <v/>
      </c>
      <c r="AA1282" s="40" t="str">
        <f aca="false">IF($Y1282="","",MAX($AA$3:AA1281)+1)</f>
        <v/>
      </c>
      <c r="AB1282" s="40" t="str">
        <f aca="false">IF($F1282="","",$F1282&amp;"#"&amp;COUNTIF($F$4:$F1282,$F1282))</f>
        <v/>
      </c>
      <c r="AC1282" s="40" t="str">
        <f aca="false">IF($B1282="","",IF(AND(OR(CETAK!$J$10="",$F1282=CETAK!$J$10),OR(CETAK!$J$11="",$G1282=CETAK!$J$11),OR(CETAK!$J$12="",$P1282=CETAK!$J$12),OR(CETAK!$J$13="",$N1282=CETAK!$J$13),OR(CETAK!$J$14="",$T1282=CETAK!$J$14)),MAX($AC$3:AC1281)+1,""))</f>
        <v/>
      </c>
      <c r="AD1282" s="40" t="str">
        <f aca="false">IF($B1282="","",IF(AND(OR(ABSENSI!$H$10="",$F1282=ABSENSI!$H$10),OR(ABSENSI!$H$11="",$G1282=ABSENSI!$H$11),OR(ABSENSI!$H$12="",$P1282=ABSENSI!$H$12)),MAX($AD$3:AD1281)+1,""))</f>
        <v/>
      </c>
      <c r="AE1282" s="40" t="str">
        <f aca="false">IF($B1282="","",IF(AND(OR(KARTU!$K$6="",$F1282=KARTU!$K$6),OR(KARTU!$K$7="",$G1282=KARTU!$K$7),OR(KARTU!$K$8="",$P1282=KARTU!$K$8)),MAX($AE$3:AE1281)+1,""))</f>
        <v/>
      </c>
    </row>
    <row r="1283" customFormat="false" ht="15" hidden="false" customHeight="false" outlineLevel="0" collapsed="false">
      <c r="A1283" s="35" t="str">
        <f aca="false">IF($B1283="","",COUNTA($B$4:$B1283))</f>
        <v/>
      </c>
      <c r="B1283" s="36"/>
      <c r="C1283" s="37"/>
      <c r="D1283" s="37"/>
      <c r="E1283" s="38"/>
      <c r="F1283" s="36"/>
      <c r="G1283" s="39"/>
      <c r="H1283" s="39"/>
      <c r="I1283" s="36"/>
      <c r="J1283" s="36"/>
      <c r="K1283" s="36"/>
      <c r="L1283" s="36"/>
      <c r="M1283" s="40" t="str">
        <f aca="false">IF($F1283="","",$F1283&amp;IF($G1283="",""," - RT "&amp;$G1283&amp;IF($H1283="","","/"&amp;$H1283)))</f>
        <v/>
      </c>
      <c r="N1283" s="36"/>
      <c r="O1283" s="37"/>
      <c r="P1283" s="39"/>
      <c r="Q1283" s="41"/>
      <c r="R1283" s="35" t="str">
        <f aca="true">IF(OR($B1283="",$Q1283=""),"",DATEDIF($Q1283,TODAY(),"Y"))</f>
        <v/>
      </c>
      <c r="S1283" s="40" t="str">
        <f aca="false">IF($R1283="","",INDEX(usia_label,MATCH($R1283,usia_min,1)))</f>
        <v/>
      </c>
      <c r="T1283" s="36"/>
      <c r="U1283" s="41"/>
      <c r="V1283" s="36"/>
      <c r="W1283" s="36"/>
      <c r="X1283" s="40" t="str">
        <f aca="false">IF($M1283="","",$M1283&amp;"#"&amp;COUNTIF($M$4:$M1283,$M1283))</f>
        <v/>
      </c>
      <c r="Y1283" s="40" t="str">
        <f aca="false">IF($B1283="","",IF($C1283="","NIK kosong",IF(LEN($C1283)&lt;&gt;16,"NIK bukan 16 digit",IF(COUNTIF($C$4:$C$2003,$C1283&amp;"*")&gt;1,"NIK ganda",IF(AND($D1283&lt;&gt;"",LEN($D1283)&lt;&gt;16),"No. KK bukan 16 digit",IF(AND($F1283="",$I1283=""),"Alamat kosong",IF($N1283="","Jabatan kosong",IF($O1283="","No. HP kosong",IF(AND($R1283&lt;&gt;"",$R1283&lt;17),"Usia di bawah 17","")))))))))</f>
        <v/>
      </c>
      <c r="Z1283" s="40" t="str">
        <f aca="false">IF($B1283="","",IF(AND(OR(CARI!$C$5="",ISNUMBER(SEARCH(CARI!$C$5,$B1283&amp;" "&amp;$C1283&amp;" "&amp;$D1283&amp;" "&amp;$O1283&amp;" "&amp;$I1283&amp;" "&amp;$F1283&amp;" "&amp;$J1283&amp;" "&amp;$K1283&amp;" "&amp;$L1283&amp;" "&amp;$V1283))),OR(CARI!$C$6="",$F1283=CARI!$C$6),OR(CARI!$C$7="",$G1283=CARI!$C$7),OR(CARI!$C$8="",$T1283=CARI!$C$8)),MAX($Z$3:Z1282)+1,""))</f>
        <v/>
      </c>
      <c r="AA1283" s="40" t="str">
        <f aca="false">IF($Y1283="","",MAX($AA$3:AA1282)+1)</f>
        <v/>
      </c>
      <c r="AB1283" s="40" t="str">
        <f aca="false">IF($F1283="","",$F1283&amp;"#"&amp;COUNTIF($F$4:$F1283,$F1283))</f>
        <v/>
      </c>
      <c r="AC1283" s="40" t="str">
        <f aca="false">IF($B1283="","",IF(AND(OR(CETAK!$J$10="",$F1283=CETAK!$J$10),OR(CETAK!$J$11="",$G1283=CETAK!$J$11),OR(CETAK!$J$12="",$P1283=CETAK!$J$12),OR(CETAK!$J$13="",$N1283=CETAK!$J$13),OR(CETAK!$J$14="",$T1283=CETAK!$J$14)),MAX($AC$3:AC1282)+1,""))</f>
        <v/>
      </c>
      <c r="AD1283" s="40" t="str">
        <f aca="false">IF($B1283="","",IF(AND(OR(ABSENSI!$H$10="",$F1283=ABSENSI!$H$10),OR(ABSENSI!$H$11="",$G1283=ABSENSI!$H$11),OR(ABSENSI!$H$12="",$P1283=ABSENSI!$H$12)),MAX($AD$3:AD1282)+1,""))</f>
        <v/>
      </c>
      <c r="AE1283" s="40" t="str">
        <f aca="false">IF($B1283="","",IF(AND(OR(KARTU!$K$6="",$F1283=KARTU!$K$6),OR(KARTU!$K$7="",$G1283=KARTU!$K$7),OR(KARTU!$K$8="",$P1283=KARTU!$K$8)),MAX($AE$3:AE1282)+1,""))</f>
        <v/>
      </c>
    </row>
    <row r="1284" customFormat="false" ht="15" hidden="false" customHeight="false" outlineLevel="0" collapsed="false">
      <c r="A1284" s="35" t="str">
        <f aca="false">IF($B1284="","",COUNTA($B$4:$B1284))</f>
        <v/>
      </c>
      <c r="B1284" s="36"/>
      <c r="C1284" s="37"/>
      <c r="D1284" s="37"/>
      <c r="E1284" s="38"/>
      <c r="F1284" s="36"/>
      <c r="G1284" s="39"/>
      <c r="H1284" s="39"/>
      <c r="I1284" s="36"/>
      <c r="J1284" s="36"/>
      <c r="K1284" s="36"/>
      <c r="L1284" s="36"/>
      <c r="M1284" s="40" t="str">
        <f aca="false">IF($F1284="","",$F1284&amp;IF($G1284="",""," - RT "&amp;$G1284&amp;IF($H1284="","","/"&amp;$H1284)))</f>
        <v/>
      </c>
      <c r="N1284" s="36"/>
      <c r="O1284" s="37"/>
      <c r="P1284" s="39"/>
      <c r="Q1284" s="41"/>
      <c r="R1284" s="35" t="str">
        <f aca="true">IF(OR($B1284="",$Q1284=""),"",DATEDIF($Q1284,TODAY(),"Y"))</f>
        <v/>
      </c>
      <c r="S1284" s="40" t="str">
        <f aca="false">IF($R1284="","",INDEX(usia_label,MATCH($R1284,usia_min,1)))</f>
        <v/>
      </c>
      <c r="T1284" s="36"/>
      <c r="U1284" s="41"/>
      <c r="V1284" s="36"/>
      <c r="W1284" s="36"/>
      <c r="X1284" s="40" t="str">
        <f aca="false">IF($M1284="","",$M1284&amp;"#"&amp;COUNTIF($M$4:$M1284,$M1284))</f>
        <v/>
      </c>
      <c r="Y1284" s="40" t="str">
        <f aca="false">IF($B1284="","",IF($C1284="","NIK kosong",IF(LEN($C1284)&lt;&gt;16,"NIK bukan 16 digit",IF(COUNTIF($C$4:$C$2003,$C1284&amp;"*")&gt;1,"NIK ganda",IF(AND($D1284&lt;&gt;"",LEN($D1284)&lt;&gt;16),"No. KK bukan 16 digit",IF(AND($F1284="",$I1284=""),"Alamat kosong",IF($N1284="","Jabatan kosong",IF($O1284="","No. HP kosong",IF(AND($R1284&lt;&gt;"",$R1284&lt;17),"Usia di bawah 17","")))))))))</f>
        <v/>
      </c>
      <c r="Z1284" s="40" t="str">
        <f aca="false">IF($B1284="","",IF(AND(OR(CARI!$C$5="",ISNUMBER(SEARCH(CARI!$C$5,$B1284&amp;" "&amp;$C1284&amp;" "&amp;$D1284&amp;" "&amp;$O1284&amp;" "&amp;$I1284&amp;" "&amp;$F1284&amp;" "&amp;$J1284&amp;" "&amp;$K1284&amp;" "&amp;$L1284&amp;" "&amp;$V1284))),OR(CARI!$C$6="",$F1284=CARI!$C$6),OR(CARI!$C$7="",$G1284=CARI!$C$7),OR(CARI!$C$8="",$T1284=CARI!$C$8)),MAX($Z$3:Z1283)+1,""))</f>
        <v/>
      </c>
      <c r="AA1284" s="40" t="str">
        <f aca="false">IF($Y1284="","",MAX($AA$3:AA1283)+1)</f>
        <v/>
      </c>
      <c r="AB1284" s="40" t="str">
        <f aca="false">IF($F1284="","",$F1284&amp;"#"&amp;COUNTIF($F$4:$F1284,$F1284))</f>
        <v/>
      </c>
      <c r="AC1284" s="40" t="str">
        <f aca="false">IF($B1284="","",IF(AND(OR(CETAK!$J$10="",$F1284=CETAK!$J$10),OR(CETAK!$J$11="",$G1284=CETAK!$J$11),OR(CETAK!$J$12="",$P1284=CETAK!$J$12),OR(CETAK!$J$13="",$N1284=CETAK!$J$13),OR(CETAK!$J$14="",$T1284=CETAK!$J$14)),MAX($AC$3:AC1283)+1,""))</f>
        <v/>
      </c>
      <c r="AD1284" s="40" t="str">
        <f aca="false">IF($B1284="","",IF(AND(OR(ABSENSI!$H$10="",$F1284=ABSENSI!$H$10),OR(ABSENSI!$H$11="",$G1284=ABSENSI!$H$11),OR(ABSENSI!$H$12="",$P1284=ABSENSI!$H$12)),MAX($AD$3:AD1283)+1,""))</f>
        <v/>
      </c>
      <c r="AE1284" s="40" t="str">
        <f aca="false">IF($B1284="","",IF(AND(OR(KARTU!$K$6="",$F1284=KARTU!$K$6),OR(KARTU!$K$7="",$G1284=KARTU!$K$7),OR(KARTU!$K$8="",$P1284=KARTU!$K$8)),MAX($AE$3:AE1283)+1,""))</f>
        <v/>
      </c>
    </row>
    <row r="1285" customFormat="false" ht="15" hidden="false" customHeight="false" outlineLevel="0" collapsed="false">
      <c r="A1285" s="35" t="str">
        <f aca="false">IF($B1285="","",COUNTA($B$4:$B1285))</f>
        <v/>
      </c>
      <c r="B1285" s="36"/>
      <c r="C1285" s="37"/>
      <c r="D1285" s="37"/>
      <c r="E1285" s="38"/>
      <c r="F1285" s="36"/>
      <c r="G1285" s="39"/>
      <c r="H1285" s="39"/>
      <c r="I1285" s="36"/>
      <c r="J1285" s="36"/>
      <c r="K1285" s="36"/>
      <c r="L1285" s="36"/>
      <c r="M1285" s="40" t="str">
        <f aca="false">IF($F1285="","",$F1285&amp;IF($G1285="",""," - RT "&amp;$G1285&amp;IF($H1285="","","/"&amp;$H1285)))</f>
        <v/>
      </c>
      <c r="N1285" s="36"/>
      <c r="O1285" s="37"/>
      <c r="P1285" s="39"/>
      <c r="Q1285" s="41"/>
      <c r="R1285" s="35" t="str">
        <f aca="true">IF(OR($B1285="",$Q1285=""),"",DATEDIF($Q1285,TODAY(),"Y"))</f>
        <v/>
      </c>
      <c r="S1285" s="40" t="str">
        <f aca="false">IF($R1285="","",INDEX(usia_label,MATCH($R1285,usia_min,1)))</f>
        <v/>
      </c>
      <c r="T1285" s="36"/>
      <c r="U1285" s="41"/>
      <c r="V1285" s="36"/>
      <c r="W1285" s="36"/>
      <c r="X1285" s="40" t="str">
        <f aca="false">IF($M1285="","",$M1285&amp;"#"&amp;COUNTIF($M$4:$M1285,$M1285))</f>
        <v/>
      </c>
      <c r="Y1285" s="40" t="str">
        <f aca="false">IF($B1285="","",IF($C1285="","NIK kosong",IF(LEN($C1285)&lt;&gt;16,"NIK bukan 16 digit",IF(COUNTIF($C$4:$C$2003,$C1285&amp;"*")&gt;1,"NIK ganda",IF(AND($D1285&lt;&gt;"",LEN($D1285)&lt;&gt;16),"No. KK bukan 16 digit",IF(AND($F1285="",$I1285=""),"Alamat kosong",IF($N1285="","Jabatan kosong",IF($O1285="","No. HP kosong",IF(AND($R1285&lt;&gt;"",$R1285&lt;17),"Usia di bawah 17","")))))))))</f>
        <v/>
      </c>
      <c r="Z1285" s="40" t="str">
        <f aca="false">IF($B1285="","",IF(AND(OR(CARI!$C$5="",ISNUMBER(SEARCH(CARI!$C$5,$B1285&amp;" "&amp;$C1285&amp;" "&amp;$D1285&amp;" "&amp;$O1285&amp;" "&amp;$I1285&amp;" "&amp;$F1285&amp;" "&amp;$J1285&amp;" "&amp;$K1285&amp;" "&amp;$L1285&amp;" "&amp;$V1285))),OR(CARI!$C$6="",$F1285=CARI!$C$6),OR(CARI!$C$7="",$G1285=CARI!$C$7),OR(CARI!$C$8="",$T1285=CARI!$C$8)),MAX($Z$3:Z1284)+1,""))</f>
        <v/>
      </c>
      <c r="AA1285" s="40" t="str">
        <f aca="false">IF($Y1285="","",MAX($AA$3:AA1284)+1)</f>
        <v/>
      </c>
      <c r="AB1285" s="40" t="str">
        <f aca="false">IF($F1285="","",$F1285&amp;"#"&amp;COUNTIF($F$4:$F1285,$F1285))</f>
        <v/>
      </c>
      <c r="AC1285" s="40" t="str">
        <f aca="false">IF($B1285="","",IF(AND(OR(CETAK!$J$10="",$F1285=CETAK!$J$10),OR(CETAK!$J$11="",$G1285=CETAK!$J$11),OR(CETAK!$J$12="",$P1285=CETAK!$J$12),OR(CETAK!$J$13="",$N1285=CETAK!$J$13),OR(CETAK!$J$14="",$T1285=CETAK!$J$14)),MAX($AC$3:AC1284)+1,""))</f>
        <v/>
      </c>
      <c r="AD1285" s="40" t="str">
        <f aca="false">IF($B1285="","",IF(AND(OR(ABSENSI!$H$10="",$F1285=ABSENSI!$H$10),OR(ABSENSI!$H$11="",$G1285=ABSENSI!$H$11),OR(ABSENSI!$H$12="",$P1285=ABSENSI!$H$12)),MAX($AD$3:AD1284)+1,""))</f>
        <v/>
      </c>
      <c r="AE1285" s="40" t="str">
        <f aca="false">IF($B1285="","",IF(AND(OR(KARTU!$K$6="",$F1285=KARTU!$K$6),OR(KARTU!$K$7="",$G1285=KARTU!$K$7),OR(KARTU!$K$8="",$P1285=KARTU!$K$8)),MAX($AE$3:AE1284)+1,""))</f>
        <v/>
      </c>
    </row>
    <row r="1286" customFormat="false" ht="15" hidden="false" customHeight="false" outlineLevel="0" collapsed="false">
      <c r="A1286" s="35" t="str">
        <f aca="false">IF($B1286="","",COUNTA($B$4:$B1286))</f>
        <v/>
      </c>
      <c r="B1286" s="36"/>
      <c r="C1286" s="37"/>
      <c r="D1286" s="37"/>
      <c r="E1286" s="38"/>
      <c r="F1286" s="36"/>
      <c r="G1286" s="39"/>
      <c r="H1286" s="39"/>
      <c r="I1286" s="36"/>
      <c r="J1286" s="36"/>
      <c r="K1286" s="36"/>
      <c r="L1286" s="36"/>
      <c r="M1286" s="40" t="str">
        <f aca="false">IF($F1286="","",$F1286&amp;IF($G1286="",""," - RT "&amp;$G1286&amp;IF($H1286="","","/"&amp;$H1286)))</f>
        <v/>
      </c>
      <c r="N1286" s="36"/>
      <c r="O1286" s="37"/>
      <c r="P1286" s="39"/>
      <c r="Q1286" s="41"/>
      <c r="R1286" s="35" t="str">
        <f aca="true">IF(OR($B1286="",$Q1286=""),"",DATEDIF($Q1286,TODAY(),"Y"))</f>
        <v/>
      </c>
      <c r="S1286" s="40" t="str">
        <f aca="false">IF($R1286="","",INDEX(usia_label,MATCH($R1286,usia_min,1)))</f>
        <v/>
      </c>
      <c r="T1286" s="36"/>
      <c r="U1286" s="41"/>
      <c r="V1286" s="36"/>
      <c r="W1286" s="36"/>
      <c r="X1286" s="40" t="str">
        <f aca="false">IF($M1286="","",$M1286&amp;"#"&amp;COUNTIF($M$4:$M1286,$M1286))</f>
        <v/>
      </c>
      <c r="Y1286" s="40" t="str">
        <f aca="false">IF($B1286="","",IF($C1286="","NIK kosong",IF(LEN($C1286)&lt;&gt;16,"NIK bukan 16 digit",IF(COUNTIF($C$4:$C$2003,$C1286&amp;"*")&gt;1,"NIK ganda",IF(AND($D1286&lt;&gt;"",LEN($D1286)&lt;&gt;16),"No. KK bukan 16 digit",IF(AND($F1286="",$I1286=""),"Alamat kosong",IF($N1286="","Jabatan kosong",IF($O1286="","No. HP kosong",IF(AND($R1286&lt;&gt;"",$R1286&lt;17),"Usia di bawah 17","")))))))))</f>
        <v/>
      </c>
      <c r="Z1286" s="40" t="str">
        <f aca="false">IF($B1286="","",IF(AND(OR(CARI!$C$5="",ISNUMBER(SEARCH(CARI!$C$5,$B1286&amp;" "&amp;$C1286&amp;" "&amp;$D1286&amp;" "&amp;$O1286&amp;" "&amp;$I1286&amp;" "&amp;$F1286&amp;" "&amp;$J1286&amp;" "&amp;$K1286&amp;" "&amp;$L1286&amp;" "&amp;$V1286))),OR(CARI!$C$6="",$F1286=CARI!$C$6),OR(CARI!$C$7="",$G1286=CARI!$C$7),OR(CARI!$C$8="",$T1286=CARI!$C$8)),MAX($Z$3:Z1285)+1,""))</f>
        <v/>
      </c>
      <c r="AA1286" s="40" t="str">
        <f aca="false">IF($Y1286="","",MAX($AA$3:AA1285)+1)</f>
        <v/>
      </c>
      <c r="AB1286" s="40" t="str">
        <f aca="false">IF($F1286="","",$F1286&amp;"#"&amp;COUNTIF($F$4:$F1286,$F1286))</f>
        <v/>
      </c>
      <c r="AC1286" s="40" t="str">
        <f aca="false">IF($B1286="","",IF(AND(OR(CETAK!$J$10="",$F1286=CETAK!$J$10),OR(CETAK!$J$11="",$G1286=CETAK!$J$11),OR(CETAK!$J$12="",$P1286=CETAK!$J$12),OR(CETAK!$J$13="",$N1286=CETAK!$J$13),OR(CETAK!$J$14="",$T1286=CETAK!$J$14)),MAX($AC$3:AC1285)+1,""))</f>
        <v/>
      </c>
      <c r="AD1286" s="40" t="str">
        <f aca="false">IF($B1286="","",IF(AND(OR(ABSENSI!$H$10="",$F1286=ABSENSI!$H$10),OR(ABSENSI!$H$11="",$G1286=ABSENSI!$H$11),OR(ABSENSI!$H$12="",$P1286=ABSENSI!$H$12)),MAX($AD$3:AD1285)+1,""))</f>
        <v/>
      </c>
      <c r="AE1286" s="40" t="str">
        <f aca="false">IF($B1286="","",IF(AND(OR(KARTU!$K$6="",$F1286=KARTU!$K$6),OR(KARTU!$K$7="",$G1286=KARTU!$K$7),OR(KARTU!$K$8="",$P1286=KARTU!$K$8)),MAX($AE$3:AE1285)+1,""))</f>
        <v/>
      </c>
    </row>
    <row r="1287" customFormat="false" ht="15" hidden="false" customHeight="false" outlineLevel="0" collapsed="false">
      <c r="A1287" s="35" t="str">
        <f aca="false">IF($B1287="","",COUNTA($B$4:$B1287))</f>
        <v/>
      </c>
      <c r="B1287" s="36"/>
      <c r="C1287" s="37"/>
      <c r="D1287" s="37"/>
      <c r="E1287" s="38"/>
      <c r="F1287" s="36"/>
      <c r="G1287" s="39"/>
      <c r="H1287" s="39"/>
      <c r="I1287" s="36"/>
      <c r="J1287" s="36"/>
      <c r="K1287" s="36"/>
      <c r="L1287" s="36"/>
      <c r="M1287" s="40" t="str">
        <f aca="false">IF($F1287="","",$F1287&amp;IF($G1287="",""," - RT "&amp;$G1287&amp;IF($H1287="","","/"&amp;$H1287)))</f>
        <v/>
      </c>
      <c r="N1287" s="36"/>
      <c r="O1287" s="37"/>
      <c r="P1287" s="39"/>
      <c r="Q1287" s="41"/>
      <c r="R1287" s="35" t="str">
        <f aca="true">IF(OR($B1287="",$Q1287=""),"",DATEDIF($Q1287,TODAY(),"Y"))</f>
        <v/>
      </c>
      <c r="S1287" s="40" t="str">
        <f aca="false">IF($R1287="","",INDEX(usia_label,MATCH($R1287,usia_min,1)))</f>
        <v/>
      </c>
      <c r="T1287" s="36"/>
      <c r="U1287" s="41"/>
      <c r="V1287" s="36"/>
      <c r="W1287" s="36"/>
      <c r="X1287" s="40" t="str">
        <f aca="false">IF($M1287="","",$M1287&amp;"#"&amp;COUNTIF($M$4:$M1287,$M1287))</f>
        <v/>
      </c>
      <c r="Y1287" s="40" t="str">
        <f aca="false">IF($B1287="","",IF($C1287="","NIK kosong",IF(LEN($C1287)&lt;&gt;16,"NIK bukan 16 digit",IF(COUNTIF($C$4:$C$2003,$C1287&amp;"*")&gt;1,"NIK ganda",IF(AND($D1287&lt;&gt;"",LEN($D1287)&lt;&gt;16),"No. KK bukan 16 digit",IF(AND($F1287="",$I1287=""),"Alamat kosong",IF($N1287="","Jabatan kosong",IF($O1287="","No. HP kosong",IF(AND($R1287&lt;&gt;"",$R1287&lt;17),"Usia di bawah 17","")))))))))</f>
        <v/>
      </c>
      <c r="Z1287" s="40" t="str">
        <f aca="false">IF($B1287="","",IF(AND(OR(CARI!$C$5="",ISNUMBER(SEARCH(CARI!$C$5,$B1287&amp;" "&amp;$C1287&amp;" "&amp;$D1287&amp;" "&amp;$O1287&amp;" "&amp;$I1287&amp;" "&amp;$F1287&amp;" "&amp;$J1287&amp;" "&amp;$K1287&amp;" "&amp;$L1287&amp;" "&amp;$V1287))),OR(CARI!$C$6="",$F1287=CARI!$C$6),OR(CARI!$C$7="",$G1287=CARI!$C$7),OR(CARI!$C$8="",$T1287=CARI!$C$8)),MAX($Z$3:Z1286)+1,""))</f>
        <v/>
      </c>
      <c r="AA1287" s="40" t="str">
        <f aca="false">IF($Y1287="","",MAX($AA$3:AA1286)+1)</f>
        <v/>
      </c>
      <c r="AB1287" s="40" t="str">
        <f aca="false">IF($F1287="","",$F1287&amp;"#"&amp;COUNTIF($F$4:$F1287,$F1287))</f>
        <v/>
      </c>
      <c r="AC1287" s="40" t="str">
        <f aca="false">IF($B1287="","",IF(AND(OR(CETAK!$J$10="",$F1287=CETAK!$J$10),OR(CETAK!$J$11="",$G1287=CETAK!$J$11),OR(CETAK!$J$12="",$P1287=CETAK!$J$12),OR(CETAK!$J$13="",$N1287=CETAK!$J$13),OR(CETAK!$J$14="",$T1287=CETAK!$J$14)),MAX($AC$3:AC1286)+1,""))</f>
        <v/>
      </c>
      <c r="AD1287" s="40" t="str">
        <f aca="false">IF($B1287="","",IF(AND(OR(ABSENSI!$H$10="",$F1287=ABSENSI!$H$10),OR(ABSENSI!$H$11="",$G1287=ABSENSI!$H$11),OR(ABSENSI!$H$12="",$P1287=ABSENSI!$H$12)),MAX($AD$3:AD1286)+1,""))</f>
        <v/>
      </c>
      <c r="AE1287" s="40" t="str">
        <f aca="false">IF($B1287="","",IF(AND(OR(KARTU!$K$6="",$F1287=KARTU!$K$6),OR(KARTU!$K$7="",$G1287=KARTU!$K$7),OR(KARTU!$K$8="",$P1287=KARTU!$K$8)),MAX($AE$3:AE1286)+1,""))</f>
        <v/>
      </c>
    </row>
    <row r="1288" customFormat="false" ht="15" hidden="false" customHeight="false" outlineLevel="0" collapsed="false">
      <c r="A1288" s="35" t="str">
        <f aca="false">IF($B1288="","",COUNTA($B$4:$B1288))</f>
        <v/>
      </c>
      <c r="B1288" s="36"/>
      <c r="C1288" s="37"/>
      <c r="D1288" s="37"/>
      <c r="E1288" s="38"/>
      <c r="F1288" s="36"/>
      <c r="G1288" s="39"/>
      <c r="H1288" s="39"/>
      <c r="I1288" s="36"/>
      <c r="J1288" s="36"/>
      <c r="K1288" s="36"/>
      <c r="L1288" s="36"/>
      <c r="M1288" s="40" t="str">
        <f aca="false">IF($F1288="","",$F1288&amp;IF($G1288="",""," - RT "&amp;$G1288&amp;IF($H1288="","","/"&amp;$H1288)))</f>
        <v/>
      </c>
      <c r="N1288" s="36"/>
      <c r="O1288" s="37"/>
      <c r="P1288" s="39"/>
      <c r="Q1288" s="41"/>
      <c r="R1288" s="35" t="str">
        <f aca="true">IF(OR($B1288="",$Q1288=""),"",DATEDIF($Q1288,TODAY(),"Y"))</f>
        <v/>
      </c>
      <c r="S1288" s="40" t="str">
        <f aca="false">IF($R1288="","",INDEX(usia_label,MATCH($R1288,usia_min,1)))</f>
        <v/>
      </c>
      <c r="T1288" s="36"/>
      <c r="U1288" s="41"/>
      <c r="V1288" s="36"/>
      <c r="W1288" s="36"/>
      <c r="X1288" s="40" t="str">
        <f aca="false">IF($M1288="","",$M1288&amp;"#"&amp;COUNTIF($M$4:$M1288,$M1288))</f>
        <v/>
      </c>
      <c r="Y1288" s="40" t="str">
        <f aca="false">IF($B1288="","",IF($C1288="","NIK kosong",IF(LEN($C1288)&lt;&gt;16,"NIK bukan 16 digit",IF(COUNTIF($C$4:$C$2003,$C1288&amp;"*")&gt;1,"NIK ganda",IF(AND($D1288&lt;&gt;"",LEN($D1288)&lt;&gt;16),"No. KK bukan 16 digit",IF(AND($F1288="",$I1288=""),"Alamat kosong",IF($N1288="","Jabatan kosong",IF($O1288="","No. HP kosong",IF(AND($R1288&lt;&gt;"",$R1288&lt;17),"Usia di bawah 17","")))))))))</f>
        <v/>
      </c>
      <c r="Z1288" s="40" t="str">
        <f aca="false">IF($B1288="","",IF(AND(OR(CARI!$C$5="",ISNUMBER(SEARCH(CARI!$C$5,$B1288&amp;" "&amp;$C1288&amp;" "&amp;$D1288&amp;" "&amp;$O1288&amp;" "&amp;$I1288&amp;" "&amp;$F1288&amp;" "&amp;$J1288&amp;" "&amp;$K1288&amp;" "&amp;$L1288&amp;" "&amp;$V1288))),OR(CARI!$C$6="",$F1288=CARI!$C$6),OR(CARI!$C$7="",$G1288=CARI!$C$7),OR(CARI!$C$8="",$T1288=CARI!$C$8)),MAX($Z$3:Z1287)+1,""))</f>
        <v/>
      </c>
      <c r="AA1288" s="40" t="str">
        <f aca="false">IF($Y1288="","",MAX($AA$3:AA1287)+1)</f>
        <v/>
      </c>
      <c r="AB1288" s="40" t="str">
        <f aca="false">IF($F1288="","",$F1288&amp;"#"&amp;COUNTIF($F$4:$F1288,$F1288))</f>
        <v/>
      </c>
      <c r="AC1288" s="40" t="str">
        <f aca="false">IF($B1288="","",IF(AND(OR(CETAK!$J$10="",$F1288=CETAK!$J$10),OR(CETAK!$J$11="",$G1288=CETAK!$J$11),OR(CETAK!$J$12="",$P1288=CETAK!$J$12),OR(CETAK!$J$13="",$N1288=CETAK!$J$13),OR(CETAK!$J$14="",$T1288=CETAK!$J$14)),MAX($AC$3:AC1287)+1,""))</f>
        <v/>
      </c>
      <c r="AD1288" s="40" t="str">
        <f aca="false">IF($B1288="","",IF(AND(OR(ABSENSI!$H$10="",$F1288=ABSENSI!$H$10),OR(ABSENSI!$H$11="",$G1288=ABSENSI!$H$11),OR(ABSENSI!$H$12="",$P1288=ABSENSI!$H$12)),MAX($AD$3:AD1287)+1,""))</f>
        <v/>
      </c>
      <c r="AE1288" s="40" t="str">
        <f aca="false">IF($B1288="","",IF(AND(OR(KARTU!$K$6="",$F1288=KARTU!$K$6),OR(KARTU!$K$7="",$G1288=KARTU!$K$7),OR(KARTU!$K$8="",$P1288=KARTU!$K$8)),MAX($AE$3:AE1287)+1,""))</f>
        <v/>
      </c>
    </row>
    <row r="1289" customFormat="false" ht="15" hidden="false" customHeight="false" outlineLevel="0" collapsed="false">
      <c r="A1289" s="35" t="str">
        <f aca="false">IF($B1289="","",COUNTA($B$4:$B1289))</f>
        <v/>
      </c>
      <c r="B1289" s="36"/>
      <c r="C1289" s="37"/>
      <c r="D1289" s="37"/>
      <c r="E1289" s="38"/>
      <c r="F1289" s="36"/>
      <c r="G1289" s="39"/>
      <c r="H1289" s="39"/>
      <c r="I1289" s="36"/>
      <c r="J1289" s="36"/>
      <c r="K1289" s="36"/>
      <c r="L1289" s="36"/>
      <c r="M1289" s="40" t="str">
        <f aca="false">IF($F1289="","",$F1289&amp;IF($G1289="",""," - RT "&amp;$G1289&amp;IF($H1289="","","/"&amp;$H1289)))</f>
        <v/>
      </c>
      <c r="N1289" s="36"/>
      <c r="O1289" s="37"/>
      <c r="P1289" s="39"/>
      <c r="Q1289" s="41"/>
      <c r="R1289" s="35" t="str">
        <f aca="true">IF(OR($B1289="",$Q1289=""),"",DATEDIF($Q1289,TODAY(),"Y"))</f>
        <v/>
      </c>
      <c r="S1289" s="40" t="str">
        <f aca="false">IF($R1289="","",INDEX(usia_label,MATCH($R1289,usia_min,1)))</f>
        <v/>
      </c>
      <c r="T1289" s="36"/>
      <c r="U1289" s="41"/>
      <c r="V1289" s="36"/>
      <c r="W1289" s="36"/>
      <c r="X1289" s="40" t="str">
        <f aca="false">IF($M1289="","",$M1289&amp;"#"&amp;COUNTIF($M$4:$M1289,$M1289))</f>
        <v/>
      </c>
      <c r="Y1289" s="40" t="str">
        <f aca="false">IF($B1289="","",IF($C1289="","NIK kosong",IF(LEN($C1289)&lt;&gt;16,"NIK bukan 16 digit",IF(COUNTIF($C$4:$C$2003,$C1289&amp;"*")&gt;1,"NIK ganda",IF(AND($D1289&lt;&gt;"",LEN($D1289)&lt;&gt;16),"No. KK bukan 16 digit",IF(AND($F1289="",$I1289=""),"Alamat kosong",IF($N1289="","Jabatan kosong",IF($O1289="","No. HP kosong",IF(AND($R1289&lt;&gt;"",$R1289&lt;17),"Usia di bawah 17","")))))))))</f>
        <v/>
      </c>
      <c r="Z1289" s="40" t="str">
        <f aca="false">IF($B1289="","",IF(AND(OR(CARI!$C$5="",ISNUMBER(SEARCH(CARI!$C$5,$B1289&amp;" "&amp;$C1289&amp;" "&amp;$D1289&amp;" "&amp;$O1289&amp;" "&amp;$I1289&amp;" "&amp;$F1289&amp;" "&amp;$J1289&amp;" "&amp;$K1289&amp;" "&amp;$L1289&amp;" "&amp;$V1289))),OR(CARI!$C$6="",$F1289=CARI!$C$6),OR(CARI!$C$7="",$G1289=CARI!$C$7),OR(CARI!$C$8="",$T1289=CARI!$C$8)),MAX($Z$3:Z1288)+1,""))</f>
        <v/>
      </c>
      <c r="AA1289" s="40" t="str">
        <f aca="false">IF($Y1289="","",MAX($AA$3:AA1288)+1)</f>
        <v/>
      </c>
      <c r="AB1289" s="40" t="str">
        <f aca="false">IF($F1289="","",$F1289&amp;"#"&amp;COUNTIF($F$4:$F1289,$F1289))</f>
        <v/>
      </c>
      <c r="AC1289" s="40" t="str">
        <f aca="false">IF($B1289="","",IF(AND(OR(CETAK!$J$10="",$F1289=CETAK!$J$10),OR(CETAK!$J$11="",$G1289=CETAK!$J$11),OR(CETAK!$J$12="",$P1289=CETAK!$J$12),OR(CETAK!$J$13="",$N1289=CETAK!$J$13),OR(CETAK!$J$14="",$T1289=CETAK!$J$14)),MAX($AC$3:AC1288)+1,""))</f>
        <v/>
      </c>
      <c r="AD1289" s="40" t="str">
        <f aca="false">IF($B1289="","",IF(AND(OR(ABSENSI!$H$10="",$F1289=ABSENSI!$H$10),OR(ABSENSI!$H$11="",$G1289=ABSENSI!$H$11),OR(ABSENSI!$H$12="",$P1289=ABSENSI!$H$12)),MAX($AD$3:AD1288)+1,""))</f>
        <v/>
      </c>
      <c r="AE1289" s="40" t="str">
        <f aca="false">IF($B1289="","",IF(AND(OR(KARTU!$K$6="",$F1289=KARTU!$K$6),OR(KARTU!$K$7="",$G1289=KARTU!$K$7),OR(KARTU!$K$8="",$P1289=KARTU!$K$8)),MAX($AE$3:AE1288)+1,""))</f>
        <v/>
      </c>
    </row>
    <row r="1290" customFormat="false" ht="15" hidden="false" customHeight="false" outlineLevel="0" collapsed="false">
      <c r="A1290" s="35" t="str">
        <f aca="false">IF($B1290="","",COUNTA($B$4:$B1290))</f>
        <v/>
      </c>
      <c r="B1290" s="36"/>
      <c r="C1290" s="37"/>
      <c r="D1290" s="37"/>
      <c r="E1290" s="38"/>
      <c r="F1290" s="36"/>
      <c r="G1290" s="39"/>
      <c r="H1290" s="39"/>
      <c r="I1290" s="36"/>
      <c r="J1290" s="36"/>
      <c r="K1290" s="36"/>
      <c r="L1290" s="36"/>
      <c r="M1290" s="40" t="str">
        <f aca="false">IF($F1290="","",$F1290&amp;IF($G1290="",""," - RT "&amp;$G1290&amp;IF($H1290="","","/"&amp;$H1290)))</f>
        <v/>
      </c>
      <c r="N1290" s="36"/>
      <c r="O1290" s="37"/>
      <c r="P1290" s="39"/>
      <c r="Q1290" s="41"/>
      <c r="R1290" s="35" t="str">
        <f aca="true">IF(OR($B1290="",$Q1290=""),"",DATEDIF($Q1290,TODAY(),"Y"))</f>
        <v/>
      </c>
      <c r="S1290" s="40" t="str">
        <f aca="false">IF($R1290="","",INDEX(usia_label,MATCH($R1290,usia_min,1)))</f>
        <v/>
      </c>
      <c r="T1290" s="36"/>
      <c r="U1290" s="41"/>
      <c r="V1290" s="36"/>
      <c r="W1290" s="36"/>
      <c r="X1290" s="40" t="str">
        <f aca="false">IF($M1290="","",$M1290&amp;"#"&amp;COUNTIF($M$4:$M1290,$M1290))</f>
        <v/>
      </c>
      <c r="Y1290" s="40" t="str">
        <f aca="false">IF($B1290="","",IF($C1290="","NIK kosong",IF(LEN($C1290)&lt;&gt;16,"NIK bukan 16 digit",IF(COUNTIF($C$4:$C$2003,$C1290&amp;"*")&gt;1,"NIK ganda",IF(AND($D1290&lt;&gt;"",LEN($D1290)&lt;&gt;16),"No. KK bukan 16 digit",IF(AND($F1290="",$I1290=""),"Alamat kosong",IF($N1290="","Jabatan kosong",IF($O1290="","No. HP kosong",IF(AND($R1290&lt;&gt;"",$R1290&lt;17),"Usia di bawah 17","")))))))))</f>
        <v/>
      </c>
      <c r="Z1290" s="40" t="str">
        <f aca="false">IF($B1290="","",IF(AND(OR(CARI!$C$5="",ISNUMBER(SEARCH(CARI!$C$5,$B1290&amp;" "&amp;$C1290&amp;" "&amp;$D1290&amp;" "&amp;$O1290&amp;" "&amp;$I1290&amp;" "&amp;$F1290&amp;" "&amp;$J1290&amp;" "&amp;$K1290&amp;" "&amp;$L1290&amp;" "&amp;$V1290))),OR(CARI!$C$6="",$F1290=CARI!$C$6),OR(CARI!$C$7="",$G1290=CARI!$C$7),OR(CARI!$C$8="",$T1290=CARI!$C$8)),MAX($Z$3:Z1289)+1,""))</f>
        <v/>
      </c>
      <c r="AA1290" s="40" t="str">
        <f aca="false">IF($Y1290="","",MAX($AA$3:AA1289)+1)</f>
        <v/>
      </c>
      <c r="AB1290" s="40" t="str">
        <f aca="false">IF($F1290="","",$F1290&amp;"#"&amp;COUNTIF($F$4:$F1290,$F1290))</f>
        <v/>
      </c>
      <c r="AC1290" s="40" t="str">
        <f aca="false">IF($B1290="","",IF(AND(OR(CETAK!$J$10="",$F1290=CETAK!$J$10),OR(CETAK!$J$11="",$G1290=CETAK!$J$11),OR(CETAK!$J$12="",$P1290=CETAK!$J$12),OR(CETAK!$J$13="",$N1290=CETAK!$J$13),OR(CETAK!$J$14="",$T1290=CETAK!$J$14)),MAX($AC$3:AC1289)+1,""))</f>
        <v/>
      </c>
      <c r="AD1290" s="40" t="str">
        <f aca="false">IF($B1290="","",IF(AND(OR(ABSENSI!$H$10="",$F1290=ABSENSI!$H$10),OR(ABSENSI!$H$11="",$G1290=ABSENSI!$H$11),OR(ABSENSI!$H$12="",$P1290=ABSENSI!$H$12)),MAX($AD$3:AD1289)+1,""))</f>
        <v/>
      </c>
      <c r="AE1290" s="40" t="str">
        <f aca="false">IF($B1290="","",IF(AND(OR(KARTU!$K$6="",$F1290=KARTU!$K$6),OR(KARTU!$K$7="",$G1290=KARTU!$K$7),OR(KARTU!$K$8="",$P1290=KARTU!$K$8)),MAX($AE$3:AE1289)+1,""))</f>
        <v/>
      </c>
    </row>
    <row r="1291" customFormat="false" ht="15" hidden="false" customHeight="false" outlineLevel="0" collapsed="false">
      <c r="A1291" s="35" t="str">
        <f aca="false">IF($B1291="","",COUNTA($B$4:$B1291))</f>
        <v/>
      </c>
      <c r="B1291" s="36"/>
      <c r="C1291" s="37"/>
      <c r="D1291" s="37"/>
      <c r="E1291" s="38"/>
      <c r="F1291" s="36"/>
      <c r="G1291" s="39"/>
      <c r="H1291" s="39"/>
      <c r="I1291" s="36"/>
      <c r="J1291" s="36"/>
      <c r="K1291" s="36"/>
      <c r="L1291" s="36"/>
      <c r="M1291" s="40" t="str">
        <f aca="false">IF($F1291="","",$F1291&amp;IF($G1291="",""," - RT "&amp;$G1291&amp;IF($H1291="","","/"&amp;$H1291)))</f>
        <v/>
      </c>
      <c r="N1291" s="36"/>
      <c r="O1291" s="37"/>
      <c r="P1291" s="39"/>
      <c r="Q1291" s="41"/>
      <c r="R1291" s="35" t="str">
        <f aca="true">IF(OR($B1291="",$Q1291=""),"",DATEDIF($Q1291,TODAY(),"Y"))</f>
        <v/>
      </c>
      <c r="S1291" s="40" t="str">
        <f aca="false">IF($R1291="","",INDEX(usia_label,MATCH($R1291,usia_min,1)))</f>
        <v/>
      </c>
      <c r="T1291" s="36"/>
      <c r="U1291" s="41"/>
      <c r="V1291" s="36"/>
      <c r="W1291" s="36"/>
      <c r="X1291" s="40" t="str">
        <f aca="false">IF($M1291="","",$M1291&amp;"#"&amp;COUNTIF($M$4:$M1291,$M1291))</f>
        <v/>
      </c>
      <c r="Y1291" s="40" t="str">
        <f aca="false">IF($B1291="","",IF($C1291="","NIK kosong",IF(LEN($C1291)&lt;&gt;16,"NIK bukan 16 digit",IF(COUNTIF($C$4:$C$2003,$C1291&amp;"*")&gt;1,"NIK ganda",IF(AND($D1291&lt;&gt;"",LEN($D1291)&lt;&gt;16),"No. KK bukan 16 digit",IF(AND($F1291="",$I1291=""),"Alamat kosong",IF($N1291="","Jabatan kosong",IF($O1291="","No. HP kosong",IF(AND($R1291&lt;&gt;"",$R1291&lt;17),"Usia di bawah 17","")))))))))</f>
        <v/>
      </c>
      <c r="Z1291" s="40" t="str">
        <f aca="false">IF($B1291="","",IF(AND(OR(CARI!$C$5="",ISNUMBER(SEARCH(CARI!$C$5,$B1291&amp;" "&amp;$C1291&amp;" "&amp;$D1291&amp;" "&amp;$O1291&amp;" "&amp;$I1291&amp;" "&amp;$F1291&amp;" "&amp;$J1291&amp;" "&amp;$K1291&amp;" "&amp;$L1291&amp;" "&amp;$V1291))),OR(CARI!$C$6="",$F1291=CARI!$C$6),OR(CARI!$C$7="",$G1291=CARI!$C$7),OR(CARI!$C$8="",$T1291=CARI!$C$8)),MAX($Z$3:Z1290)+1,""))</f>
        <v/>
      </c>
      <c r="AA1291" s="40" t="str">
        <f aca="false">IF($Y1291="","",MAX($AA$3:AA1290)+1)</f>
        <v/>
      </c>
      <c r="AB1291" s="40" t="str">
        <f aca="false">IF($F1291="","",$F1291&amp;"#"&amp;COUNTIF($F$4:$F1291,$F1291))</f>
        <v/>
      </c>
      <c r="AC1291" s="40" t="str">
        <f aca="false">IF($B1291="","",IF(AND(OR(CETAK!$J$10="",$F1291=CETAK!$J$10),OR(CETAK!$J$11="",$G1291=CETAK!$J$11),OR(CETAK!$J$12="",$P1291=CETAK!$J$12),OR(CETAK!$J$13="",$N1291=CETAK!$J$13),OR(CETAK!$J$14="",$T1291=CETAK!$J$14)),MAX($AC$3:AC1290)+1,""))</f>
        <v/>
      </c>
      <c r="AD1291" s="40" t="str">
        <f aca="false">IF($B1291="","",IF(AND(OR(ABSENSI!$H$10="",$F1291=ABSENSI!$H$10),OR(ABSENSI!$H$11="",$G1291=ABSENSI!$H$11),OR(ABSENSI!$H$12="",$P1291=ABSENSI!$H$12)),MAX($AD$3:AD1290)+1,""))</f>
        <v/>
      </c>
      <c r="AE1291" s="40" t="str">
        <f aca="false">IF($B1291="","",IF(AND(OR(KARTU!$K$6="",$F1291=KARTU!$K$6),OR(KARTU!$K$7="",$G1291=KARTU!$K$7),OR(KARTU!$K$8="",$P1291=KARTU!$K$8)),MAX($AE$3:AE1290)+1,""))</f>
        <v/>
      </c>
    </row>
    <row r="1292" customFormat="false" ht="15" hidden="false" customHeight="false" outlineLevel="0" collapsed="false">
      <c r="A1292" s="35" t="str">
        <f aca="false">IF($B1292="","",COUNTA($B$4:$B1292))</f>
        <v/>
      </c>
      <c r="B1292" s="36"/>
      <c r="C1292" s="37"/>
      <c r="D1292" s="37"/>
      <c r="E1292" s="38"/>
      <c r="F1292" s="36"/>
      <c r="G1292" s="39"/>
      <c r="H1292" s="39"/>
      <c r="I1292" s="36"/>
      <c r="J1292" s="36"/>
      <c r="K1292" s="36"/>
      <c r="L1292" s="36"/>
      <c r="M1292" s="40" t="str">
        <f aca="false">IF($F1292="","",$F1292&amp;IF($G1292="",""," - RT "&amp;$G1292&amp;IF($H1292="","","/"&amp;$H1292)))</f>
        <v/>
      </c>
      <c r="N1292" s="36"/>
      <c r="O1292" s="37"/>
      <c r="P1292" s="39"/>
      <c r="Q1292" s="41"/>
      <c r="R1292" s="35" t="str">
        <f aca="true">IF(OR($B1292="",$Q1292=""),"",DATEDIF($Q1292,TODAY(),"Y"))</f>
        <v/>
      </c>
      <c r="S1292" s="40" t="str">
        <f aca="false">IF($R1292="","",INDEX(usia_label,MATCH($R1292,usia_min,1)))</f>
        <v/>
      </c>
      <c r="T1292" s="36"/>
      <c r="U1292" s="41"/>
      <c r="V1292" s="36"/>
      <c r="W1292" s="36"/>
      <c r="X1292" s="40" t="str">
        <f aca="false">IF($M1292="","",$M1292&amp;"#"&amp;COUNTIF($M$4:$M1292,$M1292))</f>
        <v/>
      </c>
      <c r="Y1292" s="40" t="str">
        <f aca="false">IF($B1292="","",IF($C1292="","NIK kosong",IF(LEN($C1292)&lt;&gt;16,"NIK bukan 16 digit",IF(COUNTIF($C$4:$C$2003,$C1292&amp;"*")&gt;1,"NIK ganda",IF(AND($D1292&lt;&gt;"",LEN($D1292)&lt;&gt;16),"No. KK bukan 16 digit",IF(AND($F1292="",$I1292=""),"Alamat kosong",IF($N1292="","Jabatan kosong",IF($O1292="","No. HP kosong",IF(AND($R1292&lt;&gt;"",$R1292&lt;17),"Usia di bawah 17","")))))))))</f>
        <v/>
      </c>
      <c r="Z1292" s="40" t="str">
        <f aca="false">IF($B1292="","",IF(AND(OR(CARI!$C$5="",ISNUMBER(SEARCH(CARI!$C$5,$B1292&amp;" "&amp;$C1292&amp;" "&amp;$D1292&amp;" "&amp;$O1292&amp;" "&amp;$I1292&amp;" "&amp;$F1292&amp;" "&amp;$J1292&amp;" "&amp;$K1292&amp;" "&amp;$L1292&amp;" "&amp;$V1292))),OR(CARI!$C$6="",$F1292=CARI!$C$6),OR(CARI!$C$7="",$G1292=CARI!$C$7),OR(CARI!$C$8="",$T1292=CARI!$C$8)),MAX($Z$3:Z1291)+1,""))</f>
        <v/>
      </c>
      <c r="AA1292" s="40" t="str">
        <f aca="false">IF($Y1292="","",MAX($AA$3:AA1291)+1)</f>
        <v/>
      </c>
      <c r="AB1292" s="40" t="str">
        <f aca="false">IF($F1292="","",$F1292&amp;"#"&amp;COUNTIF($F$4:$F1292,$F1292))</f>
        <v/>
      </c>
      <c r="AC1292" s="40" t="str">
        <f aca="false">IF($B1292="","",IF(AND(OR(CETAK!$J$10="",$F1292=CETAK!$J$10),OR(CETAK!$J$11="",$G1292=CETAK!$J$11),OR(CETAK!$J$12="",$P1292=CETAK!$J$12),OR(CETAK!$J$13="",$N1292=CETAK!$J$13),OR(CETAK!$J$14="",$T1292=CETAK!$J$14)),MAX($AC$3:AC1291)+1,""))</f>
        <v/>
      </c>
      <c r="AD1292" s="40" t="str">
        <f aca="false">IF($B1292="","",IF(AND(OR(ABSENSI!$H$10="",$F1292=ABSENSI!$H$10),OR(ABSENSI!$H$11="",$G1292=ABSENSI!$H$11),OR(ABSENSI!$H$12="",$P1292=ABSENSI!$H$12)),MAX($AD$3:AD1291)+1,""))</f>
        <v/>
      </c>
      <c r="AE1292" s="40" t="str">
        <f aca="false">IF($B1292="","",IF(AND(OR(KARTU!$K$6="",$F1292=KARTU!$K$6),OR(KARTU!$K$7="",$G1292=KARTU!$K$7),OR(KARTU!$K$8="",$P1292=KARTU!$K$8)),MAX($AE$3:AE1291)+1,""))</f>
        <v/>
      </c>
    </row>
    <row r="1293" customFormat="false" ht="15" hidden="false" customHeight="false" outlineLevel="0" collapsed="false">
      <c r="A1293" s="35" t="str">
        <f aca="false">IF($B1293="","",COUNTA($B$4:$B1293))</f>
        <v/>
      </c>
      <c r="B1293" s="36"/>
      <c r="C1293" s="37"/>
      <c r="D1293" s="37"/>
      <c r="E1293" s="38"/>
      <c r="F1293" s="36"/>
      <c r="G1293" s="39"/>
      <c r="H1293" s="39"/>
      <c r="I1293" s="36"/>
      <c r="J1293" s="36"/>
      <c r="K1293" s="36"/>
      <c r="L1293" s="36"/>
      <c r="M1293" s="40" t="str">
        <f aca="false">IF($F1293="","",$F1293&amp;IF($G1293="",""," - RT "&amp;$G1293&amp;IF($H1293="","","/"&amp;$H1293)))</f>
        <v/>
      </c>
      <c r="N1293" s="36"/>
      <c r="O1293" s="37"/>
      <c r="P1293" s="39"/>
      <c r="Q1293" s="41"/>
      <c r="R1293" s="35" t="str">
        <f aca="true">IF(OR($B1293="",$Q1293=""),"",DATEDIF($Q1293,TODAY(),"Y"))</f>
        <v/>
      </c>
      <c r="S1293" s="40" t="str">
        <f aca="false">IF($R1293="","",INDEX(usia_label,MATCH($R1293,usia_min,1)))</f>
        <v/>
      </c>
      <c r="T1293" s="36"/>
      <c r="U1293" s="41"/>
      <c r="V1293" s="36"/>
      <c r="W1293" s="36"/>
      <c r="X1293" s="40" t="str">
        <f aca="false">IF($M1293="","",$M1293&amp;"#"&amp;COUNTIF($M$4:$M1293,$M1293))</f>
        <v/>
      </c>
      <c r="Y1293" s="40" t="str">
        <f aca="false">IF($B1293="","",IF($C1293="","NIK kosong",IF(LEN($C1293)&lt;&gt;16,"NIK bukan 16 digit",IF(COUNTIF($C$4:$C$2003,$C1293&amp;"*")&gt;1,"NIK ganda",IF(AND($D1293&lt;&gt;"",LEN($D1293)&lt;&gt;16),"No. KK bukan 16 digit",IF(AND($F1293="",$I1293=""),"Alamat kosong",IF($N1293="","Jabatan kosong",IF($O1293="","No. HP kosong",IF(AND($R1293&lt;&gt;"",$R1293&lt;17),"Usia di bawah 17","")))))))))</f>
        <v/>
      </c>
      <c r="Z1293" s="40" t="str">
        <f aca="false">IF($B1293="","",IF(AND(OR(CARI!$C$5="",ISNUMBER(SEARCH(CARI!$C$5,$B1293&amp;" "&amp;$C1293&amp;" "&amp;$D1293&amp;" "&amp;$O1293&amp;" "&amp;$I1293&amp;" "&amp;$F1293&amp;" "&amp;$J1293&amp;" "&amp;$K1293&amp;" "&amp;$L1293&amp;" "&amp;$V1293))),OR(CARI!$C$6="",$F1293=CARI!$C$6),OR(CARI!$C$7="",$G1293=CARI!$C$7),OR(CARI!$C$8="",$T1293=CARI!$C$8)),MAX($Z$3:Z1292)+1,""))</f>
        <v/>
      </c>
      <c r="AA1293" s="40" t="str">
        <f aca="false">IF($Y1293="","",MAX($AA$3:AA1292)+1)</f>
        <v/>
      </c>
      <c r="AB1293" s="40" t="str">
        <f aca="false">IF($F1293="","",$F1293&amp;"#"&amp;COUNTIF($F$4:$F1293,$F1293))</f>
        <v/>
      </c>
      <c r="AC1293" s="40" t="str">
        <f aca="false">IF($B1293="","",IF(AND(OR(CETAK!$J$10="",$F1293=CETAK!$J$10),OR(CETAK!$J$11="",$G1293=CETAK!$J$11),OR(CETAK!$J$12="",$P1293=CETAK!$J$12),OR(CETAK!$J$13="",$N1293=CETAK!$J$13),OR(CETAK!$J$14="",$T1293=CETAK!$J$14)),MAX($AC$3:AC1292)+1,""))</f>
        <v/>
      </c>
      <c r="AD1293" s="40" t="str">
        <f aca="false">IF($B1293="","",IF(AND(OR(ABSENSI!$H$10="",$F1293=ABSENSI!$H$10),OR(ABSENSI!$H$11="",$G1293=ABSENSI!$H$11),OR(ABSENSI!$H$12="",$P1293=ABSENSI!$H$12)),MAX($AD$3:AD1292)+1,""))</f>
        <v/>
      </c>
      <c r="AE1293" s="40" t="str">
        <f aca="false">IF($B1293="","",IF(AND(OR(KARTU!$K$6="",$F1293=KARTU!$K$6),OR(KARTU!$K$7="",$G1293=KARTU!$K$7),OR(KARTU!$K$8="",$P1293=KARTU!$K$8)),MAX($AE$3:AE1292)+1,""))</f>
        <v/>
      </c>
    </row>
    <row r="1294" customFormat="false" ht="15" hidden="false" customHeight="false" outlineLevel="0" collapsed="false">
      <c r="A1294" s="35" t="str">
        <f aca="false">IF($B1294="","",COUNTA($B$4:$B1294))</f>
        <v/>
      </c>
      <c r="B1294" s="36"/>
      <c r="C1294" s="37"/>
      <c r="D1294" s="37"/>
      <c r="E1294" s="38"/>
      <c r="F1294" s="36"/>
      <c r="G1294" s="39"/>
      <c r="H1294" s="39"/>
      <c r="I1294" s="36"/>
      <c r="J1294" s="36"/>
      <c r="K1294" s="36"/>
      <c r="L1294" s="36"/>
      <c r="M1294" s="40" t="str">
        <f aca="false">IF($F1294="","",$F1294&amp;IF($G1294="",""," - RT "&amp;$G1294&amp;IF($H1294="","","/"&amp;$H1294)))</f>
        <v/>
      </c>
      <c r="N1294" s="36"/>
      <c r="O1294" s="37"/>
      <c r="P1294" s="39"/>
      <c r="Q1294" s="41"/>
      <c r="R1294" s="35" t="str">
        <f aca="true">IF(OR($B1294="",$Q1294=""),"",DATEDIF($Q1294,TODAY(),"Y"))</f>
        <v/>
      </c>
      <c r="S1294" s="40" t="str">
        <f aca="false">IF($R1294="","",INDEX(usia_label,MATCH($R1294,usia_min,1)))</f>
        <v/>
      </c>
      <c r="T1294" s="36"/>
      <c r="U1294" s="41"/>
      <c r="V1294" s="36"/>
      <c r="W1294" s="36"/>
      <c r="X1294" s="40" t="str">
        <f aca="false">IF($M1294="","",$M1294&amp;"#"&amp;COUNTIF($M$4:$M1294,$M1294))</f>
        <v/>
      </c>
      <c r="Y1294" s="40" t="str">
        <f aca="false">IF($B1294="","",IF($C1294="","NIK kosong",IF(LEN($C1294)&lt;&gt;16,"NIK bukan 16 digit",IF(COUNTIF($C$4:$C$2003,$C1294&amp;"*")&gt;1,"NIK ganda",IF(AND($D1294&lt;&gt;"",LEN($D1294)&lt;&gt;16),"No. KK bukan 16 digit",IF(AND($F1294="",$I1294=""),"Alamat kosong",IF($N1294="","Jabatan kosong",IF($O1294="","No. HP kosong",IF(AND($R1294&lt;&gt;"",$R1294&lt;17),"Usia di bawah 17","")))))))))</f>
        <v/>
      </c>
      <c r="Z1294" s="40" t="str">
        <f aca="false">IF($B1294="","",IF(AND(OR(CARI!$C$5="",ISNUMBER(SEARCH(CARI!$C$5,$B1294&amp;" "&amp;$C1294&amp;" "&amp;$D1294&amp;" "&amp;$O1294&amp;" "&amp;$I1294&amp;" "&amp;$F1294&amp;" "&amp;$J1294&amp;" "&amp;$K1294&amp;" "&amp;$L1294&amp;" "&amp;$V1294))),OR(CARI!$C$6="",$F1294=CARI!$C$6),OR(CARI!$C$7="",$G1294=CARI!$C$7),OR(CARI!$C$8="",$T1294=CARI!$C$8)),MAX($Z$3:Z1293)+1,""))</f>
        <v/>
      </c>
      <c r="AA1294" s="40" t="str">
        <f aca="false">IF($Y1294="","",MAX($AA$3:AA1293)+1)</f>
        <v/>
      </c>
      <c r="AB1294" s="40" t="str">
        <f aca="false">IF($F1294="","",$F1294&amp;"#"&amp;COUNTIF($F$4:$F1294,$F1294))</f>
        <v/>
      </c>
      <c r="AC1294" s="40" t="str">
        <f aca="false">IF($B1294="","",IF(AND(OR(CETAK!$J$10="",$F1294=CETAK!$J$10),OR(CETAK!$J$11="",$G1294=CETAK!$J$11),OR(CETAK!$J$12="",$P1294=CETAK!$J$12),OR(CETAK!$J$13="",$N1294=CETAK!$J$13),OR(CETAK!$J$14="",$T1294=CETAK!$J$14)),MAX($AC$3:AC1293)+1,""))</f>
        <v/>
      </c>
      <c r="AD1294" s="40" t="str">
        <f aca="false">IF($B1294="","",IF(AND(OR(ABSENSI!$H$10="",$F1294=ABSENSI!$H$10),OR(ABSENSI!$H$11="",$G1294=ABSENSI!$H$11),OR(ABSENSI!$H$12="",$P1294=ABSENSI!$H$12)),MAX($AD$3:AD1293)+1,""))</f>
        <v/>
      </c>
      <c r="AE1294" s="40" t="str">
        <f aca="false">IF($B1294="","",IF(AND(OR(KARTU!$K$6="",$F1294=KARTU!$K$6),OR(KARTU!$K$7="",$G1294=KARTU!$K$7),OR(KARTU!$K$8="",$P1294=KARTU!$K$8)),MAX($AE$3:AE1293)+1,""))</f>
        <v/>
      </c>
    </row>
    <row r="1295" customFormat="false" ht="15" hidden="false" customHeight="false" outlineLevel="0" collapsed="false">
      <c r="A1295" s="35" t="str">
        <f aca="false">IF($B1295="","",COUNTA($B$4:$B1295))</f>
        <v/>
      </c>
      <c r="B1295" s="36"/>
      <c r="C1295" s="37"/>
      <c r="D1295" s="37"/>
      <c r="E1295" s="38"/>
      <c r="F1295" s="36"/>
      <c r="G1295" s="39"/>
      <c r="H1295" s="39"/>
      <c r="I1295" s="36"/>
      <c r="J1295" s="36"/>
      <c r="K1295" s="36"/>
      <c r="L1295" s="36"/>
      <c r="M1295" s="40" t="str">
        <f aca="false">IF($F1295="","",$F1295&amp;IF($G1295="",""," - RT "&amp;$G1295&amp;IF($H1295="","","/"&amp;$H1295)))</f>
        <v/>
      </c>
      <c r="N1295" s="36"/>
      <c r="O1295" s="37"/>
      <c r="P1295" s="39"/>
      <c r="Q1295" s="41"/>
      <c r="R1295" s="35" t="str">
        <f aca="true">IF(OR($B1295="",$Q1295=""),"",DATEDIF($Q1295,TODAY(),"Y"))</f>
        <v/>
      </c>
      <c r="S1295" s="40" t="str">
        <f aca="false">IF($R1295="","",INDEX(usia_label,MATCH($R1295,usia_min,1)))</f>
        <v/>
      </c>
      <c r="T1295" s="36"/>
      <c r="U1295" s="41"/>
      <c r="V1295" s="36"/>
      <c r="W1295" s="36"/>
      <c r="X1295" s="40" t="str">
        <f aca="false">IF($M1295="","",$M1295&amp;"#"&amp;COUNTIF($M$4:$M1295,$M1295))</f>
        <v/>
      </c>
      <c r="Y1295" s="40" t="str">
        <f aca="false">IF($B1295="","",IF($C1295="","NIK kosong",IF(LEN($C1295)&lt;&gt;16,"NIK bukan 16 digit",IF(COUNTIF($C$4:$C$2003,$C1295&amp;"*")&gt;1,"NIK ganda",IF(AND($D1295&lt;&gt;"",LEN($D1295)&lt;&gt;16),"No. KK bukan 16 digit",IF(AND($F1295="",$I1295=""),"Alamat kosong",IF($N1295="","Jabatan kosong",IF($O1295="","No. HP kosong",IF(AND($R1295&lt;&gt;"",$R1295&lt;17),"Usia di bawah 17","")))))))))</f>
        <v/>
      </c>
      <c r="Z1295" s="40" t="str">
        <f aca="false">IF($B1295="","",IF(AND(OR(CARI!$C$5="",ISNUMBER(SEARCH(CARI!$C$5,$B1295&amp;" "&amp;$C1295&amp;" "&amp;$D1295&amp;" "&amp;$O1295&amp;" "&amp;$I1295&amp;" "&amp;$F1295&amp;" "&amp;$J1295&amp;" "&amp;$K1295&amp;" "&amp;$L1295&amp;" "&amp;$V1295))),OR(CARI!$C$6="",$F1295=CARI!$C$6),OR(CARI!$C$7="",$G1295=CARI!$C$7),OR(CARI!$C$8="",$T1295=CARI!$C$8)),MAX($Z$3:Z1294)+1,""))</f>
        <v/>
      </c>
      <c r="AA1295" s="40" t="str">
        <f aca="false">IF($Y1295="","",MAX($AA$3:AA1294)+1)</f>
        <v/>
      </c>
      <c r="AB1295" s="40" t="str">
        <f aca="false">IF($F1295="","",$F1295&amp;"#"&amp;COUNTIF($F$4:$F1295,$F1295))</f>
        <v/>
      </c>
      <c r="AC1295" s="40" t="str">
        <f aca="false">IF($B1295="","",IF(AND(OR(CETAK!$J$10="",$F1295=CETAK!$J$10),OR(CETAK!$J$11="",$G1295=CETAK!$J$11),OR(CETAK!$J$12="",$P1295=CETAK!$J$12),OR(CETAK!$J$13="",$N1295=CETAK!$J$13),OR(CETAK!$J$14="",$T1295=CETAK!$J$14)),MAX($AC$3:AC1294)+1,""))</f>
        <v/>
      </c>
      <c r="AD1295" s="40" t="str">
        <f aca="false">IF($B1295="","",IF(AND(OR(ABSENSI!$H$10="",$F1295=ABSENSI!$H$10),OR(ABSENSI!$H$11="",$G1295=ABSENSI!$H$11),OR(ABSENSI!$H$12="",$P1295=ABSENSI!$H$12)),MAX($AD$3:AD1294)+1,""))</f>
        <v/>
      </c>
      <c r="AE1295" s="40" t="str">
        <f aca="false">IF($B1295="","",IF(AND(OR(KARTU!$K$6="",$F1295=KARTU!$K$6),OR(KARTU!$K$7="",$G1295=KARTU!$K$7),OR(KARTU!$K$8="",$P1295=KARTU!$K$8)),MAX($AE$3:AE1294)+1,""))</f>
        <v/>
      </c>
    </row>
    <row r="1296" customFormat="false" ht="15" hidden="false" customHeight="false" outlineLevel="0" collapsed="false">
      <c r="A1296" s="35" t="str">
        <f aca="false">IF($B1296="","",COUNTA($B$4:$B1296))</f>
        <v/>
      </c>
      <c r="B1296" s="36"/>
      <c r="C1296" s="37"/>
      <c r="D1296" s="37"/>
      <c r="E1296" s="38"/>
      <c r="F1296" s="36"/>
      <c r="G1296" s="39"/>
      <c r="H1296" s="39"/>
      <c r="I1296" s="36"/>
      <c r="J1296" s="36"/>
      <c r="K1296" s="36"/>
      <c r="L1296" s="36"/>
      <c r="M1296" s="40" t="str">
        <f aca="false">IF($F1296="","",$F1296&amp;IF($G1296="",""," - RT "&amp;$G1296&amp;IF($H1296="","","/"&amp;$H1296)))</f>
        <v/>
      </c>
      <c r="N1296" s="36"/>
      <c r="O1296" s="37"/>
      <c r="P1296" s="39"/>
      <c r="Q1296" s="41"/>
      <c r="R1296" s="35" t="str">
        <f aca="true">IF(OR($B1296="",$Q1296=""),"",DATEDIF($Q1296,TODAY(),"Y"))</f>
        <v/>
      </c>
      <c r="S1296" s="40" t="str">
        <f aca="false">IF($R1296="","",INDEX(usia_label,MATCH($R1296,usia_min,1)))</f>
        <v/>
      </c>
      <c r="T1296" s="36"/>
      <c r="U1296" s="41"/>
      <c r="V1296" s="36"/>
      <c r="W1296" s="36"/>
      <c r="X1296" s="40" t="str">
        <f aca="false">IF($M1296="","",$M1296&amp;"#"&amp;COUNTIF($M$4:$M1296,$M1296))</f>
        <v/>
      </c>
      <c r="Y1296" s="40" t="str">
        <f aca="false">IF($B1296="","",IF($C1296="","NIK kosong",IF(LEN($C1296)&lt;&gt;16,"NIK bukan 16 digit",IF(COUNTIF($C$4:$C$2003,$C1296&amp;"*")&gt;1,"NIK ganda",IF(AND($D1296&lt;&gt;"",LEN($D1296)&lt;&gt;16),"No. KK bukan 16 digit",IF(AND($F1296="",$I1296=""),"Alamat kosong",IF($N1296="","Jabatan kosong",IF($O1296="","No. HP kosong",IF(AND($R1296&lt;&gt;"",$R1296&lt;17),"Usia di bawah 17","")))))))))</f>
        <v/>
      </c>
      <c r="Z1296" s="40" t="str">
        <f aca="false">IF($B1296="","",IF(AND(OR(CARI!$C$5="",ISNUMBER(SEARCH(CARI!$C$5,$B1296&amp;" "&amp;$C1296&amp;" "&amp;$D1296&amp;" "&amp;$O1296&amp;" "&amp;$I1296&amp;" "&amp;$F1296&amp;" "&amp;$J1296&amp;" "&amp;$K1296&amp;" "&amp;$L1296&amp;" "&amp;$V1296))),OR(CARI!$C$6="",$F1296=CARI!$C$6),OR(CARI!$C$7="",$G1296=CARI!$C$7),OR(CARI!$C$8="",$T1296=CARI!$C$8)),MAX($Z$3:Z1295)+1,""))</f>
        <v/>
      </c>
      <c r="AA1296" s="40" t="str">
        <f aca="false">IF($Y1296="","",MAX($AA$3:AA1295)+1)</f>
        <v/>
      </c>
      <c r="AB1296" s="40" t="str">
        <f aca="false">IF($F1296="","",$F1296&amp;"#"&amp;COUNTIF($F$4:$F1296,$F1296))</f>
        <v/>
      </c>
      <c r="AC1296" s="40" t="str">
        <f aca="false">IF($B1296="","",IF(AND(OR(CETAK!$J$10="",$F1296=CETAK!$J$10),OR(CETAK!$J$11="",$G1296=CETAK!$J$11),OR(CETAK!$J$12="",$P1296=CETAK!$J$12),OR(CETAK!$J$13="",$N1296=CETAK!$J$13),OR(CETAK!$J$14="",$T1296=CETAK!$J$14)),MAX($AC$3:AC1295)+1,""))</f>
        <v/>
      </c>
      <c r="AD1296" s="40" t="str">
        <f aca="false">IF($B1296="","",IF(AND(OR(ABSENSI!$H$10="",$F1296=ABSENSI!$H$10),OR(ABSENSI!$H$11="",$G1296=ABSENSI!$H$11),OR(ABSENSI!$H$12="",$P1296=ABSENSI!$H$12)),MAX($AD$3:AD1295)+1,""))</f>
        <v/>
      </c>
      <c r="AE1296" s="40" t="str">
        <f aca="false">IF($B1296="","",IF(AND(OR(KARTU!$K$6="",$F1296=KARTU!$K$6),OR(KARTU!$K$7="",$G1296=KARTU!$K$7),OR(KARTU!$K$8="",$P1296=KARTU!$K$8)),MAX($AE$3:AE1295)+1,""))</f>
        <v/>
      </c>
    </row>
    <row r="1297" customFormat="false" ht="15" hidden="false" customHeight="false" outlineLevel="0" collapsed="false">
      <c r="A1297" s="35" t="str">
        <f aca="false">IF($B1297="","",COUNTA($B$4:$B1297))</f>
        <v/>
      </c>
      <c r="B1297" s="36"/>
      <c r="C1297" s="37"/>
      <c r="D1297" s="37"/>
      <c r="E1297" s="38"/>
      <c r="F1297" s="36"/>
      <c r="G1297" s="39"/>
      <c r="H1297" s="39"/>
      <c r="I1297" s="36"/>
      <c r="J1297" s="36"/>
      <c r="K1297" s="36"/>
      <c r="L1297" s="36"/>
      <c r="M1297" s="40" t="str">
        <f aca="false">IF($F1297="","",$F1297&amp;IF($G1297="",""," - RT "&amp;$G1297&amp;IF($H1297="","","/"&amp;$H1297)))</f>
        <v/>
      </c>
      <c r="N1297" s="36"/>
      <c r="O1297" s="37"/>
      <c r="P1297" s="39"/>
      <c r="Q1297" s="41"/>
      <c r="R1297" s="35" t="str">
        <f aca="true">IF(OR($B1297="",$Q1297=""),"",DATEDIF($Q1297,TODAY(),"Y"))</f>
        <v/>
      </c>
      <c r="S1297" s="40" t="str">
        <f aca="false">IF($R1297="","",INDEX(usia_label,MATCH($R1297,usia_min,1)))</f>
        <v/>
      </c>
      <c r="T1297" s="36"/>
      <c r="U1297" s="41"/>
      <c r="V1297" s="36"/>
      <c r="W1297" s="36"/>
      <c r="X1297" s="40" t="str">
        <f aca="false">IF($M1297="","",$M1297&amp;"#"&amp;COUNTIF($M$4:$M1297,$M1297))</f>
        <v/>
      </c>
      <c r="Y1297" s="40" t="str">
        <f aca="false">IF($B1297="","",IF($C1297="","NIK kosong",IF(LEN($C1297)&lt;&gt;16,"NIK bukan 16 digit",IF(COUNTIF($C$4:$C$2003,$C1297&amp;"*")&gt;1,"NIK ganda",IF(AND($D1297&lt;&gt;"",LEN($D1297)&lt;&gt;16),"No. KK bukan 16 digit",IF(AND($F1297="",$I1297=""),"Alamat kosong",IF($N1297="","Jabatan kosong",IF($O1297="","No. HP kosong",IF(AND($R1297&lt;&gt;"",$R1297&lt;17),"Usia di bawah 17","")))))))))</f>
        <v/>
      </c>
      <c r="Z1297" s="40" t="str">
        <f aca="false">IF($B1297="","",IF(AND(OR(CARI!$C$5="",ISNUMBER(SEARCH(CARI!$C$5,$B1297&amp;" "&amp;$C1297&amp;" "&amp;$D1297&amp;" "&amp;$O1297&amp;" "&amp;$I1297&amp;" "&amp;$F1297&amp;" "&amp;$J1297&amp;" "&amp;$K1297&amp;" "&amp;$L1297&amp;" "&amp;$V1297))),OR(CARI!$C$6="",$F1297=CARI!$C$6),OR(CARI!$C$7="",$G1297=CARI!$C$7),OR(CARI!$C$8="",$T1297=CARI!$C$8)),MAX($Z$3:Z1296)+1,""))</f>
        <v/>
      </c>
      <c r="AA1297" s="40" t="str">
        <f aca="false">IF($Y1297="","",MAX($AA$3:AA1296)+1)</f>
        <v/>
      </c>
      <c r="AB1297" s="40" t="str">
        <f aca="false">IF($F1297="","",$F1297&amp;"#"&amp;COUNTIF($F$4:$F1297,$F1297))</f>
        <v/>
      </c>
      <c r="AC1297" s="40" t="str">
        <f aca="false">IF($B1297="","",IF(AND(OR(CETAK!$J$10="",$F1297=CETAK!$J$10),OR(CETAK!$J$11="",$G1297=CETAK!$J$11),OR(CETAK!$J$12="",$P1297=CETAK!$J$12),OR(CETAK!$J$13="",$N1297=CETAK!$J$13),OR(CETAK!$J$14="",$T1297=CETAK!$J$14)),MAX($AC$3:AC1296)+1,""))</f>
        <v/>
      </c>
      <c r="AD1297" s="40" t="str">
        <f aca="false">IF($B1297="","",IF(AND(OR(ABSENSI!$H$10="",$F1297=ABSENSI!$H$10),OR(ABSENSI!$H$11="",$G1297=ABSENSI!$H$11),OR(ABSENSI!$H$12="",$P1297=ABSENSI!$H$12)),MAX($AD$3:AD1296)+1,""))</f>
        <v/>
      </c>
      <c r="AE1297" s="40" t="str">
        <f aca="false">IF($B1297="","",IF(AND(OR(KARTU!$K$6="",$F1297=KARTU!$K$6),OR(KARTU!$K$7="",$G1297=KARTU!$K$7),OR(KARTU!$K$8="",$P1297=KARTU!$K$8)),MAX($AE$3:AE1296)+1,""))</f>
        <v/>
      </c>
    </row>
    <row r="1298" customFormat="false" ht="15" hidden="false" customHeight="false" outlineLevel="0" collapsed="false">
      <c r="A1298" s="35" t="str">
        <f aca="false">IF($B1298="","",COUNTA($B$4:$B1298))</f>
        <v/>
      </c>
      <c r="B1298" s="36"/>
      <c r="C1298" s="37"/>
      <c r="D1298" s="37"/>
      <c r="E1298" s="38"/>
      <c r="F1298" s="36"/>
      <c r="G1298" s="39"/>
      <c r="H1298" s="39"/>
      <c r="I1298" s="36"/>
      <c r="J1298" s="36"/>
      <c r="K1298" s="36"/>
      <c r="L1298" s="36"/>
      <c r="M1298" s="40" t="str">
        <f aca="false">IF($F1298="","",$F1298&amp;IF($G1298="",""," - RT "&amp;$G1298&amp;IF($H1298="","","/"&amp;$H1298)))</f>
        <v/>
      </c>
      <c r="N1298" s="36"/>
      <c r="O1298" s="37"/>
      <c r="P1298" s="39"/>
      <c r="Q1298" s="41"/>
      <c r="R1298" s="35" t="str">
        <f aca="true">IF(OR($B1298="",$Q1298=""),"",DATEDIF($Q1298,TODAY(),"Y"))</f>
        <v/>
      </c>
      <c r="S1298" s="40" t="str">
        <f aca="false">IF($R1298="","",INDEX(usia_label,MATCH($R1298,usia_min,1)))</f>
        <v/>
      </c>
      <c r="T1298" s="36"/>
      <c r="U1298" s="41"/>
      <c r="V1298" s="36"/>
      <c r="W1298" s="36"/>
      <c r="X1298" s="40" t="str">
        <f aca="false">IF($M1298="","",$M1298&amp;"#"&amp;COUNTIF($M$4:$M1298,$M1298))</f>
        <v/>
      </c>
      <c r="Y1298" s="40" t="str">
        <f aca="false">IF($B1298="","",IF($C1298="","NIK kosong",IF(LEN($C1298)&lt;&gt;16,"NIK bukan 16 digit",IF(COUNTIF($C$4:$C$2003,$C1298&amp;"*")&gt;1,"NIK ganda",IF(AND($D1298&lt;&gt;"",LEN($D1298)&lt;&gt;16),"No. KK bukan 16 digit",IF(AND($F1298="",$I1298=""),"Alamat kosong",IF($N1298="","Jabatan kosong",IF($O1298="","No. HP kosong",IF(AND($R1298&lt;&gt;"",$R1298&lt;17),"Usia di bawah 17","")))))))))</f>
        <v/>
      </c>
      <c r="Z1298" s="40" t="str">
        <f aca="false">IF($B1298="","",IF(AND(OR(CARI!$C$5="",ISNUMBER(SEARCH(CARI!$C$5,$B1298&amp;" "&amp;$C1298&amp;" "&amp;$D1298&amp;" "&amp;$O1298&amp;" "&amp;$I1298&amp;" "&amp;$F1298&amp;" "&amp;$J1298&amp;" "&amp;$K1298&amp;" "&amp;$L1298&amp;" "&amp;$V1298))),OR(CARI!$C$6="",$F1298=CARI!$C$6),OR(CARI!$C$7="",$G1298=CARI!$C$7),OR(CARI!$C$8="",$T1298=CARI!$C$8)),MAX($Z$3:Z1297)+1,""))</f>
        <v/>
      </c>
      <c r="AA1298" s="40" t="str">
        <f aca="false">IF($Y1298="","",MAX($AA$3:AA1297)+1)</f>
        <v/>
      </c>
      <c r="AB1298" s="40" t="str">
        <f aca="false">IF($F1298="","",$F1298&amp;"#"&amp;COUNTIF($F$4:$F1298,$F1298))</f>
        <v/>
      </c>
      <c r="AC1298" s="40" t="str">
        <f aca="false">IF($B1298="","",IF(AND(OR(CETAK!$J$10="",$F1298=CETAK!$J$10),OR(CETAK!$J$11="",$G1298=CETAK!$J$11),OR(CETAK!$J$12="",$P1298=CETAK!$J$12),OR(CETAK!$J$13="",$N1298=CETAK!$J$13),OR(CETAK!$J$14="",$T1298=CETAK!$J$14)),MAX($AC$3:AC1297)+1,""))</f>
        <v/>
      </c>
      <c r="AD1298" s="40" t="str">
        <f aca="false">IF($B1298="","",IF(AND(OR(ABSENSI!$H$10="",$F1298=ABSENSI!$H$10),OR(ABSENSI!$H$11="",$G1298=ABSENSI!$H$11),OR(ABSENSI!$H$12="",$P1298=ABSENSI!$H$12)),MAX($AD$3:AD1297)+1,""))</f>
        <v/>
      </c>
      <c r="AE1298" s="40" t="str">
        <f aca="false">IF($B1298="","",IF(AND(OR(KARTU!$K$6="",$F1298=KARTU!$K$6),OR(KARTU!$K$7="",$G1298=KARTU!$K$7),OR(KARTU!$K$8="",$P1298=KARTU!$K$8)),MAX($AE$3:AE1297)+1,""))</f>
        <v/>
      </c>
    </row>
    <row r="1299" customFormat="false" ht="15" hidden="false" customHeight="false" outlineLevel="0" collapsed="false">
      <c r="A1299" s="35" t="str">
        <f aca="false">IF($B1299="","",COUNTA($B$4:$B1299))</f>
        <v/>
      </c>
      <c r="B1299" s="36"/>
      <c r="C1299" s="37"/>
      <c r="D1299" s="37"/>
      <c r="E1299" s="38"/>
      <c r="F1299" s="36"/>
      <c r="G1299" s="39"/>
      <c r="H1299" s="39"/>
      <c r="I1299" s="36"/>
      <c r="J1299" s="36"/>
      <c r="K1299" s="36"/>
      <c r="L1299" s="36"/>
      <c r="M1299" s="40" t="str">
        <f aca="false">IF($F1299="","",$F1299&amp;IF($G1299="",""," - RT "&amp;$G1299&amp;IF($H1299="","","/"&amp;$H1299)))</f>
        <v/>
      </c>
      <c r="N1299" s="36"/>
      <c r="O1299" s="37"/>
      <c r="P1299" s="39"/>
      <c r="Q1299" s="41"/>
      <c r="R1299" s="35" t="str">
        <f aca="true">IF(OR($B1299="",$Q1299=""),"",DATEDIF($Q1299,TODAY(),"Y"))</f>
        <v/>
      </c>
      <c r="S1299" s="40" t="str">
        <f aca="false">IF($R1299="","",INDEX(usia_label,MATCH($R1299,usia_min,1)))</f>
        <v/>
      </c>
      <c r="T1299" s="36"/>
      <c r="U1299" s="41"/>
      <c r="V1299" s="36"/>
      <c r="W1299" s="36"/>
      <c r="X1299" s="40" t="str">
        <f aca="false">IF($M1299="","",$M1299&amp;"#"&amp;COUNTIF($M$4:$M1299,$M1299))</f>
        <v/>
      </c>
      <c r="Y1299" s="40" t="str">
        <f aca="false">IF($B1299="","",IF($C1299="","NIK kosong",IF(LEN($C1299)&lt;&gt;16,"NIK bukan 16 digit",IF(COUNTIF($C$4:$C$2003,$C1299&amp;"*")&gt;1,"NIK ganda",IF(AND($D1299&lt;&gt;"",LEN($D1299)&lt;&gt;16),"No. KK bukan 16 digit",IF(AND($F1299="",$I1299=""),"Alamat kosong",IF($N1299="","Jabatan kosong",IF($O1299="","No. HP kosong",IF(AND($R1299&lt;&gt;"",$R1299&lt;17),"Usia di bawah 17","")))))))))</f>
        <v/>
      </c>
      <c r="Z1299" s="40" t="str">
        <f aca="false">IF($B1299="","",IF(AND(OR(CARI!$C$5="",ISNUMBER(SEARCH(CARI!$C$5,$B1299&amp;" "&amp;$C1299&amp;" "&amp;$D1299&amp;" "&amp;$O1299&amp;" "&amp;$I1299&amp;" "&amp;$F1299&amp;" "&amp;$J1299&amp;" "&amp;$K1299&amp;" "&amp;$L1299&amp;" "&amp;$V1299))),OR(CARI!$C$6="",$F1299=CARI!$C$6),OR(CARI!$C$7="",$G1299=CARI!$C$7),OR(CARI!$C$8="",$T1299=CARI!$C$8)),MAX($Z$3:Z1298)+1,""))</f>
        <v/>
      </c>
      <c r="AA1299" s="40" t="str">
        <f aca="false">IF($Y1299="","",MAX($AA$3:AA1298)+1)</f>
        <v/>
      </c>
      <c r="AB1299" s="40" t="str">
        <f aca="false">IF($F1299="","",$F1299&amp;"#"&amp;COUNTIF($F$4:$F1299,$F1299))</f>
        <v/>
      </c>
      <c r="AC1299" s="40" t="str">
        <f aca="false">IF($B1299="","",IF(AND(OR(CETAK!$J$10="",$F1299=CETAK!$J$10),OR(CETAK!$J$11="",$G1299=CETAK!$J$11),OR(CETAK!$J$12="",$P1299=CETAK!$J$12),OR(CETAK!$J$13="",$N1299=CETAK!$J$13),OR(CETAK!$J$14="",$T1299=CETAK!$J$14)),MAX($AC$3:AC1298)+1,""))</f>
        <v/>
      </c>
      <c r="AD1299" s="40" t="str">
        <f aca="false">IF($B1299="","",IF(AND(OR(ABSENSI!$H$10="",$F1299=ABSENSI!$H$10),OR(ABSENSI!$H$11="",$G1299=ABSENSI!$H$11),OR(ABSENSI!$H$12="",$P1299=ABSENSI!$H$12)),MAX($AD$3:AD1298)+1,""))</f>
        <v/>
      </c>
      <c r="AE1299" s="40" t="str">
        <f aca="false">IF($B1299="","",IF(AND(OR(KARTU!$K$6="",$F1299=KARTU!$K$6),OR(KARTU!$K$7="",$G1299=KARTU!$K$7),OR(KARTU!$K$8="",$P1299=KARTU!$K$8)),MAX($AE$3:AE1298)+1,""))</f>
        <v/>
      </c>
    </row>
    <row r="1300" customFormat="false" ht="15" hidden="false" customHeight="false" outlineLevel="0" collapsed="false">
      <c r="A1300" s="35" t="str">
        <f aca="false">IF($B1300="","",COUNTA($B$4:$B1300))</f>
        <v/>
      </c>
      <c r="B1300" s="36"/>
      <c r="C1300" s="37"/>
      <c r="D1300" s="37"/>
      <c r="E1300" s="38"/>
      <c r="F1300" s="36"/>
      <c r="G1300" s="39"/>
      <c r="H1300" s="39"/>
      <c r="I1300" s="36"/>
      <c r="J1300" s="36"/>
      <c r="K1300" s="36"/>
      <c r="L1300" s="36"/>
      <c r="M1300" s="40" t="str">
        <f aca="false">IF($F1300="","",$F1300&amp;IF($G1300="",""," - RT "&amp;$G1300&amp;IF($H1300="","","/"&amp;$H1300)))</f>
        <v/>
      </c>
      <c r="N1300" s="36"/>
      <c r="O1300" s="37"/>
      <c r="P1300" s="39"/>
      <c r="Q1300" s="41"/>
      <c r="R1300" s="35" t="str">
        <f aca="true">IF(OR($B1300="",$Q1300=""),"",DATEDIF($Q1300,TODAY(),"Y"))</f>
        <v/>
      </c>
      <c r="S1300" s="40" t="str">
        <f aca="false">IF($R1300="","",INDEX(usia_label,MATCH($R1300,usia_min,1)))</f>
        <v/>
      </c>
      <c r="T1300" s="36"/>
      <c r="U1300" s="41"/>
      <c r="V1300" s="36"/>
      <c r="W1300" s="36"/>
      <c r="X1300" s="40" t="str">
        <f aca="false">IF($M1300="","",$M1300&amp;"#"&amp;COUNTIF($M$4:$M1300,$M1300))</f>
        <v/>
      </c>
      <c r="Y1300" s="40" t="str">
        <f aca="false">IF($B1300="","",IF($C1300="","NIK kosong",IF(LEN($C1300)&lt;&gt;16,"NIK bukan 16 digit",IF(COUNTIF($C$4:$C$2003,$C1300&amp;"*")&gt;1,"NIK ganda",IF(AND($D1300&lt;&gt;"",LEN($D1300)&lt;&gt;16),"No. KK bukan 16 digit",IF(AND($F1300="",$I1300=""),"Alamat kosong",IF($N1300="","Jabatan kosong",IF($O1300="","No. HP kosong",IF(AND($R1300&lt;&gt;"",$R1300&lt;17),"Usia di bawah 17","")))))))))</f>
        <v/>
      </c>
      <c r="Z1300" s="40" t="str">
        <f aca="false">IF($B1300="","",IF(AND(OR(CARI!$C$5="",ISNUMBER(SEARCH(CARI!$C$5,$B1300&amp;" "&amp;$C1300&amp;" "&amp;$D1300&amp;" "&amp;$O1300&amp;" "&amp;$I1300&amp;" "&amp;$F1300&amp;" "&amp;$J1300&amp;" "&amp;$K1300&amp;" "&amp;$L1300&amp;" "&amp;$V1300))),OR(CARI!$C$6="",$F1300=CARI!$C$6),OR(CARI!$C$7="",$G1300=CARI!$C$7),OR(CARI!$C$8="",$T1300=CARI!$C$8)),MAX($Z$3:Z1299)+1,""))</f>
        <v/>
      </c>
      <c r="AA1300" s="40" t="str">
        <f aca="false">IF($Y1300="","",MAX($AA$3:AA1299)+1)</f>
        <v/>
      </c>
      <c r="AB1300" s="40" t="str">
        <f aca="false">IF($F1300="","",$F1300&amp;"#"&amp;COUNTIF($F$4:$F1300,$F1300))</f>
        <v/>
      </c>
      <c r="AC1300" s="40" t="str">
        <f aca="false">IF($B1300="","",IF(AND(OR(CETAK!$J$10="",$F1300=CETAK!$J$10),OR(CETAK!$J$11="",$G1300=CETAK!$J$11),OR(CETAK!$J$12="",$P1300=CETAK!$J$12),OR(CETAK!$J$13="",$N1300=CETAK!$J$13),OR(CETAK!$J$14="",$T1300=CETAK!$J$14)),MAX($AC$3:AC1299)+1,""))</f>
        <v/>
      </c>
      <c r="AD1300" s="40" t="str">
        <f aca="false">IF($B1300="","",IF(AND(OR(ABSENSI!$H$10="",$F1300=ABSENSI!$H$10),OR(ABSENSI!$H$11="",$G1300=ABSENSI!$H$11),OR(ABSENSI!$H$12="",$P1300=ABSENSI!$H$12)),MAX($AD$3:AD1299)+1,""))</f>
        <v/>
      </c>
      <c r="AE1300" s="40" t="str">
        <f aca="false">IF($B1300="","",IF(AND(OR(KARTU!$K$6="",$F1300=KARTU!$K$6),OR(KARTU!$K$7="",$G1300=KARTU!$K$7),OR(KARTU!$K$8="",$P1300=KARTU!$K$8)),MAX($AE$3:AE1299)+1,""))</f>
        <v/>
      </c>
    </row>
    <row r="1301" customFormat="false" ht="15" hidden="false" customHeight="false" outlineLevel="0" collapsed="false">
      <c r="A1301" s="35" t="str">
        <f aca="false">IF($B1301="","",COUNTA($B$4:$B1301))</f>
        <v/>
      </c>
      <c r="B1301" s="36"/>
      <c r="C1301" s="37"/>
      <c r="D1301" s="37"/>
      <c r="E1301" s="38"/>
      <c r="F1301" s="36"/>
      <c r="G1301" s="39"/>
      <c r="H1301" s="39"/>
      <c r="I1301" s="36"/>
      <c r="J1301" s="36"/>
      <c r="K1301" s="36"/>
      <c r="L1301" s="36"/>
      <c r="M1301" s="40" t="str">
        <f aca="false">IF($F1301="","",$F1301&amp;IF($G1301="",""," - RT "&amp;$G1301&amp;IF($H1301="","","/"&amp;$H1301)))</f>
        <v/>
      </c>
      <c r="N1301" s="36"/>
      <c r="O1301" s="37"/>
      <c r="P1301" s="39"/>
      <c r="Q1301" s="41"/>
      <c r="R1301" s="35" t="str">
        <f aca="true">IF(OR($B1301="",$Q1301=""),"",DATEDIF($Q1301,TODAY(),"Y"))</f>
        <v/>
      </c>
      <c r="S1301" s="40" t="str">
        <f aca="false">IF($R1301="","",INDEX(usia_label,MATCH($R1301,usia_min,1)))</f>
        <v/>
      </c>
      <c r="T1301" s="36"/>
      <c r="U1301" s="41"/>
      <c r="V1301" s="36"/>
      <c r="W1301" s="36"/>
      <c r="X1301" s="40" t="str">
        <f aca="false">IF($M1301="","",$M1301&amp;"#"&amp;COUNTIF($M$4:$M1301,$M1301))</f>
        <v/>
      </c>
      <c r="Y1301" s="40" t="str">
        <f aca="false">IF($B1301="","",IF($C1301="","NIK kosong",IF(LEN($C1301)&lt;&gt;16,"NIK bukan 16 digit",IF(COUNTIF($C$4:$C$2003,$C1301&amp;"*")&gt;1,"NIK ganda",IF(AND($D1301&lt;&gt;"",LEN($D1301)&lt;&gt;16),"No. KK bukan 16 digit",IF(AND($F1301="",$I1301=""),"Alamat kosong",IF($N1301="","Jabatan kosong",IF($O1301="","No. HP kosong",IF(AND($R1301&lt;&gt;"",$R1301&lt;17),"Usia di bawah 17","")))))))))</f>
        <v/>
      </c>
      <c r="Z1301" s="40" t="str">
        <f aca="false">IF($B1301="","",IF(AND(OR(CARI!$C$5="",ISNUMBER(SEARCH(CARI!$C$5,$B1301&amp;" "&amp;$C1301&amp;" "&amp;$D1301&amp;" "&amp;$O1301&amp;" "&amp;$I1301&amp;" "&amp;$F1301&amp;" "&amp;$J1301&amp;" "&amp;$K1301&amp;" "&amp;$L1301&amp;" "&amp;$V1301))),OR(CARI!$C$6="",$F1301=CARI!$C$6),OR(CARI!$C$7="",$G1301=CARI!$C$7),OR(CARI!$C$8="",$T1301=CARI!$C$8)),MAX($Z$3:Z1300)+1,""))</f>
        <v/>
      </c>
      <c r="AA1301" s="40" t="str">
        <f aca="false">IF($Y1301="","",MAX($AA$3:AA1300)+1)</f>
        <v/>
      </c>
      <c r="AB1301" s="40" t="str">
        <f aca="false">IF($F1301="","",$F1301&amp;"#"&amp;COUNTIF($F$4:$F1301,$F1301))</f>
        <v/>
      </c>
      <c r="AC1301" s="40" t="str">
        <f aca="false">IF($B1301="","",IF(AND(OR(CETAK!$J$10="",$F1301=CETAK!$J$10),OR(CETAK!$J$11="",$G1301=CETAK!$J$11),OR(CETAK!$J$12="",$P1301=CETAK!$J$12),OR(CETAK!$J$13="",$N1301=CETAK!$J$13),OR(CETAK!$J$14="",$T1301=CETAK!$J$14)),MAX($AC$3:AC1300)+1,""))</f>
        <v/>
      </c>
      <c r="AD1301" s="40" t="str">
        <f aca="false">IF($B1301="","",IF(AND(OR(ABSENSI!$H$10="",$F1301=ABSENSI!$H$10),OR(ABSENSI!$H$11="",$G1301=ABSENSI!$H$11),OR(ABSENSI!$H$12="",$P1301=ABSENSI!$H$12)),MAX($AD$3:AD1300)+1,""))</f>
        <v/>
      </c>
      <c r="AE1301" s="40" t="str">
        <f aca="false">IF($B1301="","",IF(AND(OR(KARTU!$K$6="",$F1301=KARTU!$K$6),OR(KARTU!$K$7="",$G1301=KARTU!$K$7),OR(KARTU!$K$8="",$P1301=KARTU!$K$8)),MAX($AE$3:AE1300)+1,""))</f>
        <v/>
      </c>
    </row>
    <row r="1302" customFormat="false" ht="15" hidden="false" customHeight="false" outlineLevel="0" collapsed="false">
      <c r="A1302" s="35" t="str">
        <f aca="false">IF($B1302="","",COUNTA($B$4:$B1302))</f>
        <v/>
      </c>
      <c r="B1302" s="36"/>
      <c r="C1302" s="37"/>
      <c r="D1302" s="37"/>
      <c r="E1302" s="38"/>
      <c r="F1302" s="36"/>
      <c r="G1302" s="39"/>
      <c r="H1302" s="39"/>
      <c r="I1302" s="36"/>
      <c r="J1302" s="36"/>
      <c r="K1302" s="36"/>
      <c r="L1302" s="36"/>
      <c r="M1302" s="40" t="str">
        <f aca="false">IF($F1302="","",$F1302&amp;IF($G1302="",""," - RT "&amp;$G1302&amp;IF($H1302="","","/"&amp;$H1302)))</f>
        <v/>
      </c>
      <c r="N1302" s="36"/>
      <c r="O1302" s="37"/>
      <c r="P1302" s="39"/>
      <c r="Q1302" s="41"/>
      <c r="R1302" s="35" t="str">
        <f aca="true">IF(OR($B1302="",$Q1302=""),"",DATEDIF($Q1302,TODAY(),"Y"))</f>
        <v/>
      </c>
      <c r="S1302" s="40" t="str">
        <f aca="false">IF($R1302="","",INDEX(usia_label,MATCH($R1302,usia_min,1)))</f>
        <v/>
      </c>
      <c r="T1302" s="36"/>
      <c r="U1302" s="41"/>
      <c r="V1302" s="36"/>
      <c r="W1302" s="36"/>
      <c r="X1302" s="40" t="str">
        <f aca="false">IF($M1302="","",$M1302&amp;"#"&amp;COUNTIF($M$4:$M1302,$M1302))</f>
        <v/>
      </c>
      <c r="Y1302" s="40" t="str">
        <f aca="false">IF($B1302="","",IF($C1302="","NIK kosong",IF(LEN($C1302)&lt;&gt;16,"NIK bukan 16 digit",IF(COUNTIF($C$4:$C$2003,$C1302&amp;"*")&gt;1,"NIK ganda",IF(AND($D1302&lt;&gt;"",LEN($D1302)&lt;&gt;16),"No. KK bukan 16 digit",IF(AND($F1302="",$I1302=""),"Alamat kosong",IF($N1302="","Jabatan kosong",IF($O1302="","No. HP kosong",IF(AND($R1302&lt;&gt;"",$R1302&lt;17),"Usia di bawah 17","")))))))))</f>
        <v/>
      </c>
      <c r="Z1302" s="40" t="str">
        <f aca="false">IF($B1302="","",IF(AND(OR(CARI!$C$5="",ISNUMBER(SEARCH(CARI!$C$5,$B1302&amp;" "&amp;$C1302&amp;" "&amp;$D1302&amp;" "&amp;$O1302&amp;" "&amp;$I1302&amp;" "&amp;$F1302&amp;" "&amp;$J1302&amp;" "&amp;$K1302&amp;" "&amp;$L1302&amp;" "&amp;$V1302))),OR(CARI!$C$6="",$F1302=CARI!$C$6),OR(CARI!$C$7="",$G1302=CARI!$C$7),OR(CARI!$C$8="",$T1302=CARI!$C$8)),MAX($Z$3:Z1301)+1,""))</f>
        <v/>
      </c>
      <c r="AA1302" s="40" t="str">
        <f aca="false">IF($Y1302="","",MAX($AA$3:AA1301)+1)</f>
        <v/>
      </c>
      <c r="AB1302" s="40" t="str">
        <f aca="false">IF($F1302="","",$F1302&amp;"#"&amp;COUNTIF($F$4:$F1302,$F1302))</f>
        <v/>
      </c>
      <c r="AC1302" s="40" t="str">
        <f aca="false">IF($B1302="","",IF(AND(OR(CETAK!$J$10="",$F1302=CETAK!$J$10),OR(CETAK!$J$11="",$G1302=CETAK!$J$11),OR(CETAK!$J$12="",$P1302=CETAK!$J$12),OR(CETAK!$J$13="",$N1302=CETAK!$J$13),OR(CETAK!$J$14="",$T1302=CETAK!$J$14)),MAX($AC$3:AC1301)+1,""))</f>
        <v/>
      </c>
      <c r="AD1302" s="40" t="str">
        <f aca="false">IF($B1302="","",IF(AND(OR(ABSENSI!$H$10="",$F1302=ABSENSI!$H$10),OR(ABSENSI!$H$11="",$G1302=ABSENSI!$H$11),OR(ABSENSI!$H$12="",$P1302=ABSENSI!$H$12)),MAX($AD$3:AD1301)+1,""))</f>
        <v/>
      </c>
      <c r="AE1302" s="40" t="str">
        <f aca="false">IF($B1302="","",IF(AND(OR(KARTU!$K$6="",$F1302=KARTU!$K$6),OR(KARTU!$K$7="",$G1302=KARTU!$K$7),OR(KARTU!$K$8="",$P1302=KARTU!$K$8)),MAX($AE$3:AE1301)+1,""))</f>
        <v/>
      </c>
    </row>
    <row r="1303" customFormat="false" ht="15" hidden="false" customHeight="false" outlineLevel="0" collapsed="false">
      <c r="A1303" s="35" t="str">
        <f aca="false">IF($B1303="","",COUNTA($B$4:$B1303))</f>
        <v/>
      </c>
      <c r="B1303" s="36"/>
      <c r="C1303" s="37"/>
      <c r="D1303" s="37"/>
      <c r="E1303" s="38"/>
      <c r="F1303" s="36"/>
      <c r="G1303" s="39"/>
      <c r="H1303" s="39"/>
      <c r="I1303" s="36"/>
      <c r="J1303" s="36"/>
      <c r="K1303" s="36"/>
      <c r="L1303" s="36"/>
      <c r="M1303" s="40" t="str">
        <f aca="false">IF($F1303="","",$F1303&amp;IF($G1303="",""," - RT "&amp;$G1303&amp;IF($H1303="","","/"&amp;$H1303)))</f>
        <v/>
      </c>
      <c r="N1303" s="36"/>
      <c r="O1303" s="37"/>
      <c r="P1303" s="39"/>
      <c r="Q1303" s="41"/>
      <c r="R1303" s="35" t="str">
        <f aca="true">IF(OR($B1303="",$Q1303=""),"",DATEDIF($Q1303,TODAY(),"Y"))</f>
        <v/>
      </c>
      <c r="S1303" s="40" t="str">
        <f aca="false">IF($R1303="","",INDEX(usia_label,MATCH($R1303,usia_min,1)))</f>
        <v/>
      </c>
      <c r="T1303" s="36"/>
      <c r="U1303" s="41"/>
      <c r="V1303" s="36"/>
      <c r="W1303" s="36"/>
      <c r="X1303" s="40" t="str">
        <f aca="false">IF($M1303="","",$M1303&amp;"#"&amp;COUNTIF($M$4:$M1303,$M1303))</f>
        <v/>
      </c>
      <c r="Y1303" s="40" t="str">
        <f aca="false">IF($B1303="","",IF($C1303="","NIK kosong",IF(LEN($C1303)&lt;&gt;16,"NIK bukan 16 digit",IF(COUNTIF($C$4:$C$2003,$C1303&amp;"*")&gt;1,"NIK ganda",IF(AND($D1303&lt;&gt;"",LEN($D1303)&lt;&gt;16),"No. KK bukan 16 digit",IF(AND($F1303="",$I1303=""),"Alamat kosong",IF($N1303="","Jabatan kosong",IF($O1303="","No. HP kosong",IF(AND($R1303&lt;&gt;"",$R1303&lt;17),"Usia di bawah 17","")))))))))</f>
        <v/>
      </c>
      <c r="Z1303" s="40" t="str">
        <f aca="false">IF($B1303="","",IF(AND(OR(CARI!$C$5="",ISNUMBER(SEARCH(CARI!$C$5,$B1303&amp;" "&amp;$C1303&amp;" "&amp;$D1303&amp;" "&amp;$O1303&amp;" "&amp;$I1303&amp;" "&amp;$F1303&amp;" "&amp;$J1303&amp;" "&amp;$K1303&amp;" "&amp;$L1303&amp;" "&amp;$V1303))),OR(CARI!$C$6="",$F1303=CARI!$C$6),OR(CARI!$C$7="",$G1303=CARI!$C$7),OR(CARI!$C$8="",$T1303=CARI!$C$8)),MAX($Z$3:Z1302)+1,""))</f>
        <v/>
      </c>
      <c r="AA1303" s="40" t="str">
        <f aca="false">IF($Y1303="","",MAX($AA$3:AA1302)+1)</f>
        <v/>
      </c>
      <c r="AB1303" s="40" t="str">
        <f aca="false">IF($F1303="","",$F1303&amp;"#"&amp;COUNTIF($F$4:$F1303,$F1303))</f>
        <v/>
      </c>
      <c r="AC1303" s="40" t="str">
        <f aca="false">IF($B1303="","",IF(AND(OR(CETAK!$J$10="",$F1303=CETAK!$J$10),OR(CETAK!$J$11="",$G1303=CETAK!$J$11),OR(CETAK!$J$12="",$P1303=CETAK!$J$12),OR(CETAK!$J$13="",$N1303=CETAK!$J$13),OR(CETAK!$J$14="",$T1303=CETAK!$J$14)),MAX($AC$3:AC1302)+1,""))</f>
        <v/>
      </c>
      <c r="AD1303" s="40" t="str">
        <f aca="false">IF($B1303="","",IF(AND(OR(ABSENSI!$H$10="",$F1303=ABSENSI!$H$10),OR(ABSENSI!$H$11="",$G1303=ABSENSI!$H$11),OR(ABSENSI!$H$12="",$P1303=ABSENSI!$H$12)),MAX($AD$3:AD1302)+1,""))</f>
        <v/>
      </c>
      <c r="AE1303" s="40" t="str">
        <f aca="false">IF($B1303="","",IF(AND(OR(KARTU!$K$6="",$F1303=KARTU!$K$6),OR(KARTU!$K$7="",$G1303=KARTU!$K$7),OR(KARTU!$K$8="",$P1303=KARTU!$K$8)),MAX($AE$3:AE1302)+1,""))</f>
        <v/>
      </c>
    </row>
    <row r="1304" customFormat="false" ht="15" hidden="false" customHeight="false" outlineLevel="0" collapsed="false">
      <c r="A1304" s="35" t="str">
        <f aca="false">IF($B1304="","",COUNTA($B$4:$B1304))</f>
        <v/>
      </c>
      <c r="B1304" s="36"/>
      <c r="C1304" s="37"/>
      <c r="D1304" s="37"/>
      <c r="E1304" s="38"/>
      <c r="F1304" s="36"/>
      <c r="G1304" s="39"/>
      <c r="H1304" s="39"/>
      <c r="I1304" s="36"/>
      <c r="J1304" s="36"/>
      <c r="K1304" s="36"/>
      <c r="L1304" s="36"/>
      <c r="M1304" s="40" t="str">
        <f aca="false">IF($F1304="","",$F1304&amp;IF($G1304="",""," - RT "&amp;$G1304&amp;IF($H1304="","","/"&amp;$H1304)))</f>
        <v/>
      </c>
      <c r="N1304" s="36"/>
      <c r="O1304" s="37"/>
      <c r="P1304" s="39"/>
      <c r="Q1304" s="41"/>
      <c r="R1304" s="35" t="str">
        <f aca="true">IF(OR($B1304="",$Q1304=""),"",DATEDIF($Q1304,TODAY(),"Y"))</f>
        <v/>
      </c>
      <c r="S1304" s="40" t="str">
        <f aca="false">IF($R1304="","",INDEX(usia_label,MATCH($R1304,usia_min,1)))</f>
        <v/>
      </c>
      <c r="T1304" s="36"/>
      <c r="U1304" s="41"/>
      <c r="V1304" s="36"/>
      <c r="W1304" s="36"/>
      <c r="X1304" s="40" t="str">
        <f aca="false">IF($M1304="","",$M1304&amp;"#"&amp;COUNTIF($M$4:$M1304,$M1304))</f>
        <v/>
      </c>
      <c r="Y1304" s="40" t="str">
        <f aca="false">IF($B1304="","",IF($C1304="","NIK kosong",IF(LEN($C1304)&lt;&gt;16,"NIK bukan 16 digit",IF(COUNTIF($C$4:$C$2003,$C1304&amp;"*")&gt;1,"NIK ganda",IF(AND($D1304&lt;&gt;"",LEN($D1304)&lt;&gt;16),"No. KK bukan 16 digit",IF(AND($F1304="",$I1304=""),"Alamat kosong",IF($N1304="","Jabatan kosong",IF($O1304="","No. HP kosong",IF(AND($R1304&lt;&gt;"",$R1304&lt;17),"Usia di bawah 17","")))))))))</f>
        <v/>
      </c>
      <c r="Z1304" s="40" t="str">
        <f aca="false">IF($B1304="","",IF(AND(OR(CARI!$C$5="",ISNUMBER(SEARCH(CARI!$C$5,$B1304&amp;" "&amp;$C1304&amp;" "&amp;$D1304&amp;" "&amp;$O1304&amp;" "&amp;$I1304&amp;" "&amp;$F1304&amp;" "&amp;$J1304&amp;" "&amp;$K1304&amp;" "&amp;$L1304&amp;" "&amp;$V1304))),OR(CARI!$C$6="",$F1304=CARI!$C$6),OR(CARI!$C$7="",$G1304=CARI!$C$7),OR(CARI!$C$8="",$T1304=CARI!$C$8)),MAX($Z$3:Z1303)+1,""))</f>
        <v/>
      </c>
      <c r="AA1304" s="40" t="str">
        <f aca="false">IF($Y1304="","",MAX($AA$3:AA1303)+1)</f>
        <v/>
      </c>
      <c r="AB1304" s="40" t="str">
        <f aca="false">IF($F1304="","",$F1304&amp;"#"&amp;COUNTIF($F$4:$F1304,$F1304))</f>
        <v/>
      </c>
      <c r="AC1304" s="40" t="str">
        <f aca="false">IF($B1304="","",IF(AND(OR(CETAK!$J$10="",$F1304=CETAK!$J$10),OR(CETAK!$J$11="",$G1304=CETAK!$J$11),OR(CETAK!$J$12="",$P1304=CETAK!$J$12),OR(CETAK!$J$13="",$N1304=CETAK!$J$13),OR(CETAK!$J$14="",$T1304=CETAK!$J$14)),MAX($AC$3:AC1303)+1,""))</f>
        <v/>
      </c>
      <c r="AD1304" s="40" t="str">
        <f aca="false">IF($B1304="","",IF(AND(OR(ABSENSI!$H$10="",$F1304=ABSENSI!$H$10),OR(ABSENSI!$H$11="",$G1304=ABSENSI!$H$11),OR(ABSENSI!$H$12="",$P1304=ABSENSI!$H$12)),MAX($AD$3:AD1303)+1,""))</f>
        <v/>
      </c>
      <c r="AE1304" s="40" t="str">
        <f aca="false">IF($B1304="","",IF(AND(OR(KARTU!$K$6="",$F1304=KARTU!$K$6),OR(KARTU!$K$7="",$G1304=KARTU!$K$7),OR(KARTU!$K$8="",$P1304=KARTU!$K$8)),MAX($AE$3:AE1303)+1,""))</f>
        <v/>
      </c>
    </row>
    <row r="1305" customFormat="false" ht="15" hidden="false" customHeight="false" outlineLevel="0" collapsed="false">
      <c r="A1305" s="35" t="str">
        <f aca="false">IF($B1305="","",COUNTA($B$4:$B1305))</f>
        <v/>
      </c>
      <c r="B1305" s="36"/>
      <c r="C1305" s="37"/>
      <c r="D1305" s="37"/>
      <c r="E1305" s="38"/>
      <c r="F1305" s="36"/>
      <c r="G1305" s="39"/>
      <c r="H1305" s="39"/>
      <c r="I1305" s="36"/>
      <c r="J1305" s="36"/>
      <c r="K1305" s="36"/>
      <c r="L1305" s="36"/>
      <c r="M1305" s="40" t="str">
        <f aca="false">IF($F1305="","",$F1305&amp;IF($G1305="",""," - RT "&amp;$G1305&amp;IF($H1305="","","/"&amp;$H1305)))</f>
        <v/>
      </c>
      <c r="N1305" s="36"/>
      <c r="O1305" s="37"/>
      <c r="P1305" s="39"/>
      <c r="Q1305" s="41"/>
      <c r="R1305" s="35" t="str">
        <f aca="true">IF(OR($B1305="",$Q1305=""),"",DATEDIF($Q1305,TODAY(),"Y"))</f>
        <v/>
      </c>
      <c r="S1305" s="40" t="str">
        <f aca="false">IF($R1305="","",INDEX(usia_label,MATCH($R1305,usia_min,1)))</f>
        <v/>
      </c>
      <c r="T1305" s="36"/>
      <c r="U1305" s="41"/>
      <c r="V1305" s="36"/>
      <c r="W1305" s="36"/>
      <c r="X1305" s="40" t="str">
        <f aca="false">IF($M1305="","",$M1305&amp;"#"&amp;COUNTIF($M$4:$M1305,$M1305))</f>
        <v/>
      </c>
      <c r="Y1305" s="40" t="str">
        <f aca="false">IF($B1305="","",IF($C1305="","NIK kosong",IF(LEN($C1305)&lt;&gt;16,"NIK bukan 16 digit",IF(COUNTIF($C$4:$C$2003,$C1305&amp;"*")&gt;1,"NIK ganda",IF(AND($D1305&lt;&gt;"",LEN($D1305)&lt;&gt;16),"No. KK bukan 16 digit",IF(AND($F1305="",$I1305=""),"Alamat kosong",IF($N1305="","Jabatan kosong",IF($O1305="","No. HP kosong",IF(AND($R1305&lt;&gt;"",$R1305&lt;17),"Usia di bawah 17","")))))))))</f>
        <v/>
      </c>
      <c r="Z1305" s="40" t="str">
        <f aca="false">IF($B1305="","",IF(AND(OR(CARI!$C$5="",ISNUMBER(SEARCH(CARI!$C$5,$B1305&amp;" "&amp;$C1305&amp;" "&amp;$D1305&amp;" "&amp;$O1305&amp;" "&amp;$I1305&amp;" "&amp;$F1305&amp;" "&amp;$J1305&amp;" "&amp;$K1305&amp;" "&amp;$L1305&amp;" "&amp;$V1305))),OR(CARI!$C$6="",$F1305=CARI!$C$6),OR(CARI!$C$7="",$G1305=CARI!$C$7),OR(CARI!$C$8="",$T1305=CARI!$C$8)),MAX($Z$3:Z1304)+1,""))</f>
        <v/>
      </c>
      <c r="AA1305" s="40" t="str">
        <f aca="false">IF($Y1305="","",MAX($AA$3:AA1304)+1)</f>
        <v/>
      </c>
      <c r="AB1305" s="40" t="str">
        <f aca="false">IF($F1305="","",$F1305&amp;"#"&amp;COUNTIF($F$4:$F1305,$F1305))</f>
        <v/>
      </c>
      <c r="AC1305" s="40" t="str">
        <f aca="false">IF($B1305="","",IF(AND(OR(CETAK!$J$10="",$F1305=CETAK!$J$10),OR(CETAK!$J$11="",$G1305=CETAK!$J$11),OR(CETAK!$J$12="",$P1305=CETAK!$J$12),OR(CETAK!$J$13="",$N1305=CETAK!$J$13),OR(CETAK!$J$14="",$T1305=CETAK!$J$14)),MAX($AC$3:AC1304)+1,""))</f>
        <v/>
      </c>
      <c r="AD1305" s="40" t="str">
        <f aca="false">IF($B1305="","",IF(AND(OR(ABSENSI!$H$10="",$F1305=ABSENSI!$H$10),OR(ABSENSI!$H$11="",$G1305=ABSENSI!$H$11),OR(ABSENSI!$H$12="",$P1305=ABSENSI!$H$12)),MAX($AD$3:AD1304)+1,""))</f>
        <v/>
      </c>
      <c r="AE1305" s="40" t="str">
        <f aca="false">IF($B1305="","",IF(AND(OR(KARTU!$K$6="",$F1305=KARTU!$K$6),OR(KARTU!$K$7="",$G1305=KARTU!$K$7),OR(KARTU!$K$8="",$P1305=KARTU!$K$8)),MAX($AE$3:AE1304)+1,""))</f>
        <v/>
      </c>
    </row>
    <row r="1306" customFormat="false" ht="15" hidden="false" customHeight="false" outlineLevel="0" collapsed="false">
      <c r="A1306" s="35" t="str">
        <f aca="false">IF($B1306="","",COUNTA($B$4:$B1306))</f>
        <v/>
      </c>
      <c r="B1306" s="36"/>
      <c r="C1306" s="37"/>
      <c r="D1306" s="37"/>
      <c r="E1306" s="38"/>
      <c r="F1306" s="36"/>
      <c r="G1306" s="39"/>
      <c r="H1306" s="39"/>
      <c r="I1306" s="36"/>
      <c r="J1306" s="36"/>
      <c r="K1306" s="36"/>
      <c r="L1306" s="36"/>
      <c r="M1306" s="40" t="str">
        <f aca="false">IF($F1306="","",$F1306&amp;IF($G1306="",""," - RT "&amp;$G1306&amp;IF($H1306="","","/"&amp;$H1306)))</f>
        <v/>
      </c>
      <c r="N1306" s="36"/>
      <c r="O1306" s="37"/>
      <c r="P1306" s="39"/>
      <c r="Q1306" s="41"/>
      <c r="R1306" s="35" t="str">
        <f aca="true">IF(OR($B1306="",$Q1306=""),"",DATEDIF($Q1306,TODAY(),"Y"))</f>
        <v/>
      </c>
      <c r="S1306" s="40" t="str">
        <f aca="false">IF($R1306="","",INDEX(usia_label,MATCH($R1306,usia_min,1)))</f>
        <v/>
      </c>
      <c r="T1306" s="36"/>
      <c r="U1306" s="41"/>
      <c r="V1306" s="36"/>
      <c r="W1306" s="36"/>
      <c r="X1306" s="40" t="str">
        <f aca="false">IF($M1306="","",$M1306&amp;"#"&amp;COUNTIF($M$4:$M1306,$M1306))</f>
        <v/>
      </c>
      <c r="Y1306" s="40" t="str">
        <f aca="false">IF($B1306="","",IF($C1306="","NIK kosong",IF(LEN($C1306)&lt;&gt;16,"NIK bukan 16 digit",IF(COUNTIF($C$4:$C$2003,$C1306&amp;"*")&gt;1,"NIK ganda",IF(AND($D1306&lt;&gt;"",LEN($D1306)&lt;&gt;16),"No. KK bukan 16 digit",IF(AND($F1306="",$I1306=""),"Alamat kosong",IF($N1306="","Jabatan kosong",IF($O1306="","No. HP kosong",IF(AND($R1306&lt;&gt;"",$R1306&lt;17),"Usia di bawah 17","")))))))))</f>
        <v/>
      </c>
      <c r="Z1306" s="40" t="str">
        <f aca="false">IF($B1306="","",IF(AND(OR(CARI!$C$5="",ISNUMBER(SEARCH(CARI!$C$5,$B1306&amp;" "&amp;$C1306&amp;" "&amp;$D1306&amp;" "&amp;$O1306&amp;" "&amp;$I1306&amp;" "&amp;$F1306&amp;" "&amp;$J1306&amp;" "&amp;$K1306&amp;" "&amp;$L1306&amp;" "&amp;$V1306))),OR(CARI!$C$6="",$F1306=CARI!$C$6),OR(CARI!$C$7="",$G1306=CARI!$C$7),OR(CARI!$C$8="",$T1306=CARI!$C$8)),MAX($Z$3:Z1305)+1,""))</f>
        <v/>
      </c>
      <c r="AA1306" s="40" t="str">
        <f aca="false">IF($Y1306="","",MAX($AA$3:AA1305)+1)</f>
        <v/>
      </c>
      <c r="AB1306" s="40" t="str">
        <f aca="false">IF($F1306="","",$F1306&amp;"#"&amp;COUNTIF($F$4:$F1306,$F1306))</f>
        <v/>
      </c>
      <c r="AC1306" s="40" t="str">
        <f aca="false">IF($B1306="","",IF(AND(OR(CETAK!$J$10="",$F1306=CETAK!$J$10),OR(CETAK!$J$11="",$G1306=CETAK!$J$11),OR(CETAK!$J$12="",$P1306=CETAK!$J$12),OR(CETAK!$J$13="",$N1306=CETAK!$J$13),OR(CETAK!$J$14="",$T1306=CETAK!$J$14)),MAX($AC$3:AC1305)+1,""))</f>
        <v/>
      </c>
      <c r="AD1306" s="40" t="str">
        <f aca="false">IF($B1306="","",IF(AND(OR(ABSENSI!$H$10="",$F1306=ABSENSI!$H$10),OR(ABSENSI!$H$11="",$G1306=ABSENSI!$H$11),OR(ABSENSI!$H$12="",$P1306=ABSENSI!$H$12)),MAX($AD$3:AD1305)+1,""))</f>
        <v/>
      </c>
      <c r="AE1306" s="40" t="str">
        <f aca="false">IF($B1306="","",IF(AND(OR(KARTU!$K$6="",$F1306=KARTU!$K$6),OR(KARTU!$K$7="",$G1306=KARTU!$K$7),OR(KARTU!$K$8="",$P1306=KARTU!$K$8)),MAX($AE$3:AE1305)+1,""))</f>
        <v/>
      </c>
    </row>
    <row r="1307" customFormat="false" ht="15" hidden="false" customHeight="false" outlineLevel="0" collapsed="false">
      <c r="A1307" s="35" t="str">
        <f aca="false">IF($B1307="","",COUNTA($B$4:$B1307))</f>
        <v/>
      </c>
      <c r="B1307" s="36"/>
      <c r="C1307" s="37"/>
      <c r="D1307" s="37"/>
      <c r="E1307" s="38"/>
      <c r="F1307" s="36"/>
      <c r="G1307" s="39"/>
      <c r="H1307" s="39"/>
      <c r="I1307" s="36"/>
      <c r="J1307" s="36"/>
      <c r="K1307" s="36"/>
      <c r="L1307" s="36"/>
      <c r="M1307" s="40" t="str">
        <f aca="false">IF($F1307="","",$F1307&amp;IF($G1307="",""," - RT "&amp;$G1307&amp;IF($H1307="","","/"&amp;$H1307)))</f>
        <v/>
      </c>
      <c r="N1307" s="36"/>
      <c r="O1307" s="37"/>
      <c r="P1307" s="39"/>
      <c r="Q1307" s="41"/>
      <c r="R1307" s="35" t="str">
        <f aca="true">IF(OR($B1307="",$Q1307=""),"",DATEDIF($Q1307,TODAY(),"Y"))</f>
        <v/>
      </c>
      <c r="S1307" s="40" t="str">
        <f aca="false">IF($R1307="","",INDEX(usia_label,MATCH($R1307,usia_min,1)))</f>
        <v/>
      </c>
      <c r="T1307" s="36"/>
      <c r="U1307" s="41"/>
      <c r="V1307" s="36"/>
      <c r="W1307" s="36"/>
      <c r="X1307" s="40" t="str">
        <f aca="false">IF($M1307="","",$M1307&amp;"#"&amp;COUNTIF($M$4:$M1307,$M1307))</f>
        <v/>
      </c>
      <c r="Y1307" s="40" t="str">
        <f aca="false">IF($B1307="","",IF($C1307="","NIK kosong",IF(LEN($C1307)&lt;&gt;16,"NIK bukan 16 digit",IF(COUNTIF($C$4:$C$2003,$C1307&amp;"*")&gt;1,"NIK ganda",IF(AND($D1307&lt;&gt;"",LEN($D1307)&lt;&gt;16),"No. KK bukan 16 digit",IF(AND($F1307="",$I1307=""),"Alamat kosong",IF($N1307="","Jabatan kosong",IF($O1307="","No. HP kosong",IF(AND($R1307&lt;&gt;"",$R1307&lt;17),"Usia di bawah 17","")))))))))</f>
        <v/>
      </c>
      <c r="Z1307" s="40" t="str">
        <f aca="false">IF($B1307="","",IF(AND(OR(CARI!$C$5="",ISNUMBER(SEARCH(CARI!$C$5,$B1307&amp;" "&amp;$C1307&amp;" "&amp;$D1307&amp;" "&amp;$O1307&amp;" "&amp;$I1307&amp;" "&amp;$F1307&amp;" "&amp;$J1307&amp;" "&amp;$K1307&amp;" "&amp;$L1307&amp;" "&amp;$V1307))),OR(CARI!$C$6="",$F1307=CARI!$C$6),OR(CARI!$C$7="",$G1307=CARI!$C$7),OR(CARI!$C$8="",$T1307=CARI!$C$8)),MAX($Z$3:Z1306)+1,""))</f>
        <v/>
      </c>
      <c r="AA1307" s="40" t="str">
        <f aca="false">IF($Y1307="","",MAX($AA$3:AA1306)+1)</f>
        <v/>
      </c>
      <c r="AB1307" s="40" t="str">
        <f aca="false">IF($F1307="","",$F1307&amp;"#"&amp;COUNTIF($F$4:$F1307,$F1307))</f>
        <v/>
      </c>
      <c r="AC1307" s="40" t="str">
        <f aca="false">IF($B1307="","",IF(AND(OR(CETAK!$J$10="",$F1307=CETAK!$J$10),OR(CETAK!$J$11="",$G1307=CETAK!$J$11),OR(CETAK!$J$12="",$P1307=CETAK!$J$12),OR(CETAK!$J$13="",$N1307=CETAK!$J$13),OR(CETAK!$J$14="",$T1307=CETAK!$J$14)),MAX($AC$3:AC1306)+1,""))</f>
        <v/>
      </c>
      <c r="AD1307" s="40" t="str">
        <f aca="false">IF($B1307="","",IF(AND(OR(ABSENSI!$H$10="",$F1307=ABSENSI!$H$10),OR(ABSENSI!$H$11="",$G1307=ABSENSI!$H$11),OR(ABSENSI!$H$12="",$P1307=ABSENSI!$H$12)),MAX($AD$3:AD1306)+1,""))</f>
        <v/>
      </c>
      <c r="AE1307" s="40" t="str">
        <f aca="false">IF($B1307="","",IF(AND(OR(KARTU!$K$6="",$F1307=KARTU!$K$6),OR(KARTU!$K$7="",$G1307=KARTU!$K$7),OR(KARTU!$K$8="",$P1307=KARTU!$K$8)),MAX($AE$3:AE1306)+1,""))</f>
        <v/>
      </c>
    </row>
    <row r="1308" customFormat="false" ht="15" hidden="false" customHeight="false" outlineLevel="0" collapsed="false">
      <c r="A1308" s="35" t="str">
        <f aca="false">IF($B1308="","",COUNTA($B$4:$B1308))</f>
        <v/>
      </c>
      <c r="B1308" s="36"/>
      <c r="C1308" s="37"/>
      <c r="D1308" s="37"/>
      <c r="E1308" s="38"/>
      <c r="F1308" s="36"/>
      <c r="G1308" s="39"/>
      <c r="H1308" s="39"/>
      <c r="I1308" s="36"/>
      <c r="J1308" s="36"/>
      <c r="K1308" s="36"/>
      <c r="L1308" s="36"/>
      <c r="M1308" s="40" t="str">
        <f aca="false">IF($F1308="","",$F1308&amp;IF($G1308="",""," - RT "&amp;$G1308&amp;IF($H1308="","","/"&amp;$H1308)))</f>
        <v/>
      </c>
      <c r="N1308" s="36"/>
      <c r="O1308" s="37"/>
      <c r="P1308" s="39"/>
      <c r="Q1308" s="41"/>
      <c r="R1308" s="35" t="str">
        <f aca="true">IF(OR($B1308="",$Q1308=""),"",DATEDIF($Q1308,TODAY(),"Y"))</f>
        <v/>
      </c>
      <c r="S1308" s="40" t="str">
        <f aca="false">IF($R1308="","",INDEX(usia_label,MATCH($R1308,usia_min,1)))</f>
        <v/>
      </c>
      <c r="T1308" s="36"/>
      <c r="U1308" s="41"/>
      <c r="V1308" s="36"/>
      <c r="W1308" s="36"/>
      <c r="X1308" s="40" t="str">
        <f aca="false">IF($M1308="","",$M1308&amp;"#"&amp;COUNTIF($M$4:$M1308,$M1308))</f>
        <v/>
      </c>
      <c r="Y1308" s="40" t="str">
        <f aca="false">IF($B1308="","",IF($C1308="","NIK kosong",IF(LEN($C1308)&lt;&gt;16,"NIK bukan 16 digit",IF(COUNTIF($C$4:$C$2003,$C1308&amp;"*")&gt;1,"NIK ganda",IF(AND($D1308&lt;&gt;"",LEN($D1308)&lt;&gt;16),"No. KK bukan 16 digit",IF(AND($F1308="",$I1308=""),"Alamat kosong",IF($N1308="","Jabatan kosong",IF($O1308="","No. HP kosong",IF(AND($R1308&lt;&gt;"",$R1308&lt;17),"Usia di bawah 17","")))))))))</f>
        <v/>
      </c>
      <c r="Z1308" s="40" t="str">
        <f aca="false">IF($B1308="","",IF(AND(OR(CARI!$C$5="",ISNUMBER(SEARCH(CARI!$C$5,$B1308&amp;" "&amp;$C1308&amp;" "&amp;$D1308&amp;" "&amp;$O1308&amp;" "&amp;$I1308&amp;" "&amp;$F1308&amp;" "&amp;$J1308&amp;" "&amp;$K1308&amp;" "&amp;$L1308&amp;" "&amp;$V1308))),OR(CARI!$C$6="",$F1308=CARI!$C$6),OR(CARI!$C$7="",$G1308=CARI!$C$7),OR(CARI!$C$8="",$T1308=CARI!$C$8)),MAX($Z$3:Z1307)+1,""))</f>
        <v/>
      </c>
      <c r="AA1308" s="40" t="str">
        <f aca="false">IF($Y1308="","",MAX($AA$3:AA1307)+1)</f>
        <v/>
      </c>
      <c r="AB1308" s="40" t="str">
        <f aca="false">IF($F1308="","",$F1308&amp;"#"&amp;COUNTIF($F$4:$F1308,$F1308))</f>
        <v/>
      </c>
      <c r="AC1308" s="40" t="str">
        <f aca="false">IF($B1308="","",IF(AND(OR(CETAK!$J$10="",$F1308=CETAK!$J$10),OR(CETAK!$J$11="",$G1308=CETAK!$J$11),OR(CETAK!$J$12="",$P1308=CETAK!$J$12),OR(CETAK!$J$13="",$N1308=CETAK!$J$13),OR(CETAK!$J$14="",$T1308=CETAK!$J$14)),MAX($AC$3:AC1307)+1,""))</f>
        <v/>
      </c>
      <c r="AD1308" s="40" t="str">
        <f aca="false">IF($B1308="","",IF(AND(OR(ABSENSI!$H$10="",$F1308=ABSENSI!$H$10),OR(ABSENSI!$H$11="",$G1308=ABSENSI!$H$11),OR(ABSENSI!$H$12="",$P1308=ABSENSI!$H$12)),MAX($AD$3:AD1307)+1,""))</f>
        <v/>
      </c>
      <c r="AE1308" s="40" t="str">
        <f aca="false">IF($B1308="","",IF(AND(OR(KARTU!$K$6="",$F1308=KARTU!$K$6),OR(KARTU!$K$7="",$G1308=KARTU!$K$7),OR(KARTU!$K$8="",$P1308=KARTU!$K$8)),MAX($AE$3:AE1307)+1,""))</f>
        <v/>
      </c>
    </row>
    <row r="1309" customFormat="false" ht="15" hidden="false" customHeight="false" outlineLevel="0" collapsed="false">
      <c r="A1309" s="35" t="str">
        <f aca="false">IF($B1309="","",COUNTA($B$4:$B1309))</f>
        <v/>
      </c>
      <c r="B1309" s="36"/>
      <c r="C1309" s="37"/>
      <c r="D1309" s="37"/>
      <c r="E1309" s="38"/>
      <c r="F1309" s="36"/>
      <c r="G1309" s="39"/>
      <c r="H1309" s="39"/>
      <c r="I1309" s="36"/>
      <c r="J1309" s="36"/>
      <c r="K1309" s="36"/>
      <c r="L1309" s="36"/>
      <c r="M1309" s="40" t="str">
        <f aca="false">IF($F1309="","",$F1309&amp;IF($G1309="",""," - RT "&amp;$G1309&amp;IF($H1309="","","/"&amp;$H1309)))</f>
        <v/>
      </c>
      <c r="N1309" s="36"/>
      <c r="O1309" s="37"/>
      <c r="P1309" s="39"/>
      <c r="Q1309" s="41"/>
      <c r="R1309" s="35" t="str">
        <f aca="true">IF(OR($B1309="",$Q1309=""),"",DATEDIF($Q1309,TODAY(),"Y"))</f>
        <v/>
      </c>
      <c r="S1309" s="40" t="str">
        <f aca="false">IF($R1309="","",INDEX(usia_label,MATCH($R1309,usia_min,1)))</f>
        <v/>
      </c>
      <c r="T1309" s="36"/>
      <c r="U1309" s="41"/>
      <c r="V1309" s="36"/>
      <c r="W1309" s="36"/>
      <c r="X1309" s="40" t="str">
        <f aca="false">IF($M1309="","",$M1309&amp;"#"&amp;COUNTIF($M$4:$M1309,$M1309))</f>
        <v/>
      </c>
      <c r="Y1309" s="40" t="str">
        <f aca="false">IF($B1309="","",IF($C1309="","NIK kosong",IF(LEN($C1309)&lt;&gt;16,"NIK bukan 16 digit",IF(COUNTIF($C$4:$C$2003,$C1309&amp;"*")&gt;1,"NIK ganda",IF(AND($D1309&lt;&gt;"",LEN($D1309)&lt;&gt;16),"No. KK bukan 16 digit",IF(AND($F1309="",$I1309=""),"Alamat kosong",IF($N1309="","Jabatan kosong",IF($O1309="","No. HP kosong",IF(AND($R1309&lt;&gt;"",$R1309&lt;17),"Usia di bawah 17","")))))))))</f>
        <v/>
      </c>
      <c r="Z1309" s="40" t="str">
        <f aca="false">IF($B1309="","",IF(AND(OR(CARI!$C$5="",ISNUMBER(SEARCH(CARI!$C$5,$B1309&amp;" "&amp;$C1309&amp;" "&amp;$D1309&amp;" "&amp;$O1309&amp;" "&amp;$I1309&amp;" "&amp;$F1309&amp;" "&amp;$J1309&amp;" "&amp;$K1309&amp;" "&amp;$L1309&amp;" "&amp;$V1309))),OR(CARI!$C$6="",$F1309=CARI!$C$6),OR(CARI!$C$7="",$G1309=CARI!$C$7),OR(CARI!$C$8="",$T1309=CARI!$C$8)),MAX($Z$3:Z1308)+1,""))</f>
        <v/>
      </c>
      <c r="AA1309" s="40" t="str">
        <f aca="false">IF($Y1309="","",MAX($AA$3:AA1308)+1)</f>
        <v/>
      </c>
      <c r="AB1309" s="40" t="str">
        <f aca="false">IF($F1309="","",$F1309&amp;"#"&amp;COUNTIF($F$4:$F1309,$F1309))</f>
        <v/>
      </c>
      <c r="AC1309" s="40" t="str">
        <f aca="false">IF($B1309="","",IF(AND(OR(CETAK!$J$10="",$F1309=CETAK!$J$10),OR(CETAK!$J$11="",$G1309=CETAK!$J$11),OR(CETAK!$J$12="",$P1309=CETAK!$J$12),OR(CETAK!$J$13="",$N1309=CETAK!$J$13),OR(CETAK!$J$14="",$T1309=CETAK!$J$14)),MAX($AC$3:AC1308)+1,""))</f>
        <v/>
      </c>
      <c r="AD1309" s="40" t="str">
        <f aca="false">IF($B1309="","",IF(AND(OR(ABSENSI!$H$10="",$F1309=ABSENSI!$H$10),OR(ABSENSI!$H$11="",$G1309=ABSENSI!$H$11),OR(ABSENSI!$H$12="",$P1309=ABSENSI!$H$12)),MAX($AD$3:AD1308)+1,""))</f>
        <v/>
      </c>
      <c r="AE1309" s="40" t="str">
        <f aca="false">IF($B1309="","",IF(AND(OR(KARTU!$K$6="",$F1309=KARTU!$K$6),OR(KARTU!$K$7="",$G1309=KARTU!$K$7),OR(KARTU!$K$8="",$P1309=KARTU!$K$8)),MAX($AE$3:AE1308)+1,""))</f>
        <v/>
      </c>
    </row>
    <row r="1310" customFormat="false" ht="15" hidden="false" customHeight="false" outlineLevel="0" collapsed="false">
      <c r="A1310" s="35" t="str">
        <f aca="false">IF($B1310="","",COUNTA($B$4:$B1310))</f>
        <v/>
      </c>
      <c r="B1310" s="36"/>
      <c r="C1310" s="37"/>
      <c r="D1310" s="37"/>
      <c r="E1310" s="38"/>
      <c r="F1310" s="36"/>
      <c r="G1310" s="39"/>
      <c r="H1310" s="39"/>
      <c r="I1310" s="36"/>
      <c r="J1310" s="36"/>
      <c r="K1310" s="36"/>
      <c r="L1310" s="36"/>
      <c r="M1310" s="40" t="str">
        <f aca="false">IF($F1310="","",$F1310&amp;IF($G1310="",""," - RT "&amp;$G1310&amp;IF($H1310="","","/"&amp;$H1310)))</f>
        <v/>
      </c>
      <c r="N1310" s="36"/>
      <c r="O1310" s="37"/>
      <c r="P1310" s="39"/>
      <c r="Q1310" s="41"/>
      <c r="R1310" s="35" t="str">
        <f aca="true">IF(OR($B1310="",$Q1310=""),"",DATEDIF($Q1310,TODAY(),"Y"))</f>
        <v/>
      </c>
      <c r="S1310" s="40" t="str">
        <f aca="false">IF($R1310="","",INDEX(usia_label,MATCH($R1310,usia_min,1)))</f>
        <v/>
      </c>
      <c r="T1310" s="36"/>
      <c r="U1310" s="41"/>
      <c r="V1310" s="36"/>
      <c r="W1310" s="36"/>
      <c r="X1310" s="40" t="str">
        <f aca="false">IF($M1310="","",$M1310&amp;"#"&amp;COUNTIF($M$4:$M1310,$M1310))</f>
        <v/>
      </c>
      <c r="Y1310" s="40" t="str">
        <f aca="false">IF($B1310="","",IF($C1310="","NIK kosong",IF(LEN($C1310)&lt;&gt;16,"NIK bukan 16 digit",IF(COUNTIF($C$4:$C$2003,$C1310&amp;"*")&gt;1,"NIK ganda",IF(AND($D1310&lt;&gt;"",LEN($D1310)&lt;&gt;16),"No. KK bukan 16 digit",IF(AND($F1310="",$I1310=""),"Alamat kosong",IF($N1310="","Jabatan kosong",IF($O1310="","No. HP kosong",IF(AND($R1310&lt;&gt;"",$R1310&lt;17),"Usia di bawah 17","")))))))))</f>
        <v/>
      </c>
      <c r="Z1310" s="40" t="str">
        <f aca="false">IF($B1310="","",IF(AND(OR(CARI!$C$5="",ISNUMBER(SEARCH(CARI!$C$5,$B1310&amp;" "&amp;$C1310&amp;" "&amp;$D1310&amp;" "&amp;$O1310&amp;" "&amp;$I1310&amp;" "&amp;$F1310&amp;" "&amp;$J1310&amp;" "&amp;$K1310&amp;" "&amp;$L1310&amp;" "&amp;$V1310))),OR(CARI!$C$6="",$F1310=CARI!$C$6),OR(CARI!$C$7="",$G1310=CARI!$C$7),OR(CARI!$C$8="",$T1310=CARI!$C$8)),MAX($Z$3:Z1309)+1,""))</f>
        <v/>
      </c>
      <c r="AA1310" s="40" t="str">
        <f aca="false">IF($Y1310="","",MAX($AA$3:AA1309)+1)</f>
        <v/>
      </c>
      <c r="AB1310" s="40" t="str">
        <f aca="false">IF($F1310="","",$F1310&amp;"#"&amp;COUNTIF($F$4:$F1310,$F1310))</f>
        <v/>
      </c>
      <c r="AC1310" s="40" t="str">
        <f aca="false">IF($B1310="","",IF(AND(OR(CETAK!$J$10="",$F1310=CETAK!$J$10),OR(CETAK!$J$11="",$G1310=CETAK!$J$11),OR(CETAK!$J$12="",$P1310=CETAK!$J$12),OR(CETAK!$J$13="",$N1310=CETAK!$J$13),OR(CETAK!$J$14="",$T1310=CETAK!$J$14)),MAX($AC$3:AC1309)+1,""))</f>
        <v/>
      </c>
      <c r="AD1310" s="40" t="str">
        <f aca="false">IF($B1310="","",IF(AND(OR(ABSENSI!$H$10="",$F1310=ABSENSI!$H$10),OR(ABSENSI!$H$11="",$G1310=ABSENSI!$H$11),OR(ABSENSI!$H$12="",$P1310=ABSENSI!$H$12)),MAX($AD$3:AD1309)+1,""))</f>
        <v/>
      </c>
      <c r="AE1310" s="40" t="str">
        <f aca="false">IF($B1310="","",IF(AND(OR(KARTU!$K$6="",$F1310=KARTU!$K$6),OR(KARTU!$K$7="",$G1310=KARTU!$K$7),OR(KARTU!$K$8="",$P1310=KARTU!$K$8)),MAX($AE$3:AE1309)+1,""))</f>
        <v/>
      </c>
    </row>
    <row r="1311" customFormat="false" ht="15" hidden="false" customHeight="false" outlineLevel="0" collapsed="false">
      <c r="A1311" s="35" t="str">
        <f aca="false">IF($B1311="","",COUNTA($B$4:$B1311))</f>
        <v/>
      </c>
      <c r="B1311" s="36"/>
      <c r="C1311" s="37"/>
      <c r="D1311" s="37"/>
      <c r="E1311" s="38"/>
      <c r="F1311" s="36"/>
      <c r="G1311" s="39"/>
      <c r="H1311" s="39"/>
      <c r="I1311" s="36"/>
      <c r="J1311" s="36"/>
      <c r="K1311" s="36"/>
      <c r="L1311" s="36"/>
      <c r="M1311" s="40" t="str">
        <f aca="false">IF($F1311="","",$F1311&amp;IF($G1311="",""," - RT "&amp;$G1311&amp;IF($H1311="","","/"&amp;$H1311)))</f>
        <v/>
      </c>
      <c r="N1311" s="36"/>
      <c r="O1311" s="37"/>
      <c r="P1311" s="39"/>
      <c r="Q1311" s="41"/>
      <c r="R1311" s="35" t="str">
        <f aca="true">IF(OR($B1311="",$Q1311=""),"",DATEDIF($Q1311,TODAY(),"Y"))</f>
        <v/>
      </c>
      <c r="S1311" s="40" t="str">
        <f aca="false">IF($R1311="","",INDEX(usia_label,MATCH($R1311,usia_min,1)))</f>
        <v/>
      </c>
      <c r="T1311" s="36"/>
      <c r="U1311" s="41"/>
      <c r="V1311" s="36"/>
      <c r="W1311" s="36"/>
      <c r="X1311" s="40" t="str">
        <f aca="false">IF($M1311="","",$M1311&amp;"#"&amp;COUNTIF($M$4:$M1311,$M1311))</f>
        <v/>
      </c>
      <c r="Y1311" s="40" t="str">
        <f aca="false">IF($B1311="","",IF($C1311="","NIK kosong",IF(LEN($C1311)&lt;&gt;16,"NIK bukan 16 digit",IF(COUNTIF($C$4:$C$2003,$C1311&amp;"*")&gt;1,"NIK ganda",IF(AND($D1311&lt;&gt;"",LEN($D1311)&lt;&gt;16),"No. KK bukan 16 digit",IF(AND($F1311="",$I1311=""),"Alamat kosong",IF($N1311="","Jabatan kosong",IF($O1311="","No. HP kosong",IF(AND($R1311&lt;&gt;"",$R1311&lt;17),"Usia di bawah 17","")))))))))</f>
        <v/>
      </c>
      <c r="Z1311" s="40" t="str">
        <f aca="false">IF($B1311="","",IF(AND(OR(CARI!$C$5="",ISNUMBER(SEARCH(CARI!$C$5,$B1311&amp;" "&amp;$C1311&amp;" "&amp;$D1311&amp;" "&amp;$O1311&amp;" "&amp;$I1311&amp;" "&amp;$F1311&amp;" "&amp;$J1311&amp;" "&amp;$K1311&amp;" "&amp;$L1311&amp;" "&amp;$V1311))),OR(CARI!$C$6="",$F1311=CARI!$C$6),OR(CARI!$C$7="",$G1311=CARI!$C$7),OR(CARI!$C$8="",$T1311=CARI!$C$8)),MAX($Z$3:Z1310)+1,""))</f>
        <v/>
      </c>
      <c r="AA1311" s="40" t="str">
        <f aca="false">IF($Y1311="","",MAX($AA$3:AA1310)+1)</f>
        <v/>
      </c>
      <c r="AB1311" s="40" t="str">
        <f aca="false">IF($F1311="","",$F1311&amp;"#"&amp;COUNTIF($F$4:$F1311,$F1311))</f>
        <v/>
      </c>
      <c r="AC1311" s="40" t="str">
        <f aca="false">IF($B1311="","",IF(AND(OR(CETAK!$J$10="",$F1311=CETAK!$J$10),OR(CETAK!$J$11="",$G1311=CETAK!$J$11),OR(CETAK!$J$12="",$P1311=CETAK!$J$12),OR(CETAK!$J$13="",$N1311=CETAK!$J$13),OR(CETAK!$J$14="",$T1311=CETAK!$J$14)),MAX($AC$3:AC1310)+1,""))</f>
        <v/>
      </c>
      <c r="AD1311" s="40" t="str">
        <f aca="false">IF($B1311="","",IF(AND(OR(ABSENSI!$H$10="",$F1311=ABSENSI!$H$10),OR(ABSENSI!$H$11="",$G1311=ABSENSI!$H$11),OR(ABSENSI!$H$12="",$P1311=ABSENSI!$H$12)),MAX($AD$3:AD1310)+1,""))</f>
        <v/>
      </c>
      <c r="AE1311" s="40" t="str">
        <f aca="false">IF($B1311="","",IF(AND(OR(KARTU!$K$6="",$F1311=KARTU!$K$6),OR(KARTU!$K$7="",$G1311=KARTU!$K$7),OR(KARTU!$K$8="",$P1311=KARTU!$K$8)),MAX($AE$3:AE1310)+1,""))</f>
        <v/>
      </c>
    </row>
    <row r="1312" customFormat="false" ht="15" hidden="false" customHeight="false" outlineLevel="0" collapsed="false">
      <c r="A1312" s="35" t="str">
        <f aca="false">IF($B1312="","",COUNTA($B$4:$B1312))</f>
        <v/>
      </c>
      <c r="B1312" s="36"/>
      <c r="C1312" s="37"/>
      <c r="D1312" s="37"/>
      <c r="E1312" s="38"/>
      <c r="F1312" s="36"/>
      <c r="G1312" s="39"/>
      <c r="H1312" s="39"/>
      <c r="I1312" s="36"/>
      <c r="J1312" s="36"/>
      <c r="K1312" s="36"/>
      <c r="L1312" s="36"/>
      <c r="M1312" s="40" t="str">
        <f aca="false">IF($F1312="","",$F1312&amp;IF($G1312="",""," - RT "&amp;$G1312&amp;IF($H1312="","","/"&amp;$H1312)))</f>
        <v/>
      </c>
      <c r="N1312" s="36"/>
      <c r="O1312" s="37"/>
      <c r="P1312" s="39"/>
      <c r="Q1312" s="41"/>
      <c r="R1312" s="35" t="str">
        <f aca="true">IF(OR($B1312="",$Q1312=""),"",DATEDIF($Q1312,TODAY(),"Y"))</f>
        <v/>
      </c>
      <c r="S1312" s="40" t="str">
        <f aca="false">IF($R1312="","",INDEX(usia_label,MATCH($R1312,usia_min,1)))</f>
        <v/>
      </c>
      <c r="T1312" s="36"/>
      <c r="U1312" s="41"/>
      <c r="V1312" s="36"/>
      <c r="W1312" s="36"/>
      <c r="X1312" s="40" t="str">
        <f aca="false">IF($M1312="","",$M1312&amp;"#"&amp;COUNTIF($M$4:$M1312,$M1312))</f>
        <v/>
      </c>
      <c r="Y1312" s="40" t="str">
        <f aca="false">IF($B1312="","",IF($C1312="","NIK kosong",IF(LEN($C1312)&lt;&gt;16,"NIK bukan 16 digit",IF(COUNTIF($C$4:$C$2003,$C1312&amp;"*")&gt;1,"NIK ganda",IF(AND($D1312&lt;&gt;"",LEN($D1312)&lt;&gt;16),"No. KK bukan 16 digit",IF(AND($F1312="",$I1312=""),"Alamat kosong",IF($N1312="","Jabatan kosong",IF($O1312="","No. HP kosong",IF(AND($R1312&lt;&gt;"",$R1312&lt;17),"Usia di bawah 17","")))))))))</f>
        <v/>
      </c>
      <c r="Z1312" s="40" t="str">
        <f aca="false">IF($B1312="","",IF(AND(OR(CARI!$C$5="",ISNUMBER(SEARCH(CARI!$C$5,$B1312&amp;" "&amp;$C1312&amp;" "&amp;$D1312&amp;" "&amp;$O1312&amp;" "&amp;$I1312&amp;" "&amp;$F1312&amp;" "&amp;$J1312&amp;" "&amp;$K1312&amp;" "&amp;$L1312&amp;" "&amp;$V1312))),OR(CARI!$C$6="",$F1312=CARI!$C$6),OR(CARI!$C$7="",$G1312=CARI!$C$7),OR(CARI!$C$8="",$T1312=CARI!$C$8)),MAX($Z$3:Z1311)+1,""))</f>
        <v/>
      </c>
      <c r="AA1312" s="40" t="str">
        <f aca="false">IF($Y1312="","",MAX($AA$3:AA1311)+1)</f>
        <v/>
      </c>
      <c r="AB1312" s="40" t="str">
        <f aca="false">IF($F1312="","",$F1312&amp;"#"&amp;COUNTIF($F$4:$F1312,$F1312))</f>
        <v/>
      </c>
      <c r="AC1312" s="40" t="str">
        <f aca="false">IF($B1312="","",IF(AND(OR(CETAK!$J$10="",$F1312=CETAK!$J$10),OR(CETAK!$J$11="",$G1312=CETAK!$J$11),OR(CETAK!$J$12="",$P1312=CETAK!$J$12),OR(CETAK!$J$13="",$N1312=CETAK!$J$13),OR(CETAK!$J$14="",$T1312=CETAK!$J$14)),MAX($AC$3:AC1311)+1,""))</f>
        <v/>
      </c>
      <c r="AD1312" s="40" t="str">
        <f aca="false">IF($B1312="","",IF(AND(OR(ABSENSI!$H$10="",$F1312=ABSENSI!$H$10),OR(ABSENSI!$H$11="",$G1312=ABSENSI!$H$11),OR(ABSENSI!$H$12="",$P1312=ABSENSI!$H$12)),MAX($AD$3:AD1311)+1,""))</f>
        <v/>
      </c>
      <c r="AE1312" s="40" t="str">
        <f aca="false">IF($B1312="","",IF(AND(OR(KARTU!$K$6="",$F1312=KARTU!$K$6),OR(KARTU!$K$7="",$G1312=KARTU!$K$7),OR(KARTU!$K$8="",$P1312=KARTU!$K$8)),MAX($AE$3:AE1311)+1,""))</f>
        <v/>
      </c>
    </row>
    <row r="1313" customFormat="false" ht="15" hidden="false" customHeight="false" outlineLevel="0" collapsed="false">
      <c r="A1313" s="35" t="str">
        <f aca="false">IF($B1313="","",COUNTA($B$4:$B1313))</f>
        <v/>
      </c>
      <c r="B1313" s="36"/>
      <c r="C1313" s="37"/>
      <c r="D1313" s="37"/>
      <c r="E1313" s="38"/>
      <c r="F1313" s="36"/>
      <c r="G1313" s="39"/>
      <c r="H1313" s="39"/>
      <c r="I1313" s="36"/>
      <c r="J1313" s="36"/>
      <c r="K1313" s="36"/>
      <c r="L1313" s="36"/>
      <c r="M1313" s="40" t="str">
        <f aca="false">IF($F1313="","",$F1313&amp;IF($G1313="",""," - RT "&amp;$G1313&amp;IF($H1313="","","/"&amp;$H1313)))</f>
        <v/>
      </c>
      <c r="N1313" s="36"/>
      <c r="O1313" s="37"/>
      <c r="P1313" s="39"/>
      <c r="Q1313" s="41"/>
      <c r="R1313" s="35" t="str">
        <f aca="true">IF(OR($B1313="",$Q1313=""),"",DATEDIF($Q1313,TODAY(),"Y"))</f>
        <v/>
      </c>
      <c r="S1313" s="40" t="str">
        <f aca="false">IF($R1313="","",INDEX(usia_label,MATCH($R1313,usia_min,1)))</f>
        <v/>
      </c>
      <c r="T1313" s="36"/>
      <c r="U1313" s="41"/>
      <c r="V1313" s="36"/>
      <c r="W1313" s="36"/>
      <c r="X1313" s="40" t="str">
        <f aca="false">IF($M1313="","",$M1313&amp;"#"&amp;COUNTIF($M$4:$M1313,$M1313))</f>
        <v/>
      </c>
      <c r="Y1313" s="40" t="str">
        <f aca="false">IF($B1313="","",IF($C1313="","NIK kosong",IF(LEN($C1313)&lt;&gt;16,"NIK bukan 16 digit",IF(COUNTIF($C$4:$C$2003,$C1313&amp;"*")&gt;1,"NIK ganda",IF(AND($D1313&lt;&gt;"",LEN($D1313)&lt;&gt;16),"No. KK bukan 16 digit",IF(AND($F1313="",$I1313=""),"Alamat kosong",IF($N1313="","Jabatan kosong",IF($O1313="","No. HP kosong",IF(AND($R1313&lt;&gt;"",$R1313&lt;17),"Usia di bawah 17","")))))))))</f>
        <v/>
      </c>
      <c r="Z1313" s="40" t="str">
        <f aca="false">IF($B1313="","",IF(AND(OR(CARI!$C$5="",ISNUMBER(SEARCH(CARI!$C$5,$B1313&amp;" "&amp;$C1313&amp;" "&amp;$D1313&amp;" "&amp;$O1313&amp;" "&amp;$I1313&amp;" "&amp;$F1313&amp;" "&amp;$J1313&amp;" "&amp;$K1313&amp;" "&amp;$L1313&amp;" "&amp;$V1313))),OR(CARI!$C$6="",$F1313=CARI!$C$6),OR(CARI!$C$7="",$G1313=CARI!$C$7),OR(CARI!$C$8="",$T1313=CARI!$C$8)),MAX($Z$3:Z1312)+1,""))</f>
        <v/>
      </c>
      <c r="AA1313" s="40" t="str">
        <f aca="false">IF($Y1313="","",MAX($AA$3:AA1312)+1)</f>
        <v/>
      </c>
      <c r="AB1313" s="40" t="str">
        <f aca="false">IF($F1313="","",$F1313&amp;"#"&amp;COUNTIF($F$4:$F1313,$F1313))</f>
        <v/>
      </c>
      <c r="AC1313" s="40" t="str">
        <f aca="false">IF($B1313="","",IF(AND(OR(CETAK!$J$10="",$F1313=CETAK!$J$10),OR(CETAK!$J$11="",$G1313=CETAK!$J$11),OR(CETAK!$J$12="",$P1313=CETAK!$J$12),OR(CETAK!$J$13="",$N1313=CETAK!$J$13),OR(CETAK!$J$14="",$T1313=CETAK!$J$14)),MAX($AC$3:AC1312)+1,""))</f>
        <v/>
      </c>
      <c r="AD1313" s="40" t="str">
        <f aca="false">IF($B1313="","",IF(AND(OR(ABSENSI!$H$10="",$F1313=ABSENSI!$H$10),OR(ABSENSI!$H$11="",$G1313=ABSENSI!$H$11),OR(ABSENSI!$H$12="",$P1313=ABSENSI!$H$12)),MAX($AD$3:AD1312)+1,""))</f>
        <v/>
      </c>
      <c r="AE1313" s="40" t="str">
        <f aca="false">IF($B1313="","",IF(AND(OR(KARTU!$K$6="",$F1313=KARTU!$K$6),OR(KARTU!$K$7="",$G1313=KARTU!$K$7),OR(KARTU!$K$8="",$P1313=KARTU!$K$8)),MAX($AE$3:AE1312)+1,""))</f>
        <v/>
      </c>
    </row>
    <row r="1314" customFormat="false" ht="15" hidden="false" customHeight="false" outlineLevel="0" collapsed="false">
      <c r="A1314" s="35" t="str">
        <f aca="false">IF($B1314="","",COUNTA($B$4:$B1314))</f>
        <v/>
      </c>
      <c r="B1314" s="36"/>
      <c r="C1314" s="37"/>
      <c r="D1314" s="37"/>
      <c r="E1314" s="38"/>
      <c r="F1314" s="36"/>
      <c r="G1314" s="39"/>
      <c r="H1314" s="39"/>
      <c r="I1314" s="36"/>
      <c r="J1314" s="36"/>
      <c r="K1314" s="36"/>
      <c r="L1314" s="36"/>
      <c r="M1314" s="40" t="str">
        <f aca="false">IF($F1314="","",$F1314&amp;IF($G1314="",""," - RT "&amp;$G1314&amp;IF($H1314="","","/"&amp;$H1314)))</f>
        <v/>
      </c>
      <c r="N1314" s="36"/>
      <c r="O1314" s="37"/>
      <c r="P1314" s="39"/>
      <c r="Q1314" s="41"/>
      <c r="R1314" s="35" t="str">
        <f aca="true">IF(OR($B1314="",$Q1314=""),"",DATEDIF($Q1314,TODAY(),"Y"))</f>
        <v/>
      </c>
      <c r="S1314" s="40" t="str">
        <f aca="false">IF($R1314="","",INDEX(usia_label,MATCH($R1314,usia_min,1)))</f>
        <v/>
      </c>
      <c r="T1314" s="36"/>
      <c r="U1314" s="41"/>
      <c r="V1314" s="36"/>
      <c r="W1314" s="36"/>
      <c r="X1314" s="40" t="str">
        <f aca="false">IF($M1314="","",$M1314&amp;"#"&amp;COUNTIF($M$4:$M1314,$M1314))</f>
        <v/>
      </c>
      <c r="Y1314" s="40" t="str">
        <f aca="false">IF($B1314="","",IF($C1314="","NIK kosong",IF(LEN($C1314)&lt;&gt;16,"NIK bukan 16 digit",IF(COUNTIF($C$4:$C$2003,$C1314&amp;"*")&gt;1,"NIK ganda",IF(AND($D1314&lt;&gt;"",LEN($D1314)&lt;&gt;16),"No. KK bukan 16 digit",IF(AND($F1314="",$I1314=""),"Alamat kosong",IF($N1314="","Jabatan kosong",IF($O1314="","No. HP kosong",IF(AND($R1314&lt;&gt;"",$R1314&lt;17),"Usia di bawah 17","")))))))))</f>
        <v/>
      </c>
      <c r="Z1314" s="40" t="str">
        <f aca="false">IF($B1314="","",IF(AND(OR(CARI!$C$5="",ISNUMBER(SEARCH(CARI!$C$5,$B1314&amp;" "&amp;$C1314&amp;" "&amp;$D1314&amp;" "&amp;$O1314&amp;" "&amp;$I1314&amp;" "&amp;$F1314&amp;" "&amp;$J1314&amp;" "&amp;$K1314&amp;" "&amp;$L1314&amp;" "&amp;$V1314))),OR(CARI!$C$6="",$F1314=CARI!$C$6),OR(CARI!$C$7="",$G1314=CARI!$C$7),OR(CARI!$C$8="",$T1314=CARI!$C$8)),MAX($Z$3:Z1313)+1,""))</f>
        <v/>
      </c>
      <c r="AA1314" s="40" t="str">
        <f aca="false">IF($Y1314="","",MAX($AA$3:AA1313)+1)</f>
        <v/>
      </c>
      <c r="AB1314" s="40" t="str">
        <f aca="false">IF($F1314="","",$F1314&amp;"#"&amp;COUNTIF($F$4:$F1314,$F1314))</f>
        <v/>
      </c>
      <c r="AC1314" s="40" t="str">
        <f aca="false">IF($B1314="","",IF(AND(OR(CETAK!$J$10="",$F1314=CETAK!$J$10),OR(CETAK!$J$11="",$G1314=CETAK!$J$11),OR(CETAK!$J$12="",$P1314=CETAK!$J$12),OR(CETAK!$J$13="",$N1314=CETAK!$J$13),OR(CETAK!$J$14="",$T1314=CETAK!$J$14)),MAX($AC$3:AC1313)+1,""))</f>
        <v/>
      </c>
      <c r="AD1314" s="40" t="str">
        <f aca="false">IF($B1314="","",IF(AND(OR(ABSENSI!$H$10="",$F1314=ABSENSI!$H$10),OR(ABSENSI!$H$11="",$G1314=ABSENSI!$H$11),OR(ABSENSI!$H$12="",$P1314=ABSENSI!$H$12)),MAX($AD$3:AD1313)+1,""))</f>
        <v/>
      </c>
      <c r="AE1314" s="40" t="str">
        <f aca="false">IF($B1314="","",IF(AND(OR(KARTU!$K$6="",$F1314=KARTU!$K$6),OR(KARTU!$K$7="",$G1314=KARTU!$K$7),OR(KARTU!$K$8="",$P1314=KARTU!$K$8)),MAX($AE$3:AE1313)+1,""))</f>
        <v/>
      </c>
    </row>
    <row r="1315" customFormat="false" ht="15" hidden="false" customHeight="false" outlineLevel="0" collapsed="false">
      <c r="A1315" s="35" t="str">
        <f aca="false">IF($B1315="","",COUNTA($B$4:$B1315))</f>
        <v/>
      </c>
      <c r="B1315" s="36"/>
      <c r="C1315" s="37"/>
      <c r="D1315" s="37"/>
      <c r="E1315" s="38"/>
      <c r="F1315" s="36"/>
      <c r="G1315" s="39"/>
      <c r="H1315" s="39"/>
      <c r="I1315" s="36"/>
      <c r="J1315" s="36"/>
      <c r="K1315" s="36"/>
      <c r="L1315" s="36"/>
      <c r="M1315" s="40" t="str">
        <f aca="false">IF($F1315="","",$F1315&amp;IF($G1315="",""," - RT "&amp;$G1315&amp;IF($H1315="","","/"&amp;$H1315)))</f>
        <v/>
      </c>
      <c r="N1315" s="36"/>
      <c r="O1315" s="37"/>
      <c r="P1315" s="39"/>
      <c r="Q1315" s="41"/>
      <c r="R1315" s="35" t="str">
        <f aca="true">IF(OR($B1315="",$Q1315=""),"",DATEDIF($Q1315,TODAY(),"Y"))</f>
        <v/>
      </c>
      <c r="S1315" s="40" t="str">
        <f aca="false">IF($R1315="","",INDEX(usia_label,MATCH($R1315,usia_min,1)))</f>
        <v/>
      </c>
      <c r="T1315" s="36"/>
      <c r="U1315" s="41"/>
      <c r="V1315" s="36"/>
      <c r="W1315" s="36"/>
      <c r="X1315" s="40" t="str">
        <f aca="false">IF($M1315="","",$M1315&amp;"#"&amp;COUNTIF($M$4:$M1315,$M1315))</f>
        <v/>
      </c>
      <c r="Y1315" s="40" t="str">
        <f aca="false">IF($B1315="","",IF($C1315="","NIK kosong",IF(LEN($C1315)&lt;&gt;16,"NIK bukan 16 digit",IF(COUNTIF($C$4:$C$2003,$C1315&amp;"*")&gt;1,"NIK ganda",IF(AND($D1315&lt;&gt;"",LEN($D1315)&lt;&gt;16),"No. KK bukan 16 digit",IF(AND($F1315="",$I1315=""),"Alamat kosong",IF($N1315="","Jabatan kosong",IF($O1315="","No. HP kosong",IF(AND($R1315&lt;&gt;"",$R1315&lt;17),"Usia di bawah 17","")))))))))</f>
        <v/>
      </c>
      <c r="Z1315" s="40" t="str">
        <f aca="false">IF($B1315="","",IF(AND(OR(CARI!$C$5="",ISNUMBER(SEARCH(CARI!$C$5,$B1315&amp;" "&amp;$C1315&amp;" "&amp;$D1315&amp;" "&amp;$O1315&amp;" "&amp;$I1315&amp;" "&amp;$F1315&amp;" "&amp;$J1315&amp;" "&amp;$K1315&amp;" "&amp;$L1315&amp;" "&amp;$V1315))),OR(CARI!$C$6="",$F1315=CARI!$C$6),OR(CARI!$C$7="",$G1315=CARI!$C$7),OR(CARI!$C$8="",$T1315=CARI!$C$8)),MAX($Z$3:Z1314)+1,""))</f>
        <v/>
      </c>
      <c r="AA1315" s="40" t="str">
        <f aca="false">IF($Y1315="","",MAX($AA$3:AA1314)+1)</f>
        <v/>
      </c>
      <c r="AB1315" s="40" t="str">
        <f aca="false">IF($F1315="","",$F1315&amp;"#"&amp;COUNTIF($F$4:$F1315,$F1315))</f>
        <v/>
      </c>
      <c r="AC1315" s="40" t="str">
        <f aca="false">IF($B1315="","",IF(AND(OR(CETAK!$J$10="",$F1315=CETAK!$J$10),OR(CETAK!$J$11="",$G1315=CETAK!$J$11),OR(CETAK!$J$12="",$P1315=CETAK!$J$12),OR(CETAK!$J$13="",$N1315=CETAK!$J$13),OR(CETAK!$J$14="",$T1315=CETAK!$J$14)),MAX($AC$3:AC1314)+1,""))</f>
        <v/>
      </c>
      <c r="AD1315" s="40" t="str">
        <f aca="false">IF($B1315="","",IF(AND(OR(ABSENSI!$H$10="",$F1315=ABSENSI!$H$10),OR(ABSENSI!$H$11="",$G1315=ABSENSI!$H$11),OR(ABSENSI!$H$12="",$P1315=ABSENSI!$H$12)),MAX($AD$3:AD1314)+1,""))</f>
        <v/>
      </c>
      <c r="AE1315" s="40" t="str">
        <f aca="false">IF($B1315="","",IF(AND(OR(KARTU!$K$6="",$F1315=KARTU!$K$6),OR(KARTU!$K$7="",$G1315=KARTU!$K$7),OR(KARTU!$K$8="",$P1315=KARTU!$K$8)),MAX($AE$3:AE1314)+1,""))</f>
        <v/>
      </c>
    </row>
    <row r="1316" customFormat="false" ht="15" hidden="false" customHeight="false" outlineLevel="0" collapsed="false">
      <c r="A1316" s="35" t="str">
        <f aca="false">IF($B1316="","",COUNTA($B$4:$B1316))</f>
        <v/>
      </c>
      <c r="B1316" s="36"/>
      <c r="C1316" s="37"/>
      <c r="D1316" s="37"/>
      <c r="E1316" s="38"/>
      <c r="F1316" s="36"/>
      <c r="G1316" s="39"/>
      <c r="H1316" s="39"/>
      <c r="I1316" s="36"/>
      <c r="J1316" s="36"/>
      <c r="K1316" s="36"/>
      <c r="L1316" s="36"/>
      <c r="M1316" s="40" t="str">
        <f aca="false">IF($F1316="","",$F1316&amp;IF($G1316="",""," - RT "&amp;$G1316&amp;IF($H1316="","","/"&amp;$H1316)))</f>
        <v/>
      </c>
      <c r="N1316" s="36"/>
      <c r="O1316" s="37"/>
      <c r="P1316" s="39"/>
      <c r="Q1316" s="41"/>
      <c r="R1316" s="35" t="str">
        <f aca="true">IF(OR($B1316="",$Q1316=""),"",DATEDIF($Q1316,TODAY(),"Y"))</f>
        <v/>
      </c>
      <c r="S1316" s="40" t="str">
        <f aca="false">IF($R1316="","",INDEX(usia_label,MATCH($R1316,usia_min,1)))</f>
        <v/>
      </c>
      <c r="T1316" s="36"/>
      <c r="U1316" s="41"/>
      <c r="V1316" s="36"/>
      <c r="W1316" s="36"/>
      <c r="X1316" s="40" t="str">
        <f aca="false">IF($M1316="","",$M1316&amp;"#"&amp;COUNTIF($M$4:$M1316,$M1316))</f>
        <v/>
      </c>
      <c r="Y1316" s="40" t="str">
        <f aca="false">IF($B1316="","",IF($C1316="","NIK kosong",IF(LEN($C1316)&lt;&gt;16,"NIK bukan 16 digit",IF(COUNTIF($C$4:$C$2003,$C1316&amp;"*")&gt;1,"NIK ganda",IF(AND($D1316&lt;&gt;"",LEN($D1316)&lt;&gt;16),"No. KK bukan 16 digit",IF(AND($F1316="",$I1316=""),"Alamat kosong",IF($N1316="","Jabatan kosong",IF($O1316="","No. HP kosong",IF(AND($R1316&lt;&gt;"",$R1316&lt;17),"Usia di bawah 17","")))))))))</f>
        <v/>
      </c>
      <c r="Z1316" s="40" t="str">
        <f aca="false">IF($B1316="","",IF(AND(OR(CARI!$C$5="",ISNUMBER(SEARCH(CARI!$C$5,$B1316&amp;" "&amp;$C1316&amp;" "&amp;$D1316&amp;" "&amp;$O1316&amp;" "&amp;$I1316&amp;" "&amp;$F1316&amp;" "&amp;$J1316&amp;" "&amp;$K1316&amp;" "&amp;$L1316&amp;" "&amp;$V1316))),OR(CARI!$C$6="",$F1316=CARI!$C$6),OR(CARI!$C$7="",$G1316=CARI!$C$7),OR(CARI!$C$8="",$T1316=CARI!$C$8)),MAX($Z$3:Z1315)+1,""))</f>
        <v/>
      </c>
      <c r="AA1316" s="40" t="str">
        <f aca="false">IF($Y1316="","",MAX($AA$3:AA1315)+1)</f>
        <v/>
      </c>
      <c r="AB1316" s="40" t="str">
        <f aca="false">IF($F1316="","",$F1316&amp;"#"&amp;COUNTIF($F$4:$F1316,$F1316))</f>
        <v/>
      </c>
      <c r="AC1316" s="40" t="str">
        <f aca="false">IF($B1316="","",IF(AND(OR(CETAK!$J$10="",$F1316=CETAK!$J$10),OR(CETAK!$J$11="",$G1316=CETAK!$J$11),OR(CETAK!$J$12="",$P1316=CETAK!$J$12),OR(CETAK!$J$13="",$N1316=CETAK!$J$13),OR(CETAK!$J$14="",$T1316=CETAK!$J$14)),MAX($AC$3:AC1315)+1,""))</f>
        <v/>
      </c>
      <c r="AD1316" s="40" t="str">
        <f aca="false">IF($B1316="","",IF(AND(OR(ABSENSI!$H$10="",$F1316=ABSENSI!$H$10),OR(ABSENSI!$H$11="",$G1316=ABSENSI!$H$11),OR(ABSENSI!$H$12="",$P1316=ABSENSI!$H$12)),MAX($AD$3:AD1315)+1,""))</f>
        <v/>
      </c>
      <c r="AE1316" s="40" t="str">
        <f aca="false">IF($B1316="","",IF(AND(OR(KARTU!$K$6="",$F1316=KARTU!$K$6),OR(KARTU!$K$7="",$G1316=KARTU!$K$7),OR(KARTU!$K$8="",$P1316=KARTU!$K$8)),MAX($AE$3:AE1315)+1,""))</f>
        <v/>
      </c>
    </row>
    <row r="1317" customFormat="false" ht="15" hidden="false" customHeight="false" outlineLevel="0" collapsed="false">
      <c r="A1317" s="35" t="str">
        <f aca="false">IF($B1317="","",COUNTA($B$4:$B1317))</f>
        <v/>
      </c>
      <c r="B1317" s="36"/>
      <c r="C1317" s="37"/>
      <c r="D1317" s="37"/>
      <c r="E1317" s="38"/>
      <c r="F1317" s="36"/>
      <c r="G1317" s="39"/>
      <c r="H1317" s="39"/>
      <c r="I1317" s="36"/>
      <c r="J1317" s="36"/>
      <c r="K1317" s="36"/>
      <c r="L1317" s="36"/>
      <c r="M1317" s="40" t="str">
        <f aca="false">IF($F1317="","",$F1317&amp;IF($G1317="",""," - RT "&amp;$G1317&amp;IF($H1317="","","/"&amp;$H1317)))</f>
        <v/>
      </c>
      <c r="N1317" s="36"/>
      <c r="O1317" s="37"/>
      <c r="P1317" s="39"/>
      <c r="Q1317" s="41"/>
      <c r="R1317" s="35" t="str">
        <f aca="true">IF(OR($B1317="",$Q1317=""),"",DATEDIF($Q1317,TODAY(),"Y"))</f>
        <v/>
      </c>
      <c r="S1317" s="40" t="str">
        <f aca="false">IF($R1317="","",INDEX(usia_label,MATCH($R1317,usia_min,1)))</f>
        <v/>
      </c>
      <c r="T1317" s="36"/>
      <c r="U1317" s="41"/>
      <c r="V1317" s="36"/>
      <c r="W1317" s="36"/>
      <c r="X1317" s="40" t="str">
        <f aca="false">IF($M1317="","",$M1317&amp;"#"&amp;COUNTIF($M$4:$M1317,$M1317))</f>
        <v/>
      </c>
      <c r="Y1317" s="40" t="str">
        <f aca="false">IF($B1317="","",IF($C1317="","NIK kosong",IF(LEN($C1317)&lt;&gt;16,"NIK bukan 16 digit",IF(COUNTIF($C$4:$C$2003,$C1317&amp;"*")&gt;1,"NIK ganda",IF(AND($D1317&lt;&gt;"",LEN($D1317)&lt;&gt;16),"No. KK bukan 16 digit",IF(AND($F1317="",$I1317=""),"Alamat kosong",IF($N1317="","Jabatan kosong",IF($O1317="","No. HP kosong",IF(AND($R1317&lt;&gt;"",$R1317&lt;17),"Usia di bawah 17","")))))))))</f>
        <v/>
      </c>
      <c r="Z1317" s="40" t="str">
        <f aca="false">IF($B1317="","",IF(AND(OR(CARI!$C$5="",ISNUMBER(SEARCH(CARI!$C$5,$B1317&amp;" "&amp;$C1317&amp;" "&amp;$D1317&amp;" "&amp;$O1317&amp;" "&amp;$I1317&amp;" "&amp;$F1317&amp;" "&amp;$J1317&amp;" "&amp;$K1317&amp;" "&amp;$L1317&amp;" "&amp;$V1317))),OR(CARI!$C$6="",$F1317=CARI!$C$6),OR(CARI!$C$7="",$G1317=CARI!$C$7),OR(CARI!$C$8="",$T1317=CARI!$C$8)),MAX($Z$3:Z1316)+1,""))</f>
        <v/>
      </c>
      <c r="AA1317" s="40" t="str">
        <f aca="false">IF($Y1317="","",MAX($AA$3:AA1316)+1)</f>
        <v/>
      </c>
      <c r="AB1317" s="40" t="str">
        <f aca="false">IF($F1317="","",$F1317&amp;"#"&amp;COUNTIF($F$4:$F1317,$F1317))</f>
        <v/>
      </c>
      <c r="AC1317" s="40" t="str">
        <f aca="false">IF($B1317="","",IF(AND(OR(CETAK!$J$10="",$F1317=CETAK!$J$10),OR(CETAK!$J$11="",$G1317=CETAK!$J$11),OR(CETAK!$J$12="",$P1317=CETAK!$J$12),OR(CETAK!$J$13="",$N1317=CETAK!$J$13),OR(CETAK!$J$14="",$T1317=CETAK!$J$14)),MAX($AC$3:AC1316)+1,""))</f>
        <v/>
      </c>
      <c r="AD1317" s="40" t="str">
        <f aca="false">IF($B1317="","",IF(AND(OR(ABSENSI!$H$10="",$F1317=ABSENSI!$H$10),OR(ABSENSI!$H$11="",$G1317=ABSENSI!$H$11),OR(ABSENSI!$H$12="",$P1317=ABSENSI!$H$12)),MAX($AD$3:AD1316)+1,""))</f>
        <v/>
      </c>
      <c r="AE1317" s="40" t="str">
        <f aca="false">IF($B1317="","",IF(AND(OR(KARTU!$K$6="",$F1317=KARTU!$K$6),OR(KARTU!$K$7="",$G1317=KARTU!$K$7),OR(KARTU!$K$8="",$P1317=KARTU!$K$8)),MAX($AE$3:AE1316)+1,""))</f>
        <v/>
      </c>
    </row>
    <row r="1318" customFormat="false" ht="15" hidden="false" customHeight="false" outlineLevel="0" collapsed="false">
      <c r="A1318" s="35" t="str">
        <f aca="false">IF($B1318="","",COUNTA($B$4:$B1318))</f>
        <v/>
      </c>
      <c r="B1318" s="36"/>
      <c r="C1318" s="37"/>
      <c r="D1318" s="37"/>
      <c r="E1318" s="38"/>
      <c r="F1318" s="36"/>
      <c r="G1318" s="39"/>
      <c r="H1318" s="39"/>
      <c r="I1318" s="36"/>
      <c r="J1318" s="36"/>
      <c r="K1318" s="36"/>
      <c r="L1318" s="36"/>
      <c r="M1318" s="40" t="str">
        <f aca="false">IF($F1318="","",$F1318&amp;IF($G1318="",""," - RT "&amp;$G1318&amp;IF($H1318="","","/"&amp;$H1318)))</f>
        <v/>
      </c>
      <c r="N1318" s="36"/>
      <c r="O1318" s="37"/>
      <c r="P1318" s="39"/>
      <c r="Q1318" s="41"/>
      <c r="R1318" s="35" t="str">
        <f aca="true">IF(OR($B1318="",$Q1318=""),"",DATEDIF($Q1318,TODAY(),"Y"))</f>
        <v/>
      </c>
      <c r="S1318" s="40" t="str">
        <f aca="false">IF($R1318="","",INDEX(usia_label,MATCH($R1318,usia_min,1)))</f>
        <v/>
      </c>
      <c r="T1318" s="36"/>
      <c r="U1318" s="41"/>
      <c r="V1318" s="36"/>
      <c r="W1318" s="36"/>
      <c r="X1318" s="40" t="str">
        <f aca="false">IF($M1318="","",$M1318&amp;"#"&amp;COUNTIF($M$4:$M1318,$M1318))</f>
        <v/>
      </c>
      <c r="Y1318" s="40" t="str">
        <f aca="false">IF($B1318="","",IF($C1318="","NIK kosong",IF(LEN($C1318)&lt;&gt;16,"NIK bukan 16 digit",IF(COUNTIF($C$4:$C$2003,$C1318&amp;"*")&gt;1,"NIK ganda",IF(AND($D1318&lt;&gt;"",LEN($D1318)&lt;&gt;16),"No. KK bukan 16 digit",IF(AND($F1318="",$I1318=""),"Alamat kosong",IF($N1318="","Jabatan kosong",IF($O1318="","No. HP kosong",IF(AND($R1318&lt;&gt;"",$R1318&lt;17),"Usia di bawah 17","")))))))))</f>
        <v/>
      </c>
      <c r="Z1318" s="40" t="str">
        <f aca="false">IF($B1318="","",IF(AND(OR(CARI!$C$5="",ISNUMBER(SEARCH(CARI!$C$5,$B1318&amp;" "&amp;$C1318&amp;" "&amp;$D1318&amp;" "&amp;$O1318&amp;" "&amp;$I1318&amp;" "&amp;$F1318&amp;" "&amp;$J1318&amp;" "&amp;$K1318&amp;" "&amp;$L1318&amp;" "&amp;$V1318))),OR(CARI!$C$6="",$F1318=CARI!$C$6),OR(CARI!$C$7="",$G1318=CARI!$C$7),OR(CARI!$C$8="",$T1318=CARI!$C$8)),MAX($Z$3:Z1317)+1,""))</f>
        <v/>
      </c>
      <c r="AA1318" s="40" t="str">
        <f aca="false">IF($Y1318="","",MAX($AA$3:AA1317)+1)</f>
        <v/>
      </c>
      <c r="AB1318" s="40" t="str">
        <f aca="false">IF($F1318="","",$F1318&amp;"#"&amp;COUNTIF($F$4:$F1318,$F1318))</f>
        <v/>
      </c>
      <c r="AC1318" s="40" t="str">
        <f aca="false">IF($B1318="","",IF(AND(OR(CETAK!$J$10="",$F1318=CETAK!$J$10),OR(CETAK!$J$11="",$G1318=CETAK!$J$11),OR(CETAK!$J$12="",$P1318=CETAK!$J$12),OR(CETAK!$J$13="",$N1318=CETAK!$J$13),OR(CETAK!$J$14="",$T1318=CETAK!$J$14)),MAX($AC$3:AC1317)+1,""))</f>
        <v/>
      </c>
      <c r="AD1318" s="40" t="str">
        <f aca="false">IF($B1318="","",IF(AND(OR(ABSENSI!$H$10="",$F1318=ABSENSI!$H$10),OR(ABSENSI!$H$11="",$G1318=ABSENSI!$H$11),OR(ABSENSI!$H$12="",$P1318=ABSENSI!$H$12)),MAX($AD$3:AD1317)+1,""))</f>
        <v/>
      </c>
      <c r="AE1318" s="40" t="str">
        <f aca="false">IF($B1318="","",IF(AND(OR(KARTU!$K$6="",$F1318=KARTU!$K$6),OR(KARTU!$K$7="",$G1318=KARTU!$K$7),OR(KARTU!$K$8="",$P1318=KARTU!$K$8)),MAX($AE$3:AE1317)+1,""))</f>
        <v/>
      </c>
    </row>
    <row r="1319" customFormat="false" ht="15" hidden="false" customHeight="false" outlineLevel="0" collapsed="false">
      <c r="A1319" s="35" t="str">
        <f aca="false">IF($B1319="","",COUNTA($B$4:$B1319))</f>
        <v/>
      </c>
      <c r="B1319" s="36"/>
      <c r="C1319" s="37"/>
      <c r="D1319" s="37"/>
      <c r="E1319" s="38"/>
      <c r="F1319" s="36"/>
      <c r="G1319" s="39"/>
      <c r="H1319" s="39"/>
      <c r="I1319" s="36"/>
      <c r="J1319" s="36"/>
      <c r="K1319" s="36"/>
      <c r="L1319" s="36"/>
      <c r="M1319" s="40" t="str">
        <f aca="false">IF($F1319="","",$F1319&amp;IF($G1319="",""," - RT "&amp;$G1319&amp;IF($H1319="","","/"&amp;$H1319)))</f>
        <v/>
      </c>
      <c r="N1319" s="36"/>
      <c r="O1319" s="37"/>
      <c r="P1319" s="39"/>
      <c r="Q1319" s="41"/>
      <c r="R1319" s="35" t="str">
        <f aca="true">IF(OR($B1319="",$Q1319=""),"",DATEDIF($Q1319,TODAY(),"Y"))</f>
        <v/>
      </c>
      <c r="S1319" s="40" t="str">
        <f aca="false">IF($R1319="","",INDEX(usia_label,MATCH($R1319,usia_min,1)))</f>
        <v/>
      </c>
      <c r="T1319" s="36"/>
      <c r="U1319" s="41"/>
      <c r="V1319" s="36"/>
      <c r="W1319" s="36"/>
      <c r="X1319" s="40" t="str">
        <f aca="false">IF($M1319="","",$M1319&amp;"#"&amp;COUNTIF($M$4:$M1319,$M1319))</f>
        <v/>
      </c>
      <c r="Y1319" s="40" t="str">
        <f aca="false">IF($B1319="","",IF($C1319="","NIK kosong",IF(LEN($C1319)&lt;&gt;16,"NIK bukan 16 digit",IF(COUNTIF($C$4:$C$2003,$C1319&amp;"*")&gt;1,"NIK ganda",IF(AND($D1319&lt;&gt;"",LEN($D1319)&lt;&gt;16),"No. KK bukan 16 digit",IF(AND($F1319="",$I1319=""),"Alamat kosong",IF($N1319="","Jabatan kosong",IF($O1319="","No. HP kosong",IF(AND($R1319&lt;&gt;"",$R1319&lt;17),"Usia di bawah 17","")))))))))</f>
        <v/>
      </c>
      <c r="Z1319" s="40" t="str">
        <f aca="false">IF($B1319="","",IF(AND(OR(CARI!$C$5="",ISNUMBER(SEARCH(CARI!$C$5,$B1319&amp;" "&amp;$C1319&amp;" "&amp;$D1319&amp;" "&amp;$O1319&amp;" "&amp;$I1319&amp;" "&amp;$F1319&amp;" "&amp;$J1319&amp;" "&amp;$K1319&amp;" "&amp;$L1319&amp;" "&amp;$V1319))),OR(CARI!$C$6="",$F1319=CARI!$C$6),OR(CARI!$C$7="",$G1319=CARI!$C$7),OR(CARI!$C$8="",$T1319=CARI!$C$8)),MAX($Z$3:Z1318)+1,""))</f>
        <v/>
      </c>
      <c r="AA1319" s="40" t="str">
        <f aca="false">IF($Y1319="","",MAX($AA$3:AA1318)+1)</f>
        <v/>
      </c>
      <c r="AB1319" s="40" t="str">
        <f aca="false">IF($F1319="","",$F1319&amp;"#"&amp;COUNTIF($F$4:$F1319,$F1319))</f>
        <v/>
      </c>
      <c r="AC1319" s="40" t="str">
        <f aca="false">IF($B1319="","",IF(AND(OR(CETAK!$J$10="",$F1319=CETAK!$J$10),OR(CETAK!$J$11="",$G1319=CETAK!$J$11),OR(CETAK!$J$12="",$P1319=CETAK!$J$12),OR(CETAK!$J$13="",$N1319=CETAK!$J$13),OR(CETAK!$J$14="",$T1319=CETAK!$J$14)),MAX($AC$3:AC1318)+1,""))</f>
        <v/>
      </c>
      <c r="AD1319" s="40" t="str">
        <f aca="false">IF($B1319="","",IF(AND(OR(ABSENSI!$H$10="",$F1319=ABSENSI!$H$10),OR(ABSENSI!$H$11="",$G1319=ABSENSI!$H$11),OR(ABSENSI!$H$12="",$P1319=ABSENSI!$H$12)),MAX($AD$3:AD1318)+1,""))</f>
        <v/>
      </c>
      <c r="AE1319" s="40" t="str">
        <f aca="false">IF($B1319="","",IF(AND(OR(KARTU!$K$6="",$F1319=KARTU!$K$6),OR(KARTU!$K$7="",$G1319=KARTU!$K$7),OR(KARTU!$K$8="",$P1319=KARTU!$K$8)),MAX($AE$3:AE1318)+1,""))</f>
        <v/>
      </c>
    </row>
    <row r="1320" customFormat="false" ht="15" hidden="false" customHeight="false" outlineLevel="0" collapsed="false">
      <c r="A1320" s="35" t="str">
        <f aca="false">IF($B1320="","",COUNTA($B$4:$B1320))</f>
        <v/>
      </c>
      <c r="B1320" s="36"/>
      <c r="C1320" s="37"/>
      <c r="D1320" s="37"/>
      <c r="E1320" s="38"/>
      <c r="F1320" s="36"/>
      <c r="G1320" s="39"/>
      <c r="H1320" s="39"/>
      <c r="I1320" s="36"/>
      <c r="J1320" s="36"/>
      <c r="K1320" s="36"/>
      <c r="L1320" s="36"/>
      <c r="M1320" s="40" t="str">
        <f aca="false">IF($F1320="","",$F1320&amp;IF($G1320="",""," - RT "&amp;$G1320&amp;IF($H1320="","","/"&amp;$H1320)))</f>
        <v/>
      </c>
      <c r="N1320" s="36"/>
      <c r="O1320" s="37"/>
      <c r="P1320" s="39"/>
      <c r="Q1320" s="41"/>
      <c r="R1320" s="35" t="str">
        <f aca="true">IF(OR($B1320="",$Q1320=""),"",DATEDIF($Q1320,TODAY(),"Y"))</f>
        <v/>
      </c>
      <c r="S1320" s="40" t="str">
        <f aca="false">IF($R1320="","",INDEX(usia_label,MATCH($R1320,usia_min,1)))</f>
        <v/>
      </c>
      <c r="T1320" s="36"/>
      <c r="U1320" s="41"/>
      <c r="V1320" s="36"/>
      <c r="W1320" s="36"/>
      <c r="X1320" s="40" t="str">
        <f aca="false">IF($M1320="","",$M1320&amp;"#"&amp;COUNTIF($M$4:$M1320,$M1320))</f>
        <v/>
      </c>
      <c r="Y1320" s="40" t="str">
        <f aca="false">IF($B1320="","",IF($C1320="","NIK kosong",IF(LEN($C1320)&lt;&gt;16,"NIK bukan 16 digit",IF(COUNTIF($C$4:$C$2003,$C1320&amp;"*")&gt;1,"NIK ganda",IF(AND($D1320&lt;&gt;"",LEN($D1320)&lt;&gt;16),"No. KK bukan 16 digit",IF(AND($F1320="",$I1320=""),"Alamat kosong",IF($N1320="","Jabatan kosong",IF($O1320="","No. HP kosong",IF(AND($R1320&lt;&gt;"",$R1320&lt;17),"Usia di bawah 17","")))))))))</f>
        <v/>
      </c>
      <c r="Z1320" s="40" t="str">
        <f aca="false">IF($B1320="","",IF(AND(OR(CARI!$C$5="",ISNUMBER(SEARCH(CARI!$C$5,$B1320&amp;" "&amp;$C1320&amp;" "&amp;$D1320&amp;" "&amp;$O1320&amp;" "&amp;$I1320&amp;" "&amp;$F1320&amp;" "&amp;$J1320&amp;" "&amp;$K1320&amp;" "&amp;$L1320&amp;" "&amp;$V1320))),OR(CARI!$C$6="",$F1320=CARI!$C$6),OR(CARI!$C$7="",$G1320=CARI!$C$7),OR(CARI!$C$8="",$T1320=CARI!$C$8)),MAX($Z$3:Z1319)+1,""))</f>
        <v/>
      </c>
      <c r="AA1320" s="40" t="str">
        <f aca="false">IF($Y1320="","",MAX($AA$3:AA1319)+1)</f>
        <v/>
      </c>
      <c r="AB1320" s="40" t="str">
        <f aca="false">IF($F1320="","",$F1320&amp;"#"&amp;COUNTIF($F$4:$F1320,$F1320))</f>
        <v/>
      </c>
      <c r="AC1320" s="40" t="str">
        <f aca="false">IF($B1320="","",IF(AND(OR(CETAK!$J$10="",$F1320=CETAK!$J$10),OR(CETAK!$J$11="",$G1320=CETAK!$J$11),OR(CETAK!$J$12="",$P1320=CETAK!$J$12),OR(CETAK!$J$13="",$N1320=CETAK!$J$13),OR(CETAK!$J$14="",$T1320=CETAK!$J$14)),MAX($AC$3:AC1319)+1,""))</f>
        <v/>
      </c>
      <c r="AD1320" s="40" t="str">
        <f aca="false">IF($B1320="","",IF(AND(OR(ABSENSI!$H$10="",$F1320=ABSENSI!$H$10),OR(ABSENSI!$H$11="",$G1320=ABSENSI!$H$11),OR(ABSENSI!$H$12="",$P1320=ABSENSI!$H$12)),MAX($AD$3:AD1319)+1,""))</f>
        <v/>
      </c>
      <c r="AE1320" s="40" t="str">
        <f aca="false">IF($B1320="","",IF(AND(OR(KARTU!$K$6="",$F1320=KARTU!$K$6),OR(KARTU!$K$7="",$G1320=KARTU!$K$7),OR(KARTU!$K$8="",$P1320=KARTU!$K$8)),MAX($AE$3:AE1319)+1,""))</f>
        <v/>
      </c>
    </row>
    <row r="1321" customFormat="false" ht="15" hidden="false" customHeight="false" outlineLevel="0" collapsed="false">
      <c r="A1321" s="35" t="str">
        <f aca="false">IF($B1321="","",COUNTA($B$4:$B1321))</f>
        <v/>
      </c>
      <c r="B1321" s="36"/>
      <c r="C1321" s="37"/>
      <c r="D1321" s="37"/>
      <c r="E1321" s="38"/>
      <c r="F1321" s="36"/>
      <c r="G1321" s="39"/>
      <c r="H1321" s="39"/>
      <c r="I1321" s="36"/>
      <c r="J1321" s="36"/>
      <c r="K1321" s="36"/>
      <c r="L1321" s="36"/>
      <c r="M1321" s="40" t="str">
        <f aca="false">IF($F1321="","",$F1321&amp;IF($G1321="",""," - RT "&amp;$G1321&amp;IF($H1321="","","/"&amp;$H1321)))</f>
        <v/>
      </c>
      <c r="N1321" s="36"/>
      <c r="O1321" s="37"/>
      <c r="P1321" s="39"/>
      <c r="Q1321" s="41"/>
      <c r="R1321" s="35" t="str">
        <f aca="true">IF(OR($B1321="",$Q1321=""),"",DATEDIF($Q1321,TODAY(),"Y"))</f>
        <v/>
      </c>
      <c r="S1321" s="40" t="str">
        <f aca="false">IF($R1321="","",INDEX(usia_label,MATCH($R1321,usia_min,1)))</f>
        <v/>
      </c>
      <c r="T1321" s="36"/>
      <c r="U1321" s="41"/>
      <c r="V1321" s="36"/>
      <c r="W1321" s="36"/>
      <c r="X1321" s="40" t="str">
        <f aca="false">IF($M1321="","",$M1321&amp;"#"&amp;COUNTIF($M$4:$M1321,$M1321))</f>
        <v/>
      </c>
      <c r="Y1321" s="40" t="str">
        <f aca="false">IF($B1321="","",IF($C1321="","NIK kosong",IF(LEN($C1321)&lt;&gt;16,"NIK bukan 16 digit",IF(COUNTIF($C$4:$C$2003,$C1321&amp;"*")&gt;1,"NIK ganda",IF(AND($D1321&lt;&gt;"",LEN($D1321)&lt;&gt;16),"No. KK bukan 16 digit",IF(AND($F1321="",$I1321=""),"Alamat kosong",IF($N1321="","Jabatan kosong",IF($O1321="","No. HP kosong",IF(AND($R1321&lt;&gt;"",$R1321&lt;17),"Usia di bawah 17","")))))))))</f>
        <v/>
      </c>
      <c r="Z1321" s="40" t="str">
        <f aca="false">IF($B1321="","",IF(AND(OR(CARI!$C$5="",ISNUMBER(SEARCH(CARI!$C$5,$B1321&amp;" "&amp;$C1321&amp;" "&amp;$D1321&amp;" "&amp;$O1321&amp;" "&amp;$I1321&amp;" "&amp;$F1321&amp;" "&amp;$J1321&amp;" "&amp;$K1321&amp;" "&amp;$L1321&amp;" "&amp;$V1321))),OR(CARI!$C$6="",$F1321=CARI!$C$6),OR(CARI!$C$7="",$G1321=CARI!$C$7),OR(CARI!$C$8="",$T1321=CARI!$C$8)),MAX($Z$3:Z1320)+1,""))</f>
        <v/>
      </c>
      <c r="AA1321" s="40" t="str">
        <f aca="false">IF($Y1321="","",MAX($AA$3:AA1320)+1)</f>
        <v/>
      </c>
      <c r="AB1321" s="40" t="str">
        <f aca="false">IF($F1321="","",$F1321&amp;"#"&amp;COUNTIF($F$4:$F1321,$F1321))</f>
        <v/>
      </c>
      <c r="AC1321" s="40" t="str">
        <f aca="false">IF($B1321="","",IF(AND(OR(CETAK!$J$10="",$F1321=CETAK!$J$10),OR(CETAK!$J$11="",$G1321=CETAK!$J$11),OR(CETAK!$J$12="",$P1321=CETAK!$J$12),OR(CETAK!$J$13="",$N1321=CETAK!$J$13),OR(CETAK!$J$14="",$T1321=CETAK!$J$14)),MAX($AC$3:AC1320)+1,""))</f>
        <v/>
      </c>
      <c r="AD1321" s="40" t="str">
        <f aca="false">IF($B1321="","",IF(AND(OR(ABSENSI!$H$10="",$F1321=ABSENSI!$H$10),OR(ABSENSI!$H$11="",$G1321=ABSENSI!$H$11),OR(ABSENSI!$H$12="",$P1321=ABSENSI!$H$12)),MAX($AD$3:AD1320)+1,""))</f>
        <v/>
      </c>
      <c r="AE1321" s="40" t="str">
        <f aca="false">IF($B1321="","",IF(AND(OR(KARTU!$K$6="",$F1321=KARTU!$K$6),OR(KARTU!$K$7="",$G1321=KARTU!$K$7),OR(KARTU!$K$8="",$P1321=KARTU!$K$8)),MAX($AE$3:AE1320)+1,""))</f>
        <v/>
      </c>
    </row>
    <row r="1322" customFormat="false" ht="15" hidden="false" customHeight="false" outlineLevel="0" collapsed="false">
      <c r="A1322" s="35" t="str">
        <f aca="false">IF($B1322="","",COUNTA($B$4:$B1322))</f>
        <v/>
      </c>
      <c r="B1322" s="36"/>
      <c r="C1322" s="37"/>
      <c r="D1322" s="37"/>
      <c r="E1322" s="38"/>
      <c r="F1322" s="36"/>
      <c r="G1322" s="39"/>
      <c r="H1322" s="39"/>
      <c r="I1322" s="36"/>
      <c r="J1322" s="36"/>
      <c r="K1322" s="36"/>
      <c r="L1322" s="36"/>
      <c r="M1322" s="40" t="str">
        <f aca="false">IF($F1322="","",$F1322&amp;IF($G1322="",""," - RT "&amp;$G1322&amp;IF($H1322="","","/"&amp;$H1322)))</f>
        <v/>
      </c>
      <c r="N1322" s="36"/>
      <c r="O1322" s="37"/>
      <c r="P1322" s="39"/>
      <c r="Q1322" s="41"/>
      <c r="R1322" s="35" t="str">
        <f aca="true">IF(OR($B1322="",$Q1322=""),"",DATEDIF($Q1322,TODAY(),"Y"))</f>
        <v/>
      </c>
      <c r="S1322" s="40" t="str">
        <f aca="false">IF($R1322="","",INDEX(usia_label,MATCH($R1322,usia_min,1)))</f>
        <v/>
      </c>
      <c r="T1322" s="36"/>
      <c r="U1322" s="41"/>
      <c r="V1322" s="36"/>
      <c r="W1322" s="36"/>
      <c r="X1322" s="40" t="str">
        <f aca="false">IF($M1322="","",$M1322&amp;"#"&amp;COUNTIF($M$4:$M1322,$M1322))</f>
        <v/>
      </c>
      <c r="Y1322" s="40" t="str">
        <f aca="false">IF($B1322="","",IF($C1322="","NIK kosong",IF(LEN($C1322)&lt;&gt;16,"NIK bukan 16 digit",IF(COUNTIF($C$4:$C$2003,$C1322&amp;"*")&gt;1,"NIK ganda",IF(AND($D1322&lt;&gt;"",LEN($D1322)&lt;&gt;16),"No. KK bukan 16 digit",IF(AND($F1322="",$I1322=""),"Alamat kosong",IF($N1322="","Jabatan kosong",IF($O1322="","No. HP kosong",IF(AND($R1322&lt;&gt;"",$R1322&lt;17),"Usia di bawah 17","")))))))))</f>
        <v/>
      </c>
      <c r="Z1322" s="40" t="str">
        <f aca="false">IF($B1322="","",IF(AND(OR(CARI!$C$5="",ISNUMBER(SEARCH(CARI!$C$5,$B1322&amp;" "&amp;$C1322&amp;" "&amp;$D1322&amp;" "&amp;$O1322&amp;" "&amp;$I1322&amp;" "&amp;$F1322&amp;" "&amp;$J1322&amp;" "&amp;$K1322&amp;" "&amp;$L1322&amp;" "&amp;$V1322))),OR(CARI!$C$6="",$F1322=CARI!$C$6),OR(CARI!$C$7="",$G1322=CARI!$C$7),OR(CARI!$C$8="",$T1322=CARI!$C$8)),MAX($Z$3:Z1321)+1,""))</f>
        <v/>
      </c>
      <c r="AA1322" s="40" t="str">
        <f aca="false">IF($Y1322="","",MAX($AA$3:AA1321)+1)</f>
        <v/>
      </c>
      <c r="AB1322" s="40" t="str">
        <f aca="false">IF($F1322="","",$F1322&amp;"#"&amp;COUNTIF($F$4:$F1322,$F1322))</f>
        <v/>
      </c>
      <c r="AC1322" s="40" t="str">
        <f aca="false">IF($B1322="","",IF(AND(OR(CETAK!$J$10="",$F1322=CETAK!$J$10),OR(CETAK!$J$11="",$G1322=CETAK!$J$11),OR(CETAK!$J$12="",$P1322=CETAK!$J$12),OR(CETAK!$J$13="",$N1322=CETAK!$J$13),OR(CETAK!$J$14="",$T1322=CETAK!$J$14)),MAX($AC$3:AC1321)+1,""))</f>
        <v/>
      </c>
      <c r="AD1322" s="40" t="str">
        <f aca="false">IF($B1322="","",IF(AND(OR(ABSENSI!$H$10="",$F1322=ABSENSI!$H$10),OR(ABSENSI!$H$11="",$G1322=ABSENSI!$H$11),OR(ABSENSI!$H$12="",$P1322=ABSENSI!$H$12)),MAX($AD$3:AD1321)+1,""))</f>
        <v/>
      </c>
      <c r="AE1322" s="40" t="str">
        <f aca="false">IF($B1322="","",IF(AND(OR(KARTU!$K$6="",$F1322=KARTU!$K$6),OR(KARTU!$K$7="",$G1322=KARTU!$K$7),OR(KARTU!$K$8="",$P1322=KARTU!$K$8)),MAX($AE$3:AE1321)+1,""))</f>
        <v/>
      </c>
    </row>
    <row r="1323" customFormat="false" ht="15" hidden="false" customHeight="false" outlineLevel="0" collapsed="false">
      <c r="A1323" s="35" t="str">
        <f aca="false">IF($B1323="","",COUNTA($B$4:$B1323))</f>
        <v/>
      </c>
      <c r="B1323" s="36"/>
      <c r="C1323" s="37"/>
      <c r="D1323" s="37"/>
      <c r="E1323" s="38"/>
      <c r="F1323" s="36"/>
      <c r="G1323" s="39"/>
      <c r="H1323" s="39"/>
      <c r="I1323" s="36"/>
      <c r="J1323" s="36"/>
      <c r="K1323" s="36"/>
      <c r="L1323" s="36"/>
      <c r="M1323" s="40" t="str">
        <f aca="false">IF($F1323="","",$F1323&amp;IF($G1323="",""," - RT "&amp;$G1323&amp;IF($H1323="","","/"&amp;$H1323)))</f>
        <v/>
      </c>
      <c r="N1323" s="36"/>
      <c r="O1323" s="37"/>
      <c r="P1323" s="39"/>
      <c r="Q1323" s="41"/>
      <c r="R1323" s="35" t="str">
        <f aca="true">IF(OR($B1323="",$Q1323=""),"",DATEDIF($Q1323,TODAY(),"Y"))</f>
        <v/>
      </c>
      <c r="S1323" s="40" t="str">
        <f aca="false">IF($R1323="","",INDEX(usia_label,MATCH($R1323,usia_min,1)))</f>
        <v/>
      </c>
      <c r="T1323" s="36"/>
      <c r="U1323" s="41"/>
      <c r="V1323" s="36"/>
      <c r="W1323" s="36"/>
      <c r="X1323" s="40" t="str">
        <f aca="false">IF($M1323="","",$M1323&amp;"#"&amp;COUNTIF($M$4:$M1323,$M1323))</f>
        <v/>
      </c>
      <c r="Y1323" s="40" t="str">
        <f aca="false">IF($B1323="","",IF($C1323="","NIK kosong",IF(LEN($C1323)&lt;&gt;16,"NIK bukan 16 digit",IF(COUNTIF($C$4:$C$2003,$C1323&amp;"*")&gt;1,"NIK ganda",IF(AND($D1323&lt;&gt;"",LEN($D1323)&lt;&gt;16),"No. KK bukan 16 digit",IF(AND($F1323="",$I1323=""),"Alamat kosong",IF($N1323="","Jabatan kosong",IF($O1323="","No. HP kosong",IF(AND($R1323&lt;&gt;"",$R1323&lt;17),"Usia di bawah 17","")))))))))</f>
        <v/>
      </c>
      <c r="Z1323" s="40" t="str">
        <f aca="false">IF($B1323="","",IF(AND(OR(CARI!$C$5="",ISNUMBER(SEARCH(CARI!$C$5,$B1323&amp;" "&amp;$C1323&amp;" "&amp;$D1323&amp;" "&amp;$O1323&amp;" "&amp;$I1323&amp;" "&amp;$F1323&amp;" "&amp;$J1323&amp;" "&amp;$K1323&amp;" "&amp;$L1323&amp;" "&amp;$V1323))),OR(CARI!$C$6="",$F1323=CARI!$C$6),OR(CARI!$C$7="",$G1323=CARI!$C$7),OR(CARI!$C$8="",$T1323=CARI!$C$8)),MAX($Z$3:Z1322)+1,""))</f>
        <v/>
      </c>
      <c r="AA1323" s="40" t="str">
        <f aca="false">IF($Y1323="","",MAX($AA$3:AA1322)+1)</f>
        <v/>
      </c>
      <c r="AB1323" s="40" t="str">
        <f aca="false">IF($F1323="","",$F1323&amp;"#"&amp;COUNTIF($F$4:$F1323,$F1323))</f>
        <v/>
      </c>
      <c r="AC1323" s="40" t="str">
        <f aca="false">IF($B1323="","",IF(AND(OR(CETAK!$J$10="",$F1323=CETAK!$J$10),OR(CETAK!$J$11="",$G1323=CETAK!$J$11),OR(CETAK!$J$12="",$P1323=CETAK!$J$12),OR(CETAK!$J$13="",$N1323=CETAK!$J$13),OR(CETAK!$J$14="",$T1323=CETAK!$J$14)),MAX($AC$3:AC1322)+1,""))</f>
        <v/>
      </c>
      <c r="AD1323" s="40" t="str">
        <f aca="false">IF($B1323="","",IF(AND(OR(ABSENSI!$H$10="",$F1323=ABSENSI!$H$10),OR(ABSENSI!$H$11="",$G1323=ABSENSI!$H$11),OR(ABSENSI!$H$12="",$P1323=ABSENSI!$H$12)),MAX($AD$3:AD1322)+1,""))</f>
        <v/>
      </c>
      <c r="AE1323" s="40" t="str">
        <f aca="false">IF($B1323="","",IF(AND(OR(KARTU!$K$6="",$F1323=KARTU!$K$6),OR(KARTU!$K$7="",$G1323=KARTU!$K$7),OR(KARTU!$K$8="",$P1323=KARTU!$K$8)),MAX($AE$3:AE1322)+1,""))</f>
        <v/>
      </c>
    </row>
    <row r="1324" customFormat="false" ht="15" hidden="false" customHeight="false" outlineLevel="0" collapsed="false">
      <c r="A1324" s="35" t="str">
        <f aca="false">IF($B1324="","",COUNTA($B$4:$B1324))</f>
        <v/>
      </c>
      <c r="B1324" s="36"/>
      <c r="C1324" s="37"/>
      <c r="D1324" s="37"/>
      <c r="E1324" s="38"/>
      <c r="F1324" s="36"/>
      <c r="G1324" s="39"/>
      <c r="H1324" s="39"/>
      <c r="I1324" s="36"/>
      <c r="J1324" s="36"/>
      <c r="K1324" s="36"/>
      <c r="L1324" s="36"/>
      <c r="M1324" s="40" t="str">
        <f aca="false">IF($F1324="","",$F1324&amp;IF($G1324="",""," - RT "&amp;$G1324&amp;IF($H1324="","","/"&amp;$H1324)))</f>
        <v/>
      </c>
      <c r="N1324" s="36"/>
      <c r="O1324" s="37"/>
      <c r="P1324" s="39"/>
      <c r="Q1324" s="41"/>
      <c r="R1324" s="35" t="str">
        <f aca="true">IF(OR($B1324="",$Q1324=""),"",DATEDIF($Q1324,TODAY(),"Y"))</f>
        <v/>
      </c>
      <c r="S1324" s="40" t="str">
        <f aca="false">IF($R1324="","",INDEX(usia_label,MATCH($R1324,usia_min,1)))</f>
        <v/>
      </c>
      <c r="T1324" s="36"/>
      <c r="U1324" s="41"/>
      <c r="V1324" s="36"/>
      <c r="W1324" s="36"/>
      <c r="X1324" s="40" t="str">
        <f aca="false">IF($M1324="","",$M1324&amp;"#"&amp;COUNTIF($M$4:$M1324,$M1324))</f>
        <v/>
      </c>
      <c r="Y1324" s="40" t="str">
        <f aca="false">IF($B1324="","",IF($C1324="","NIK kosong",IF(LEN($C1324)&lt;&gt;16,"NIK bukan 16 digit",IF(COUNTIF($C$4:$C$2003,$C1324&amp;"*")&gt;1,"NIK ganda",IF(AND($D1324&lt;&gt;"",LEN($D1324)&lt;&gt;16),"No. KK bukan 16 digit",IF(AND($F1324="",$I1324=""),"Alamat kosong",IF($N1324="","Jabatan kosong",IF($O1324="","No. HP kosong",IF(AND($R1324&lt;&gt;"",$R1324&lt;17),"Usia di bawah 17","")))))))))</f>
        <v/>
      </c>
      <c r="Z1324" s="40" t="str">
        <f aca="false">IF($B1324="","",IF(AND(OR(CARI!$C$5="",ISNUMBER(SEARCH(CARI!$C$5,$B1324&amp;" "&amp;$C1324&amp;" "&amp;$D1324&amp;" "&amp;$O1324&amp;" "&amp;$I1324&amp;" "&amp;$F1324&amp;" "&amp;$J1324&amp;" "&amp;$K1324&amp;" "&amp;$L1324&amp;" "&amp;$V1324))),OR(CARI!$C$6="",$F1324=CARI!$C$6),OR(CARI!$C$7="",$G1324=CARI!$C$7),OR(CARI!$C$8="",$T1324=CARI!$C$8)),MAX($Z$3:Z1323)+1,""))</f>
        <v/>
      </c>
      <c r="AA1324" s="40" t="str">
        <f aca="false">IF($Y1324="","",MAX($AA$3:AA1323)+1)</f>
        <v/>
      </c>
      <c r="AB1324" s="40" t="str">
        <f aca="false">IF($F1324="","",$F1324&amp;"#"&amp;COUNTIF($F$4:$F1324,$F1324))</f>
        <v/>
      </c>
      <c r="AC1324" s="40" t="str">
        <f aca="false">IF($B1324="","",IF(AND(OR(CETAK!$J$10="",$F1324=CETAK!$J$10),OR(CETAK!$J$11="",$G1324=CETAK!$J$11),OR(CETAK!$J$12="",$P1324=CETAK!$J$12),OR(CETAK!$J$13="",$N1324=CETAK!$J$13),OR(CETAK!$J$14="",$T1324=CETAK!$J$14)),MAX($AC$3:AC1323)+1,""))</f>
        <v/>
      </c>
      <c r="AD1324" s="40" t="str">
        <f aca="false">IF($B1324="","",IF(AND(OR(ABSENSI!$H$10="",$F1324=ABSENSI!$H$10),OR(ABSENSI!$H$11="",$G1324=ABSENSI!$H$11),OR(ABSENSI!$H$12="",$P1324=ABSENSI!$H$12)),MAX($AD$3:AD1323)+1,""))</f>
        <v/>
      </c>
      <c r="AE1324" s="40" t="str">
        <f aca="false">IF($B1324="","",IF(AND(OR(KARTU!$K$6="",$F1324=KARTU!$K$6),OR(KARTU!$K$7="",$G1324=KARTU!$K$7),OR(KARTU!$K$8="",$P1324=KARTU!$K$8)),MAX($AE$3:AE1323)+1,""))</f>
        <v/>
      </c>
    </row>
    <row r="1325" customFormat="false" ht="15" hidden="false" customHeight="false" outlineLevel="0" collapsed="false">
      <c r="A1325" s="35" t="str">
        <f aca="false">IF($B1325="","",COUNTA($B$4:$B1325))</f>
        <v/>
      </c>
      <c r="B1325" s="36"/>
      <c r="C1325" s="37"/>
      <c r="D1325" s="37"/>
      <c r="E1325" s="38"/>
      <c r="F1325" s="36"/>
      <c r="G1325" s="39"/>
      <c r="H1325" s="39"/>
      <c r="I1325" s="36"/>
      <c r="J1325" s="36"/>
      <c r="K1325" s="36"/>
      <c r="L1325" s="36"/>
      <c r="M1325" s="40" t="str">
        <f aca="false">IF($F1325="","",$F1325&amp;IF($G1325="",""," - RT "&amp;$G1325&amp;IF($H1325="","","/"&amp;$H1325)))</f>
        <v/>
      </c>
      <c r="N1325" s="36"/>
      <c r="O1325" s="37"/>
      <c r="P1325" s="39"/>
      <c r="Q1325" s="41"/>
      <c r="R1325" s="35" t="str">
        <f aca="true">IF(OR($B1325="",$Q1325=""),"",DATEDIF($Q1325,TODAY(),"Y"))</f>
        <v/>
      </c>
      <c r="S1325" s="40" t="str">
        <f aca="false">IF($R1325="","",INDEX(usia_label,MATCH($R1325,usia_min,1)))</f>
        <v/>
      </c>
      <c r="T1325" s="36"/>
      <c r="U1325" s="41"/>
      <c r="V1325" s="36"/>
      <c r="W1325" s="36"/>
      <c r="X1325" s="40" t="str">
        <f aca="false">IF($M1325="","",$M1325&amp;"#"&amp;COUNTIF($M$4:$M1325,$M1325))</f>
        <v/>
      </c>
      <c r="Y1325" s="40" t="str">
        <f aca="false">IF($B1325="","",IF($C1325="","NIK kosong",IF(LEN($C1325)&lt;&gt;16,"NIK bukan 16 digit",IF(COUNTIF($C$4:$C$2003,$C1325&amp;"*")&gt;1,"NIK ganda",IF(AND($D1325&lt;&gt;"",LEN($D1325)&lt;&gt;16),"No. KK bukan 16 digit",IF(AND($F1325="",$I1325=""),"Alamat kosong",IF($N1325="","Jabatan kosong",IF($O1325="","No. HP kosong",IF(AND($R1325&lt;&gt;"",$R1325&lt;17),"Usia di bawah 17","")))))))))</f>
        <v/>
      </c>
      <c r="Z1325" s="40" t="str">
        <f aca="false">IF($B1325="","",IF(AND(OR(CARI!$C$5="",ISNUMBER(SEARCH(CARI!$C$5,$B1325&amp;" "&amp;$C1325&amp;" "&amp;$D1325&amp;" "&amp;$O1325&amp;" "&amp;$I1325&amp;" "&amp;$F1325&amp;" "&amp;$J1325&amp;" "&amp;$K1325&amp;" "&amp;$L1325&amp;" "&amp;$V1325))),OR(CARI!$C$6="",$F1325=CARI!$C$6),OR(CARI!$C$7="",$G1325=CARI!$C$7),OR(CARI!$C$8="",$T1325=CARI!$C$8)),MAX($Z$3:Z1324)+1,""))</f>
        <v/>
      </c>
      <c r="AA1325" s="40" t="str">
        <f aca="false">IF($Y1325="","",MAX($AA$3:AA1324)+1)</f>
        <v/>
      </c>
      <c r="AB1325" s="40" t="str">
        <f aca="false">IF($F1325="","",$F1325&amp;"#"&amp;COUNTIF($F$4:$F1325,$F1325))</f>
        <v/>
      </c>
      <c r="AC1325" s="40" t="str">
        <f aca="false">IF($B1325="","",IF(AND(OR(CETAK!$J$10="",$F1325=CETAK!$J$10),OR(CETAK!$J$11="",$G1325=CETAK!$J$11),OR(CETAK!$J$12="",$P1325=CETAK!$J$12),OR(CETAK!$J$13="",$N1325=CETAK!$J$13),OR(CETAK!$J$14="",$T1325=CETAK!$J$14)),MAX($AC$3:AC1324)+1,""))</f>
        <v/>
      </c>
      <c r="AD1325" s="40" t="str">
        <f aca="false">IF($B1325="","",IF(AND(OR(ABSENSI!$H$10="",$F1325=ABSENSI!$H$10),OR(ABSENSI!$H$11="",$G1325=ABSENSI!$H$11),OR(ABSENSI!$H$12="",$P1325=ABSENSI!$H$12)),MAX($AD$3:AD1324)+1,""))</f>
        <v/>
      </c>
      <c r="AE1325" s="40" t="str">
        <f aca="false">IF($B1325="","",IF(AND(OR(KARTU!$K$6="",$F1325=KARTU!$K$6),OR(KARTU!$K$7="",$G1325=KARTU!$K$7),OR(KARTU!$K$8="",$P1325=KARTU!$K$8)),MAX($AE$3:AE1324)+1,""))</f>
        <v/>
      </c>
    </row>
    <row r="1326" customFormat="false" ht="15" hidden="false" customHeight="false" outlineLevel="0" collapsed="false">
      <c r="A1326" s="35" t="str">
        <f aca="false">IF($B1326="","",COUNTA($B$4:$B1326))</f>
        <v/>
      </c>
      <c r="B1326" s="36"/>
      <c r="C1326" s="37"/>
      <c r="D1326" s="37"/>
      <c r="E1326" s="38"/>
      <c r="F1326" s="36"/>
      <c r="G1326" s="39"/>
      <c r="H1326" s="39"/>
      <c r="I1326" s="36"/>
      <c r="J1326" s="36"/>
      <c r="K1326" s="36"/>
      <c r="L1326" s="36"/>
      <c r="M1326" s="40" t="str">
        <f aca="false">IF($F1326="","",$F1326&amp;IF($G1326="",""," - RT "&amp;$G1326&amp;IF($H1326="","","/"&amp;$H1326)))</f>
        <v/>
      </c>
      <c r="N1326" s="36"/>
      <c r="O1326" s="37"/>
      <c r="P1326" s="39"/>
      <c r="Q1326" s="41"/>
      <c r="R1326" s="35" t="str">
        <f aca="true">IF(OR($B1326="",$Q1326=""),"",DATEDIF($Q1326,TODAY(),"Y"))</f>
        <v/>
      </c>
      <c r="S1326" s="40" t="str">
        <f aca="false">IF($R1326="","",INDEX(usia_label,MATCH($R1326,usia_min,1)))</f>
        <v/>
      </c>
      <c r="T1326" s="36"/>
      <c r="U1326" s="41"/>
      <c r="V1326" s="36"/>
      <c r="W1326" s="36"/>
      <c r="X1326" s="40" t="str">
        <f aca="false">IF($M1326="","",$M1326&amp;"#"&amp;COUNTIF($M$4:$M1326,$M1326))</f>
        <v/>
      </c>
      <c r="Y1326" s="40" t="str">
        <f aca="false">IF($B1326="","",IF($C1326="","NIK kosong",IF(LEN($C1326)&lt;&gt;16,"NIK bukan 16 digit",IF(COUNTIF($C$4:$C$2003,$C1326&amp;"*")&gt;1,"NIK ganda",IF(AND($D1326&lt;&gt;"",LEN($D1326)&lt;&gt;16),"No. KK bukan 16 digit",IF(AND($F1326="",$I1326=""),"Alamat kosong",IF($N1326="","Jabatan kosong",IF($O1326="","No. HP kosong",IF(AND($R1326&lt;&gt;"",$R1326&lt;17),"Usia di bawah 17","")))))))))</f>
        <v/>
      </c>
      <c r="Z1326" s="40" t="str">
        <f aca="false">IF($B1326="","",IF(AND(OR(CARI!$C$5="",ISNUMBER(SEARCH(CARI!$C$5,$B1326&amp;" "&amp;$C1326&amp;" "&amp;$D1326&amp;" "&amp;$O1326&amp;" "&amp;$I1326&amp;" "&amp;$F1326&amp;" "&amp;$J1326&amp;" "&amp;$K1326&amp;" "&amp;$L1326&amp;" "&amp;$V1326))),OR(CARI!$C$6="",$F1326=CARI!$C$6),OR(CARI!$C$7="",$G1326=CARI!$C$7),OR(CARI!$C$8="",$T1326=CARI!$C$8)),MAX($Z$3:Z1325)+1,""))</f>
        <v/>
      </c>
      <c r="AA1326" s="40" t="str">
        <f aca="false">IF($Y1326="","",MAX($AA$3:AA1325)+1)</f>
        <v/>
      </c>
      <c r="AB1326" s="40" t="str">
        <f aca="false">IF($F1326="","",$F1326&amp;"#"&amp;COUNTIF($F$4:$F1326,$F1326))</f>
        <v/>
      </c>
      <c r="AC1326" s="40" t="str">
        <f aca="false">IF($B1326="","",IF(AND(OR(CETAK!$J$10="",$F1326=CETAK!$J$10),OR(CETAK!$J$11="",$G1326=CETAK!$J$11),OR(CETAK!$J$12="",$P1326=CETAK!$J$12),OR(CETAK!$J$13="",$N1326=CETAK!$J$13),OR(CETAK!$J$14="",$T1326=CETAK!$J$14)),MAX($AC$3:AC1325)+1,""))</f>
        <v/>
      </c>
      <c r="AD1326" s="40" t="str">
        <f aca="false">IF($B1326="","",IF(AND(OR(ABSENSI!$H$10="",$F1326=ABSENSI!$H$10),OR(ABSENSI!$H$11="",$G1326=ABSENSI!$H$11),OR(ABSENSI!$H$12="",$P1326=ABSENSI!$H$12)),MAX($AD$3:AD1325)+1,""))</f>
        <v/>
      </c>
      <c r="AE1326" s="40" t="str">
        <f aca="false">IF($B1326="","",IF(AND(OR(KARTU!$K$6="",$F1326=KARTU!$K$6),OR(KARTU!$K$7="",$G1326=KARTU!$K$7),OR(KARTU!$K$8="",$P1326=KARTU!$K$8)),MAX($AE$3:AE1325)+1,""))</f>
        <v/>
      </c>
    </row>
    <row r="1327" customFormat="false" ht="15" hidden="false" customHeight="false" outlineLevel="0" collapsed="false">
      <c r="A1327" s="35" t="str">
        <f aca="false">IF($B1327="","",COUNTA($B$4:$B1327))</f>
        <v/>
      </c>
      <c r="B1327" s="36"/>
      <c r="C1327" s="37"/>
      <c r="D1327" s="37"/>
      <c r="E1327" s="38"/>
      <c r="F1327" s="36"/>
      <c r="G1327" s="39"/>
      <c r="H1327" s="39"/>
      <c r="I1327" s="36"/>
      <c r="J1327" s="36"/>
      <c r="K1327" s="36"/>
      <c r="L1327" s="36"/>
      <c r="M1327" s="40" t="str">
        <f aca="false">IF($F1327="","",$F1327&amp;IF($G1327="",""," - RT "&amp;$G1327&amp;IF($H1327="","","/"&amp;$H1327)))</f>
        <v/>
      </c>
      <c r="N1327" s="36"/>
      <c r="O1327" s="37"/>
      <c r="P1327" s="39"/>
      <c r="Q1327" s="41"/>
      <c r="R1327" s="35" t="str">
        <f aca="true">IF(OR($B1327="",$Q1327=""),"",DATEDIF($Q1327,TODAY(),"Y"))</f>
        <v/>
      </c>
      <c r="S1327" s="40" t="str">
        <f aca="false">IF($R1327="","",INDEX(usia_label,MATCH($R1327,usia_min,1)))</f>
        <v/>
      </c>
      <c r="T1327" s="36"/>
      <c r="U1327" s="41"/>
      <c r="V1327" s="36"/>
      <c r="W1327" s="36"/>
      <c r="X1327" s="40" t="str">
        <f aca="false">IF($M1327="","",$M1327&amp;"#"&amp;COUNTIF($M$4:$M1327,$M1327))</f>
        <v/>
      </c>
      <c r="Y1327" s="40" t="str">
        <f aca="false">IF($B1327="","",IF($C1327="","NIK kosong",IF(LEN($C1327)&lt;&gt;16,"NIK bukan 16 digit",IF(COUNTIF($C$4:$C$2003,$C1327&amp;"*")&gt;1,"NIK ganda",IF(AND($D1327&lt;&gt;"",LEN($D1327)&lt;&gt;16),"No. KK bukan 16 digit",IF(AND($F1327="",$I1327=""),"Alamat kosong",IF($N1327="","Jabatan kosong",IF($O1327="","No. HP kosong",IF(AND($R1327&lt;&gt;"",$R1327&lt;17),"Usia di bawah 17","")))))))))</f>
        <v/>
      </c>
      <c r="Z1327" s="40" t="str">
        <f aca="false">IF($B1327="","",IF(AND(OR(CARI!$C$5="",ISNUMBER(SEARCH(CARI!$C$5,$B1327&amp;" "&amp;$C1327&amp;" "&amp;$D1327&amp;" "&amp;$O1327&amp;" "&amp;$I1327&amp;" "&amp;$F1327&amp;" "&amp;$J1327&amp;" "&amp;$K1327&amp;" "&amp;$L1327&amp;" "&amp;$V1327))),OR(CARI!$C$6="",$F1327=CARI!$C$6),OR(CARI!$C$7="",$G1327=CARI!$C$7),OR(CARI!$C$8="",$T1327=CARI!$C$8)),MAX($Z$3:Z1326)+1,""))</f>
        <v/>
      </c>
      <c r="AA1327" s="40" t="str">
        <f aca="false">IF($Y1327="","",MAX($AA$3:AA1326)+1)</f>
        <v/>
      </c>
      <c r="AB1327" s="40" t="str">
        <f aca="false">IF($F1327="","",$F1327&amp;"#"&amp;COUNTIF($F$4:$F1327,$F1327))</f>
        <v/>
      </c>
      <c r="AC1327" s="40" t="str">
        <f aca="false">IF($B1327="","",IF(AND(OR(CETAK!$J$10="",$F1327=CETAK!$J$10),OR(CETAK!$J$11="",$G1327=CETAK!$J$11),OR(CETAK!$J$12="",$P1327=CETAK!$J$12),OR(CETAK!$J$13="",$N1327=CETAK!$J$13),OR(CETAK!$J$14="",$T1327=CETAK!$J$14)),MAX($AC$3:AC1326)+1,""))</f>
        <v/>
      </c>
      <c r="AD1327" s="40" t="str">
        <f aca="false">IF($B1327="","",IF(AND(OR(ABSENSI!$H$10="",$F1327=ABSENSI!$H$10),OR(ABSENSI!$H$11="",$G1327=ABSENSI!$H$11),OR(ABSENSI!$H$12="",$P1327=ABSENSI!$H$12)),MAX($AD$3:AD1326)+1,""))</f>
        <v/>
      </c>
      <c r="AE1327" s="40" t="str">
        <f aca="false">IF($B1327="","",IF(AND(OR(KARTU!$K$6="",$F1327=KARTU!$K$6),OR(KARTU!$K$7="",$G1327=KARTU!$K$7),OR(KARTU!$K$8="",$P1327=KARTU!$K$8)),MAX($AE$3:AE1326)+1,""))</f>
        <v/>
      </c>
    </row>
    <row r="1328" customFormat="false" ht="15" hidden="false" customHeight="false" outlineLevel="0" collapsed="false">
      <c r="A1328" s="35" t="str">
        <f aca="false">IF($B1328="","",COUNTA($B$4:$B1328))</f>
        <v/>
      </c>
      <c r="B1328" s="36"/>
      <c r="C1328" s="37"/>
      <c r="D1328" s="37"/>
      <c r="E1328" s="38"/>
      <c r="F1328" s="36"/>
      <c r="G1328" s="39"/>
      <c r="H1328" s="39"/>
      <c r="I1328" s="36"/>
      <c r="J1328" s="36"/>
      <c r="K1328" s="36"/>
      <c r="L1328" s="36"/>
      <c r="M1328" s="40" t="str">
        <f aca="false">IF($F1328="","",$F1328&amp;IF($G1328="",""," - RT "&amp;$G1328&amp;IF($H1328="","","/"&amp;$H1328)))</f>
        <v/>
      </c>
      <c r="N1328" s="36"/>
      <c r="O1328" s="37"/>
      <c r="P1328" s="39"/>
      <c r="Q1328" s="41"/>
      <c r="R1328" s="35" t="str">
        <f aca="true">IF(OR($B1328="",$Q1328=""),"",DATEDIF($Q1328,TODAY(),"Y"))</f>
        <v/>
      </c>
      <c r="S1328" s="40" t="str">
        <f aca="false">IF($R1328="","",INDEX(usia_label,MATCH($R1328,usia_min,1)))</f>
        <v/>
      </c>
      <c r="T1328" s="36"/>
      <c r="U1328" s="41"/>
      <c r="V1328" s="36"/>
      <c r="W1328" s="36"/>
      <c r="X1328" s="40" t="str">
        <f aca="false">IF($M1328="","",$M1328&amp;"#"&amp;COUNTIF($M$4:$M1328,$M1328))</f>
        <v/>
      </c>
      <c r="Y1328" s="40" t="str">
        <f aca="false">IF($B1328="","",IF($C1328="","NIK kosong",IF(LEN($C1328)&lt;&gt;16,"NIK bukan 16 digit",IF(COUNTIF($C$4:$C$2003,$C1328&amp;"*")&gt;1,"NIK ganda",IF(AND($D1328&lt;&gt;"",LEN($D1328)&lt;&gt;16),"No. KK bukan 16 digit",IF(AND($F1328="",$I1328=""),"Alamat kosong",IF($N1328="","Jabatan kosong",IF($O1328="","No. HP kosong",IF(AND($R1328&lt;&gt;"",$R1328&lt;17),"Usia di bawah 17","")))))))))</f>
        <v/>
      </c>
      <c r="Z1328" s="40" t="str">
        <f aca="false">IF($B1328="","",IF(AND(OR(CARI!$C$5="",ISNUMBER(SEARCH(CARI!$C$5,$B1328&amp;" "&amp;$C1328&amp;" "&amp;$D1328&amp;" "&amp;$O1328&amp;" "&amp;$I1328&amp;" "&amp;$F1328&amp;" "&amp;$J1328&amp;" "&amp;$K1328&amp;" "&amp;$L1328&amp;" "&amp;$V1328))),OR(CARI!$C$6="",$F1328=CARI!$C$6),OR(CARI!$C$7="",$G1328=CARI!$C$7),OR(CARI!$C$8="",$T1328=CARI!$C$8)),MAX($Z$3:Z1327)+1,""))</f>
        <v/>
      </c>
      <c r="AA1328" s="40" t="str">
        <f aca="false">IF($Y1328="","",MAX($AA$3:AA1327)+1)</f>
        <v/>
      </c>
      <c r="AB1328" s="40" t="str">
        <f aca="false">IF($F1328="","",$F1328&amp;"#"&amp;COUNTIF($F$4:$F1328,$F1328))</f>
        <v/>
      </c>
      <c r="AC1328" s="40" t="str">
        <f aca="false">IF($B1328="","",IF(AND(OR(CETAK!$J$10="",$F1328=CETAK!$J$10),OR(CETAK!$J$11="",$G1328=CETAK!$J$11),OR(CETAK!$J$12="",$P1328=CETAK!$J$12),OR(CETAK!$J$13="",$N1328=CETAK!$J$13),OR(CETAK!$J$14="",$T1328=CETAK!$J$14)),MAX($AC$3:AC1327)+1,""))</f>
        <v/>
      </c>
      <c r="AD1328" s="40" t="str">
        <f aca="false">IF($B1328="","",IF(AND(OR(ABSENSI!$H$10="",$F1328=ABSENSI!$H$10),OR(ABSENSI!$H$11="",$G1328=ABSENSI!$H$11),OR(ABSENSI!$H$12="",$P1328=ABSENSI!$H$12)),MAX($AD$3:AD1327)+1,""))</f>
        <v/>
      </c>
      <c r="AE1328" s="40" t="str">
        <f aca="false">IF($B1328="","",IF(AND(OR(KARTU!$K$6="",$F1328=KARTU!$K$6),OR(KARTU!$K$7="",$G1328=KARTU!$K$7),OR(KARTU!$K$8="",$P1328=KARTU!$K$8)),MAX($AE$3:AE1327)+1,""))</f>
        <v/>
      </c>
    </row>
    <row r="1329" customFormat="false" ht="15" hidden="false" customHeight="false" outlineLevel="0" collapsed="false">
      <c r="A1329" s="35" t="str">
        <f aca="false">IF($B1329="","",COUNTA($B$4:$B1329))</f>
        <v/>
      </c>
      <c r="B1329" s="36"/>
      <c r="C1329" s="37"/>
      <c r="D1329" s="37"/>
      <c r="E1329" s="38"/>
      <c r="F1329" s="36"/>
      <c r="G1329" s="39"/>
      <c r="H1329" s="39"/>
      <c r="I1329" s="36"/>
      <c r="J1329" s="36"/>
      <c r="K1329" s="36"/>
      <c r="L1329" s="36"/>
      <c r="M1329" s="40" t="str">
        <f aca="false">IF($F1329="","",$F1329&amp;IF($G1329="",""," - RT "&amp;$G1329&amp;IF($H1329="","","/"&amp;$H1329)))</f>
        <v/>
      </c>
      <c r="N1329" s="36"/>
      <c r="O1329" s="37"/>
      <c r="P1329" s="39"/>
      <c r="Q1329" s="41"/>
      <c r="R1329" s="35" t="str">
        <f aca="true">IF(OR($B1329="",$Q1329=""),"",DATEDIF($Q1329,TODAY(),"Y"))</f>
        <v/>
      </c>
      <c r="S1329" s="40" t="str">
        <f aca="false">IF($R1329="","",INDEX(usia_label,MATCH($R1329,usia_min,1)))</f>
        <v/>
      </c>
      <c r="T1329" s="36"/>
      <c r="U1329" s="41"/>
      <c r="V1329" s="36"/>
      <c r="W1329" s="36"/>
      <c r="X1329" s="40" t="str">
        <f aca="false">IF($M1329="","",$M1329&amp;"#"&amp;COUNTIF($M$4:$M1329,$M1329))</f>
        <v/>
      </c>
      <c r="Y1329" s="40" t="str">
        <f aca="false">IF($B1329="","",IF($C1329="","NIK kosong",IF(LEN($C1329)&lt;&gt;16,"NIK bukan 16 digit",IF(COUNTIF($C$4:$C$2003,$C1329&amp;"*")&gt;1,"NIK ganda",IF(AND($D1329&lt;&gt;"",LEN($D1329)&lt;&gt;16),"No. KK bukan 16 digit",IF(AND($F1329="",$I1329=""),"Alamat kosong",IF($N1329="","Jabatan kosong",IF($O1329="","No. HP kosong",IF(AND($R1329&lt;&gt;"",$R1329&lt;17),"Usia di bawah 17","")))))))))</f>
        <v/>
      </c>
      <c r="Z1329" s="40" t="str">
        <f aca="false">IF($B1329="","",IF(AND(OR(CARI!$C$5="",ISNUMBER(SEARCH(CARI!$C$5,$B1329&amp;" "&amp;$C1329&amp;" "&amp;$D1329&amp;" "&amp;$O1329&amp;" "&amp;$I1329&amp;" "&amp;$F1329&amp;" "&amp;$J1329&amp;" "&amp;$K1329&amp;" "&amp;$L1329&amp;" "&amp;$V1329))),OR(CARI!$C$6="",$F1329=CARI!$C$6),OR(CARI!$C$7="",$G1329=CARI!$C$7),OR(CARI!$C$8="",$T1329=CARI!$C$8)),MAX($Z$3:Z1328)+1,""))</f>
        <v/>
      </c>
      <c r="AA1329" s="40" t="str">
        <f aca="false">IF($Y1329="","",MAX($AA$3:AA1328)+1)</f>
        <v/>
      </c>
      <c r="AB1329" s="40" t="str">
        <f aca="false">IF($F1329="","",$F1329&amp;"#"&amp;COUNTIF($F$4:$F1329,$F1329))</f>
        <v/>
      </c>
      <c r="AC1329" s="40" t="str">
        <f aca="false">IF($B1329="","",IF(AND(OR(CETAK!$J$10="",$F1329=CETAK!$J$10),OR(CETAK!$J$11="",$G1329=CETAK!$J$11),OR(CETAK!$J$12="",$P1329=CETAK!$J$12),OR(CETAK!$J$13="",$N1329=CETAK!$J$13),OR(CETAK!$J$14="",$T1329=CETAK!$J$14)),MAX($AC$3:AC1328)+1,""))</f>
        <v/>
      </c>
      <c r="AD1329" s="40" t="str">
        <f aca="false">IF($B1329="","",IF(AND(OR(ABSENSI!$H$10="",$F1329=ABSENSI!$H$10),OR(ABSENSI!$H$11="",$G1329=ABSENSI!$H$11),OR(ABSENSI!$H$12="",$P1329=ABSENSI!$H$12)),MAX($AD$3:AD1328)+1,""))</f>
        <v/>
      </c>
      <c r="AE1329" s="40" t="str">
        <f aca="false">IF($B1329="","",IF(AND(OR(KARTU!$K$6="",$F1329=KARTU!$K$6),OR(KARTU!$K$7="",$G1329=KARTU!$K$7),OR(KARTU!$K$8="",$P1329=KARTU!$K$8)),MAX($AE$3:AE1328)+1,""))</f>
        <v/>
      </c>
    </row>
    <row r="1330" customFormat="false" ht="15" hidden="false" customHeight="false" outlineLevel="0" collapsed="false">
      <c r="A1330" s="35" t="str">
        <f aca="false">IF($B1330="","",COUNTA($B$4:$B1330))</f>
        <v/>
      </c>
      <c r="B1330" s="36"/>
      <c r="C1330" s="37"/>
      <c r="D1330" s="37"/>
      <c r="E1330" s="38"/>
      <c r="F1330" s="36"/>
      <c r="G1330" s="39"/>
      <c r="H1330" s="39"/>
      <c r="I1330" s="36"/>
      <c r="J1330" s="36"/>
      <c r="K1330" s="36"/>
      <c r="L1330" s="36"/>
      <c r="M1330" s="40" t="str">
        <f aca="false">IF($F1330="","",$F1330&amp;IF($G1330="",""," - RT "&amp;$G1330&amp;IF($H1330="","","/"&amp;$H1330)))</f>
        <v/>
      </c>
      <c r="N1330" s="36"/>
      <c r="O1330" s="37"/>
      <c r="P1330" s="39"/>
      <c r="Q1330" s="41"/>
      <c r="R1330" s="35" t="str">
        <f aca="true">IF(OR($B1330="",$Q1330=""),"",DATEDIF($Q1330,TODAY(),"Y"))</f>
        <v/>
      </c>
      <c r="S1330" s="40" t="str">
        <f aca="false">IF($R1330="","",INDEX(usia_label,MATCH($R1330,usia_min,1)))</f>
        <v/>
      </c>
      <c r="T1330" s="36"/>
      <c r="U1330" s="41"/>
      <c r="V1330" s="36"/>
      <c r="W1330" s="36"/>
      <c r="X1330" s="40" t="str">
        <f aca="false">IF($M1330="","",$M1330&amp;"#"&amp;COUNTIF($M$4:$M1330,$M1330))</f>
        <v/>
      </c>
      <c r="Y1330" s="40" t="str">
        <f aca="false">IF($B1330="","",IF($C1330="","NIK kosong",IF(LEN($C1330)&lt;&gt;16,"NIK bukan 16 digit",IF(COUNTIF($C$4:$C$2003,$C1330&amp;"*")&gt;1,"NIK ganda",IF(AND($D1330&lt;&gt;"",LEN($D1330)&lt;&gt;16),"No. KK bukan 16 digit",IF(AND($F1330="",$I1330=""),"Alamat kosong",IF($N1330="","Jabatan kosong",IF($O1330="","No. HP kosong",IF(AND($R1330&lt;&gt;"",$R1330&lt;17),"Usia di bawah 17","")))))))))</f>
        <v/>
      </c>
      <c r="Z1330" s="40" t="str">
        <f aca="false">IF($B1330="","",IF(AND(OR(CARI!$C$5="",ISNUMBER(SEARCH(CARI!$C$5,$B1330&amp;" "&amp;$C1330&amp;" "&amp;$D1330&amp;" "&amp;$O1330&amp;" "&amp;$I1330&amp;" "&amp;$F1330&amp;" "&amp;$J1330&amp;" "&amp;$K1330&amp;" "&amp;$L1330&amp;" "&amp;$V1330))),OR(CARI!$C$6="",$F1330=CARI!$C$6),OR(CARI!$C$7="",$G1330=CARI!$C$7),OR(CARI!$C$8="",$T1330=CARI!$C$8)),MAX($Z$3:Z1329)+1,""))</f>
        <v/>
      </c>
      <c r="AA1330" s="40" t="str">
        <f aca="false">IF($Y1330="","",MAX($AA$3:AA1329)+1)</f>
        <v/>
      </c>
      <c r="AB1330" s="40" t="str">
        <f aca="false">IF($F1330="","",$F1330&amp;"#"&amp;COUNTIF($F$4:$F1330,$F1330))</f>
        <v/>
      </c>
      <c r="AC1330" s="40" t="str">
        <f aca="false">IF($B1330="","",IF(AND(OR(CETAK!$J$10="",$F1330=CETAK!$J$10),OR(CETAK!$J$11="",$G1330=CETAK!$J$11),OR(CETAK!$J$12="",$P1330=CETAK!$J$12),OR(CETAK!$J$13="",$N1330=CETAK!$J$13),OR(CETAK!$J$14="",$T1330=CETAK!$J$14)),MAX($AC$3:AC1329)+1,""))</f>
        <v/>
      </c>
      <c r="AD1330" s="40" t="str">
        <f aca="false">IF($B1330="","",IF(AND(OR(ABSENSI!$H$10="",$F1330=ABSENSI!$H$10),OR(ABSENSI!$H$11="",$G1330=ABSENSI!$H$11),OR(ABSENSI!$H$12="",$P1330=ABSENSI!$H$12)),MAX($AD$3:AD1329)+1,""))</f>
        <v/>
      </c>
      <c r="AE1330" s="40" t="str">
        <f aca="false">IF($B1330="","",IF(AND(OR(KARTU!$K$6="",$F1330=KARTU!$K$6),OR(KARTU!$K$7="",$G1330=KARTU!$K$7),OR(KARTU!$K$8="",$P1330=KARTU!$K$8)),MAX($AE$3:AE1329)+1,""))</f>
        <v/>
      </c>
    </row>
    <row r="1331" customFormat="false" ht="15" hidden="false" customHeight="false" outlineLevel="0" collapsed="false">
      <c r="A1331" s="35" t="str">
        <f aca="false">IF($B1331="","",COUNTA($B$4:$B1331))</f>
        <v/>
      </c>
      <c r="B1331" s="36"/>
      <c r="C1331" s="37"/>
      <c r="D1331" s="37"/>
      <c r="E1331" s="38"/>
      <c r="F1331" s="36"/>
      <c r="G1331" s="39"/>
      <c r="H1331" s="39"/>
      <c r="I1331" s="36"/>
      <c r="J1331" s="36"/>
      <c r="K1331" s="36"/>
      <c r="L1331" s="36"/>
      <c r="M1331" s="40" t="str">
        <f aca="false">IF($F1331="","",$F1331&amp;IF($G1331="",""," - RT "&amp;$G1331&amp;IF($H1331="","","/"&amp;$H1331)))</f>
        <v/>
      </c>
      <c r="N1331" s="36"/>
      <c r="O1331" s="37"/>
      <c r="P1331" s="39"/>
      <c r="Q1331" s="41"/>
      <c r="R1331" s="35" t="str">
        <f aca="true">IF(OR($B1331="",$Q1331=""),"",DATEDIF($Q1331,TODAY(),"Y"))</f>
        <v/>
      </c>
      <c r="S1331" s="40" t="str">
        <f aca="false">IF($R1331="","",INDEX(usia_label,MATCH($R1331,usia_min,1)))</f>
        <v/>
      </c>
      <c r="T1331" s="36"/>
      <c r="U1331" s="41"/>
      <c r="V1331" s="36"/>
      <c r="W1331" s="36"/>
      <c r="X1331" s="40" t="str">
        <f aca="false">IF($M1331="","",$M1331&amp;"#"&amp;COUNTIF($M$4:$M1331,$M1331))</f>
        <v/>
      </c>
      <c r="Y1331" s="40" t="str">
        <f aca="false">IF($B1331="","",IF($C1331="","NIK kosong",IF(LEN($C1331)&lt;&gt;16,"NIK bukan 16 digit",IF(COUNTIF($C$4:$C$2003,$C1331&amp;"*")&gt;1,"NIK ganda",IF(AND($D1331&lt;&gt;"",LEN($D1331)&lt;&gt;16),"No. KK bukan 16 digit",IF(AND($F1331="",$I1331=""),"Alamat kosong",IF($N1331="","Jabatan kosong",IF($O1331="","No. HP kosong",IF(AND($R1331&lt;&gt;"",$R1331&lt;17),"Usia di bawah 17","")))))))))</f>
        <v/>
      </c>
      <c r="Z1331" s="40" t="str">
        <f aca="false">IF($B1331="","",IF(AND(OR(CARI!$C$5="",ISNUMBER(SEARCH(CARI!$C$5,$B1331&amp;" "&amp;$C1331&amp;" "&amp;$D1331&amp;" "&amp;$O1331&amp;" "&amp;$I1331&amp;" "&amp;$F1331&amp;" "&amp;$J1331&amp;" "&amp;$K1331&amp;" "&amp;$L1331&amp;" "&amp;$V1331))),OR(CARI!$C$6="",$F1331=CARI!$C$6),OR(CARI!$C$7="",$G1331=CARI!$C$7),OR(CARI!$C$8="",$T1331=CARI!$C$8)),MAX($Z$3:Z1330)+1,""))</f>
        <v/>
      </c>
      <c r="AA1331" s="40" t="str">
        <f aca="false">IF($Y1331="","",MAX($AA$3:AA1330)+1)</f>
        <v/>
      </c>
      <c r="AB1331" s="40" t="str">
        <f aca="false">IF($F1331="","",$F1331&amp;"#"&amp;COUNTIF($F$4:$F1331,$F1331))</f>
        <v/>
      </c>
      <c r="AC1331" s="40" t="str">
        <f aca="false">IF($B1331="","",IF(AND(OR(CETAK!$J$10="",$F1331=CETAK!$J$10),OR(CETAK!$J$11="",$G1331=CETAK!$J$11),OR(CETAK!$J$12="",$P1331=CETAK!$J$12),OR(CETAK!$J$13="",$N1331=CETAK!$J$13),OR(CETAK!$J$14="",$T1331=CETAK!$J$14)),MAX($AC$3:AC1330)+1,""))</f>
        <v/>
      </c>
      <c r="AD1331" s="40" t="str">
        <f aca="false">IF($B1331="","",IF(AND(OR(ABSENSI!$H$10="",$F1331=ABSENSI!$H$10),OR(ABSENSI!$H$11="",$G1331=ABSENSI!$H$11),OR(ABSENSI!$H$12="",$P1331=ABSENSI!$H$12)),MAX($AD$3:AD1330)+1,""))</f>
        <v/>
      </c>
      <c r="AE1331" s="40" t="str">
        <f aca="false">IF($B1331="","",IF(AND(OR(KARTU!$K$6="",$F1331=KARTU!$K$6),OR(KARTU!$K$7="",$G1331=KARTU!$K$7),OR(KARTU!$K$8="",$P1331=KARTU!$K$8)),MAX($AE$3:AE1330)+1,""))</f>
        <v/>
      </c>
    </row>
    <row r="1332" customFormat="false" ht="15" hidden="false" customHeight="false" outlineLevel="0" collapsed="false">
      <c r="A1332" s="35" t="str">
        <f aca="false">IF($B1332="","",COUNTA($B$4:$B1332))</f>
        <v/>
      </c>
      <c r="B1332" s="36"/>
      <c r="C1332" s="37"/>
      <c r="D1332" s="37"/>
      <c r="E1332" s="38"/>
      <c r="F1332" s="36"/>
      <c r="G1332" s="39"/>
      <c r="H1332" s="39"/>
      <c r="I1332" s="36"/>
      <c r="J1332" s="36"/>
      <c r="K1332" s="36"/>
      <c r="L1332" s="36"/>
      <c r="M1332" s="40" t="str">
        <f aca="false">IF($F1332="","",$F1332&amp;IF($G1332="",""," - RT "&amp;$G1332&amp;IF($H1332="","","/"&amp;$H1332)))</f>
        <v/>
      </c>
      <c r="N1332" s="36"/>
      <c r="O1332" s="37"/>
      <c r="P1332" s="39"/>
      <c r="Q1332" s="41"/>
      <c r="R1332" s="35" t="str">
        <f aca="true">IF(OR($B1332="",$Q1332=""),"",DATEDIF($Q1332,TODAY(),"Y"))</f>
        <v/>
      </c>
      <c r="S1332" s="40" t="str">
        <f aca="false">IF($R1332="","",INDEX(usia_label,MATCH($R1332,usia_min,1)))</f>
        <v/>
      </c>
      <c r="T1332" s="36"/>
      <c r="U1332" s="41"/>
      <c r="V1332" s="36"/>
      <c r="W1332" s="36"/>
      <c r="X1332" s="40" t="str">
        <f aca="false">IF($M1332="","",$M1332&amp;"#"&amp;COUNTIF($M$4:$M1332,$M1332))</f>
        <v/>
      </c>
      <c r="Y1332" s="40" t="str">
        <f aca="false">IF($B1332="","",IF($C1332="","NIK kosong",IF(LEN($C1332)&lt;&gt;16,"NIK bukan 16 digit",IF(COUNTIF($C$4:$C$2003,$C1332&amp;"*")&gt;1,"NIK ganda",IF(AND($D1332&lt;&gt;"",LEN($D1332)&lt;&gt;16),"No. KK bukan 16 digit",IF(AND($F1332="",$I1332=""),"Alamat kosong",IF($N1332="","Jabatan kosong",IF($O1332="","No. HP kosong",IF(AND($R1332&lt;&gt;"",$R1332&lt;17),"Usia di bawah 17","")))))))))</f>
        <v/>
      </c>
      <c r="Z1332" s="40" t="str">
        <f aca="false">IF($B1332="","",IF(AND(OR(CARI!$C$5="",ISNUMBER(SEARCH(CARI!$C$5,$B1332&amp;" "&amp;$C1332&amp;" "&amp;$D1332&amp;" "&amp;$O1332&amp;" "&amp;$I1332&amp;" "&amp;$F1332&amp;" "&amp;$J1332&amp;" "&amp;$K1332&amp;" "&amp;$L1332&amp;" "&amp;$V1332))),OR(CARI!$C$6="",$F1332=CARI!$C$6),OR(CARI!$C$7="",$G1332=CARI!$C$7),OR(CARI!$C$8="",$T1332=CARI!$C$8)),MAX($Z$3:Z1331)+1,""))</f>
        <v/>
      </c>
      <c r="AA1332" s="40" t="str">
        <f aca="false">IF($Y1332="","",MAX($AA$3:AA1331)+1)</f>
        <v/>
      </c>
      <c r="AB1332" s="40" t="str">
        <f aca="false">IF($F1332="","",$F1332&amp;"#"&amp;COUNTIF($F$4:$F1332,$F1332))</f>
        <v/>
      </c>
      <c r="AC1332" s="40" t="str">
        <f aca="false">IF($B1332="","",IF(AND(OR(CETAK!$J$10="",$F1332=CETAK!$J$10),OR(CETAK!$J$11="",$G1332=CETAK!$J$11),OR(CETAK!$J$12="",$P1332=CETAK!$J$12),OR(CETAK!$J$13="",$N1332=CETAK!$J$13),OR(CETAK!$J$14="",$T1332=CETAK!$J$14)),MAX($AC$3:AC1331)+1,""))</f>
        <v/>
      </c>
      <c r="AD1332" s="40" t="str">
        <f aca="false">IF($B1332="","",IF(AND(OR(ABSENSI!$H$10="",$F1332=ABSENSI!$H$10),OR(ABSENSI!$H$11="",$G1332=ABSENSI!$H$11),OR(ABSENSI!$H$12="",$P1332=ABSENSI!$H$12)),MAX($AD$3:AD1331)+1,""))</f>
        <v/>
      </c>
      <c r="AE1332" s="40" t="str">
        <f aca="false">IF($B1332="","",IF(AND(OR(KARTU!$K$6="",$F1332=KARTU!$K$6),OR(KARTU!$K$7="",$G1332=KARTU!$K$7),OR(KARTU!$K$8="",$P1332=KARTU!$K$8)),MAX($AE$3:AE1331)+1,""))</f>
        <v/>
      </c>
    </row>
    <row r="1333" customFormat="false" ht="15" hidden="false" customHeight="false" outlineLevel="0" collapsed="false">
      <c r="A1333" s="35" t="str">
        <f aca="false">IF($B1333="","",COUNTA($B$4:$B1333))</f>
        <v/>
      </c>
      <c r="B1333" s="36"/>
      <c r="C1333" s="37"/>
      <c r="D1333" s="37"/>
      <c r="E1333" s="38"/>
      <c r="F1333" s="36"/>
      <c r="G1333" s="39"/>
      <c r="H1333" s="39"/>
      <c r="I1333" s="36"/>
      <c r="J1333" s="36"/>
      <c r="K1333" s="36"/>
      <c r="L1333" s="36"/>
      <c r="M1333" s="40" t="str">
        <f aca="false">IF($F1333="","",$F1333&amp;IF($G1333="",""," - RT "&amp;$G1333&amp;IF($H1333="","","/"&amp;$H1333)))</f>
        <v/>
      </c>
      <c r="N1333" s="36"/>
      <c r="O1333" s="37"/>
      <c r="P1333" s="39"/>
      <c r="Q1333" s="41"/>
      <c r="R1333" s="35" t="str">
        <f aca="true">IF(OR($B1333="",$Q1333=""),"",DATEDIF($Q1333,TODAY(),"Y"))</f>
        <v/>
      </c>
      <c r="S1333" s="40" t="str">
        <f aca="false">IF($R1333="","",INDEX(usia_label,MATCH($R1333,usia_min,1)))</f>
        <v/>
      </c>
      <c r="T1333" s="36"/>
      <c r="U1333" s="41"/>
      <c r="V1333" s="36"/>
      <c r="W1333" s="36"/>
      <c r="X1333" s="40" t="str">
        <f aca="false">IF($M1333="","",$M1333&amp;"#"&amp;COUNTIF($M$4:$M1333,$M1333))</f>
        <v/>
      </c>
      <c r="Y1333" s="40" t="str">
        <f aca="false">IF($B1333="","",IF($C1333="","NIK kosong",IF(LEN($C1333)&lt;&gt;16,"NIK bukan 16 digit",IF(COUNTIF($C$4:$C$2003,$C1333&amp;"*")&gt;1,"NIK ganda",IF(AND($D1333&lt;&gt;"",LEN($D1333)&lt;&gt;16),"No. KK bukan 16 digit",IF(AND($F1333="",$I1333=""),"Alamat kosong",IF($N1333="","Jabatan kosong",IF($O1333="","No. HP kosong",IF(AND($R1333&lt;&gt;"",$R1333&lt;17),"Usia di bawah 17","")))))))))</f>
        <v/>
      </c>
      <c r="Z1333" s="40" t="str">
        <f aca="false">IF($B1333="","",IF(AND(OR(CARI!$C$5="",ISNUMBER(SEARCH(CARI!$C$5,$B1333&amp;" "&amp;$C1333&amp;" "&amp;$D1333&amp;" "&amp;$O1333&amp;" "&amp;$I1333&amp;" "&amp;$F1333&amp;" "&amp;$J1333&amp;" "&amp;$K1333&amp;" "&amp;$L1333&amp;" "&amp;$V1333))),OR(CARI!$C$6="",$F1333=CARI!$C$6),OR(CARI!$C$7="",$G1333=CARI!$C$7),OR(CARI!$C$8="",$T1333=CARI!$C$8)),MAX($Z$3:Z1332)+1,""))</f>
        <v/>
      </c>
      <c r="AA1333" s="40" t="str">
        <f aca="false">IF($Y1333="","",MAX($AA$3:AA1332)+1)</f>
        <v/>
      </c>
      <c r="AB1333" s="40" t="str">
        <f aca="false">IF($F1333="","",$F1333&amp;"#"&amp;COUNTIF($F$4:$F1333,$F1333))</f>
        <v/>
      </c>
      <c r="AC1333" s="40" t="str">
        <f aca="false">IF($B1333="","",IF(AND(OR(CETAK!$J$10="",$F1333=CETAK!$J$10),OR(CETAK!$J$11="",$G1333=CETAK!$J$11),OR(CETAK!$J$12="",$P1333=CETAK!$J$12),OR(CETAK!$J$13="",$N1333=CETAK!$J$13),OR(CETAK!$J$14="",$T1333=CETAK!$J$14)),MAX($AC$3:AC1332)+1,""))</f>
        <v/>
      </c>
      <c r="AD1333" s="40" t="str">
        <f aca="false">IF($B1333="","",IF(AND(OR(ABSENSI!$H$10="",$F1333=ABSENSI!$H$10),OR(ABSENSI!$H$11="",$G1333=ABSENSI!$H$11),OR(ABSENSI!$H$12="",$P1333=ABSENSI!$H$12)),MAX($AD$3:AD1332)+1,""))</f>
        <v/>
      </c>
      <c r="AE1333" s="40" t="str">
        <f aca="false">IF($B1333="","",IF(AND(OR(KARTU!$K$6="",$F1333=KARTU!$K$6),OR(KARTU!$K$7="",$G1333=KARTU!$K$7),OR(KARTU!$K$8="",$P1333=KARTU!$K$8)),MAX($AE$3:AE1332)+1,""))</f>
        <v/>
      </c>
    </row>
    <row r="1334" customFormat="false" ht="15" hidden="false" customHeight="false" outlineLevel="0" collapsed="false">
      <c r="A1334" s="35" t="str">
        <f aca="false">IF($B1334="","",COUNTA($B$4:$B1334))</f>
        <v/>
      </c>
      <c r="B1334" s="36"/>
      <c r="C1334" s="37"/>
      <c r="D1334" s="37"/>
      <c r="E1334" s="38"/>
      <c r="F1334" s="36"/>
      <c r="G1334" s="39"/>
      <c r="H1334" s="39"/>
      <c r="I1334" s="36"/>
      <c r="J1334" s="36"/>
      <c r="K1334" s="36"/>
      <c r="L1334" s="36"/>
      <c r="M1334" s="40" t="str">
        <f aca="false">IF($F1334="","",$F1334&amp;IF($G1334="",""," - RT "&amp;$G1334&amp;IF($H1334="","","/"&amp;$H1334)))</f>
        <v/>
      </c>
      <c r="N1334" s="36"/>
      <c r="O1334" s="37"/>
      <c r="P1334" s="39"/>
      <c r="Q1334" s="41"/>
      <c r="R1334" s="35" t="str">
        <f aca="true">IF(OR($B1334="",$Q1334=""),"",DATEDIF($Q1334,TODAY(),"Y"))</f>
        <v/>
      </c>
      <c r="S1334" s="40" t="str">
        <f aca="false">IF($R1334="","",INDEX(usia_label,MATCH($R1334,usia_min,1)))</f>
        <v/>
      </c>
      <c r="T1334" s="36"/>
      <c r="U1334" s="41"/>
      <c r="V1334" s="36"/>
      <c r="W1334" s="36"/>
      <c r="X1334" s="40" t="str">
        <f aca="false">IF($M1334="","",$M1334&amp;"#"&amp;COUNTIF($M$4:$M1334,$M1334))</f>
        <v/>
      </c>
      <c r="Y1334" s="40" t="str">
        <f aca="false">IF($B1334="","",IF($C1334="","NIK kosong",IF(LEN($C1334)&lt;&gt;16,"NIK bukan 16 digit",IF(COUNTIF($C$4:$C$2003,$C1334&amp;"*")&gt;1,"NIK ganda",IF(AND($D1334&lt;&gt;"",LEN($D1334)&lt;&gt;16),"No. KK bukan 16 digit",IF(AND($F1334="",$I1334=""),"Alamat kosong",IF($N1334="","Jabatan kosong",IF($O1334="","No. HP kosong",IF(AND($R1334&lt;&gt;"",$R1334&lt;17),"Usia di bawah 17","")))))))))</f>
        <v/>
      </c>
      <c r="Z1334" s="40" t="str">
        <f aca="false">IF($B1334="","",IF(AND(OR(CARI!$C$5="",ISNUMBER(SEARCH(CARI!$C$5,$B1334&amp;" "&amp;$C1334&amp;" "&amp;$D1334&amp;" "&amp;$O1334&amp;" "&amp;$I1334&amp;" "&amp;$F1334&amp;" "&amp;$J1334&amp;" "&amp;$K1334&amp;" "&amp;$L1334&amp;" "&amp;$V1334))),OR(CARI!$C$6="",$F1334=CARI!$C$6),OR(CARI!$C$7="",$G1334=CARI!$C$7),OR(CARI!$C$8="",$T1334=CARI!$C$8)),MAX($Z$3:Z1333)+1,""))</f>
        <v/>
      </c>
      <c r="AA1334" s="40" t="str">
        <f aca="false">IF($Y1334="","",MAX($AA$3:AA1333)+1)</f>
        <v/>
      </c>
      <c r="AB1334" s="40" t="str">
        <f aca="false">IF($F1334="","",$F1334&amp;"#"&amp;COUNTIF($F$4:$F1334,$F1334))</f>
        <v/>
      </c>
      <c r="AC1334" s="40" t="str">
        <f aca="false">IF($B1334="","",IF(AND(OR(CETAK!$J$10="",$F1334=CETAK!$J$10),OR(CETAK!$J$11="",$G1334=CETAK!$J$11),OR(CETAK!$J$12="",$P1334=CETAK!$J$12),OR(CETAK!$J$13="",$N1334=CETAK!$J$13),OR(CETAK!$J$14="",$T1334=CETAK!$J$14)),MAX($AC$3:AC1333)+1,""))</f>
        <v/>
      </c>
      <c r="AD1334" s="40" t="str">
        <f aca="false">IF($B1334="","",IF(AND(OR(ABSENSI!$H$10="",$F1334=ABSENSI!$H$10),OR(ABSENSI!$H$11="",$G1334=ABSENSI!$H$11),OR(ABSENSI!$H$12="",$P1334=ABSENSI!$H$12)),MAX($AD$3:AD1333)+1,""))</f>
        <v/>
      </c>
      <c r="AE1334" s="40" t="str">
        <f aca="false">IF($B1334="","",IF(AND(OR(KARTU!$K$6="",$F1334=KARTU!$K$6),OR(KARTU!$K$7="",$G1334=KARTU!$K$7),OR(KARTU!$K$8="",$P1334=KARTU!$K$8)),MAX($AE$3:AE1333)+1,""))</f>
        <v/>
      </c>
    </row>
    <row r="1335" customFormat="false" ht="15" hidden="false" customHeight="false" outlineLevel="0" collapsed="false">
      <c r="A1335" s="35" t="str">
        <f aca="false">IF($B1335="","",COUNTA($B$4:$B1335))</f>
        <v/>
      </c>
      <c r="B1335" s="36"/>
      <c r="C1335" s="37"/>
      <c r="D1335" s="37"/>
      <c r="E1335" s="38"/>
      <c r="F1335" s="36"/>
      <c r="G1335" s="39"/>
      <c r="H1335" s="39"/>
      <c r="I1335" s="36"/>
      <c r="J1335" s="36"/>
      <c r="K1335" s="36"/>
      <c r="L1335" s="36"/>
      <c r="M1335" s="40" t="str">
        <f aca="false">IF($F1335="","",$F1335&amp;IF($G1335="",""," - RT "&amp;$G1335&amp;IF($H1335="","","/"&amp;$H1335)))</f>
        <v/>
      </c>
      <c r="N1335" s="36"/>
      <c r="O1335" s="37"/>
      <c r="P1335" s="39"/>
      <c r="Q1335" s="41"/>
      <c r="R1335" s="35" t="str">
        <f aca="true">IF(OR($B1335="",$Q1335=""),"",DATEDIF($Q1335,TODAY(),"Y"))</f>
        <v/>
      </c>
      <c r="S1335" s="40" t="str">
        <f aca="false">IF($R1335="","",INDEX(usia_label,MATCH($R1335,usia_min,1)))</f>
        <v/>
      </c>
      <c r="T1335" s="36"/>
      <c r="U1335" s="41"/>
      <c r="V1335" s="36"/>
      <c r="W1335" s="36"/>
      <c r="X1335" s="40" t="str">
        <f aca="false">IF($M1335="","",$M1335&amp;"#"&amp;COUNTIF($M$4:$M1335,$M1335))</f>
        <v/>
      </c>
      <c r="Y1335" s="40" t="str">
        <f aca="false">IF($B1335="","",IF($C1335="","NIK kosong",IF(LEN($C1335)&lt;&gt;16,"NIK bukan 16 digit",IF(COUNTIF($C$4:$C$2003,$C1335&amp;"*")&gt;1,"NIK ganda",IF(AND($D1335&lt;&gt;"",LEN($D1335)&lt;&gt;16),"No. KK bukan 16 digit",IF(AND($F1335="",$I1335=""),"Alamat kosong",IF($N1335="","Jabatan kosong",IF($O1335="","No. HP kosong",IF(AND($R1335&lt;&gt;"",$R1335&lt;17),"Usia di bawah 17","")))))))))</f>
        <v/>
      </c>
      <c r="Z1335" s="40" t="str">
        <f aca="false">IF($B1335="","",IF(AND(OR(CARI!$C$5="",ISNUMBER(SEARCH(CARI!$C$5,$B1335&amp;" "&amp;$C1335&amp;" "&amp;$D1335&amp;" "&amp;$O1335&amp;" "&amp;$I1335&amp;" "&amp;$F1335&amp;" "&amp;$J1335&amp;" "&amp;$K1335&amp;" "&amp;$L1335&amp;" "&amp;$V1335))),OR(CARI!$C$6="",$F1335=CARI!$C$6),OR(CARI!$C$7="",$G1335=CARI!$C$7),OR(CARI!$C$8="",$T1335=CARI!$C$8)),MAX($Z$3:Z1334)+1,""))</f>
        <v/>
      </c>
      <c r="AA1335" s="40" t="str">
        <f aca="false">IF($Y1335="","",MAX($AA$3:AA1334)+1)</f>
        <v/>
      </c>
      <c r="AB1335" s="40" t="str">
        <f aca="false">IF($F1335="","",$F1335&amp;"#"&amp;COUNTIF($F$4:$F1335,$F1335))</f>
        <v/>
      </c>
      <c r="AC1335" s="40" t="str">
        <f aca="false">IF($B1335="","",IF(AND(OR(CETAK!$J$10="",$F1335=CETAK!$J$10),OR(CETAK!$J$11="",$G1335=CETAK!$J$11),OR(CETAK!$J$12="",$P1335=CETAK!$J$12),OR(CETAK!$J$13="",$N1335=CETAK!$J$13),OR(CETAK!$J$14="",$T1335=CETAK!$J$14)),MAX($AC$3:AC1334)+1,""))</f>
        <v/>
      </c>
      <c r="AD1335" s="40" t="str">
        <f aca="false">IF($B1335="","",IF(AND(OR(ABSENSI!$H$10="",$F1335=ABSENSI!$H$10),OR(ABSENSI!$H$11="",$G1335=ABSENSI!$H$11),OR(ABSENSI!$H$12="",$P1335=ABSENSI!$H$12)),MAX($AD$3:AD1334)+1,""))</f>
        <v/>
      </c>
      <c r="AE1335" s="40" t="str">
        <f aca="false">IF($B1335="","",IF(AND(OR(KARTU!$K$6="",$F1335=KARTU!$K$6),OR(KARTU!$K$7="",$G1335=KARTU!$K$7),OR(KARTU!$K$8="",$P1335=KARTU!$K$8)),MAX($AE$3:AE1334)+1,""))</f>
        <v/>
      </c>
    </row>
    <row r="1336" customFormat="false" ht="15" hidden="false" customHeight="false" outlineLevel="0" collapsed="false">
      <c r="A1336" s="35" t="str">
        <f aca="false">IF($B1336="","",COUNTA($B$4:$B1336))</f>
        <v/>
      </c>
      <c r="B1336" s="36"/>
      <c r="C1336" s="37"/>
      <c r="D1336" s="37"/>
      <c r="E1336" s="38"/>
      <c r="F1336" s="36"/>
      <c r="G1336" s="39"/>
      <c r="H1336" s="39"/>
      <c r="I1336" s="36"/>
      <c r="J1336" s="36"/>
      <c r="K1336" s="36"/>
      <c r="L1336" s="36"/>
      <c r="M1336" s="40" t="str">
        <f aca="false">IF($F1336="","",$F1336&amp;IF($G1336="",""," - RT "&amp;$G1336&amp;IF($H1336="","","/"&amp;$H1336)))</f>
        <v/>
      </c>
      <c r="N1336" s="36"/>
      <c r="O1336" s="37"/>
      <c r="P1336" s="39"/>
      <c r="Q1336" s="41"/>
      <c r="R1336" s="35" t="str">
        <f aca="true">IF(OR($B1336="",$Q1336=""),"",DATEDIF($Q1336,TODAY(),"Y"))</f>
        <v/>
      </c>
      <c r="S1336" s="40" t="str">
        <f aca="false">IF($R1336="","",INDEX(usia_label,MATCH($R1336,usia_min,1)))</f>
        <v/>
      </c>
      <c r="T1336" s="36"/>
      <c r="U1336" s="41"/>
      <c r="V1336" s="36"/>
      <c r="W1336" s="36"/>
      <c r="X1336" s="40" t="str">
        <f aca="false">IF($M1336="","",$M1336&amp;"#"&amp;COUNTIF($M$4:$M1336,$M1336))</f>
        <v/>
      </c>
      <c r="Y1336" s="40" t="str">
        <f aca="false">IF($B1336="","",IF($C1336="","NIK kosong",IF(LEN($C1336)&lt;&gt;16,"NIK bukan 16 digit",IF(COUNTIF($C$4:$C$2003,$C1336&amp;"*")&gt;1,"NIK ganda",IF(AND($D1336&lt;&gt;"",LEN($D1336)&lt;&gt;16),"No. KK bukan 16 digit",IF(AND($F1336="",$I1336=""),"Alamat kosong",IF($N1336="","Jabatan kosong",IF($O1336="","No. HP kosong",IF(AND($R1336&lt;&gt;"",$R1336&lt;17),"Usia di bawah 17","")))))))))</f>
        <v/>
      </c>
      <c r="Z1336" s="40" t="str">
        <f aca="false">IF($B1336="","",IF(AND(OR(CARI!$C$5="",ISNUMBER(SEARCH(CARI!$C$5,$B1336&amp;" "&amp;$C1336&amp;" "&amp;$D1336&amp;" "&amp;$O1336&amp;" "&amp;$I1336&amp;" "&amp;$F1336&amp;" "&amp;$J1336&amp;" "&amp;$K1336&amp;" "&amp;$L1336&amp;" "&amp;$V1336))),OR(CARI!$C$6="",$F1336=CARI!$C$6),OR(CARI!$C$7="",$G1336=CARI!$C$7),OR(CARI!$C$8="",$T1336=CARI!$C$8)),MAX($Z$3:Z1335)+1,""))</f>
        <v/>
      </c>
      <c r="AA1336" s="40" t="str">
        <f aca="false">IF($Y1336="","",MAX($AA$3:AA1335)+1)</f>
        <v/>
      </c>
      <c r="AB1336" s="40" t="str">
        <f aca="false">IF($F1336="","",$F1336&amp;"#"&amp;COUNTIF($F$4:$F1336,$F1336))</f>
        <v/>
      </c>
      <c r="AC1336" s="40" t="str">
        <f aca="false">IF($B1336="","",IF(AND(OR(CETAK!$J$10="",$F1336=CETAK!$J$10),OR(CETAK!$J$11="",$G1336=CETAK!$J$11),OR(CETAK!$J$12="",$P1336=CETAK!$J$12),OR(CETAK!$J$13="",$N1336=CETAK!$J$13),OR(CETAK!$J$14="",$T1336=CETAK!$J$14)),MAX($AC$3:AC1335)+1,""))</f>
        <v/>
      </c>
      <c r="AD1336" s="40" t="str">
        <f aca="false">IF($B1336="","",IF(AND(OR(ABSENSI!$H$10="",$F1336=ABSENSI!$H$10),OR(ABSENSI!$H$11="",$G1336=ABSENSI!$H$11),OR(ABSENSI!$H$12="",$P1336=ABSENSI!$H$12)),MAX($AD$3:AD1335)+1,""))</f>
        <v/>
      </c>
      <c r="AE1336" s="40" t="str">
        <f aca="false">IF($B1336="","",IF(AND(OR(KARTU!$K$6="",$F1336=KARTU!$K$6),OR(KARTU!$K$7="",$G1336=KARTU!$K$7),OR(KARTU!$K$8="",$P1336=KARTU!$K$8)),MAX($AE$3:AE1335)+1,""))</f>
        <v/>
      </c>
    </row>
    <row r="1337" customFormat="false" ht="15" hidden="false" customHeight="false" outlineLevel="0" collapsed="false">
      <c r="A1337" s="35" t="str">
        <f aca="false">IF($B1337="","",COUNTA($B$4:$B1337))</f>
        <v/>
      </c>
      <c r="B1337" s="36"/>
      <c r="C1337" s="37"/>
      <c r="D1337" s="37"/>
      <c r="E1337" s="38"/>
      <c r="F1337" s="36"/>
      <c r="G1337" s="39"/>
      <c r="H1337" s="39"/>
      <c r="I1337" s="36"/>
      <c r="J1337" s="36"/>
      <c r="K1337" s="36"/>
      <c r="L1337" s="36"/>
      <c r="M1337" s="40" t="str">
        <f aca="false">IF($F1337="","",$F1337&amp;IF($G1337="",""," - RT "&amp;$G1337&amp;IF($H1337="","","/"&amp;$H1337)))</f>
        <v/>
      </c>
      <c r="N1337" s="36"/>
      <c r="O1337" s="37"/>
      <c r="P1337" s="39"/>
      <c r="Q1337" s="41"/>
      <c r="R1337" s="35" t="str">
        <f aca="true">IF(OR($B1337="",$Q1337=""),"",DATEDIF($Q1337,TODAY(),"Y"))</f>
        <v/>
      </c>
      <c r="S1337" s="40" t="str">
        <f aca="false">IF($R1337="","",INDEX(usia_label,MATCH($R1337,usia_min,1)))</f>
        <v/>
      </c>
      <c r="T1337" s="36"/>
      <c r="U1337" s="41"/>
      <c r="V1337" s="36"/>
      <c r="W1337" s="36"/>
      <c r="X1337" s="40" t="str">
        <f aca="false">IF($M1337="","",$M1337&amp;"#"&amp;COUNTIF($M$4:$M1337,$M1337))</f>
        <v/>
      </c>
      <c r="Y1337" s="40" t="str">
        <f aca="false">IF($B1337="","",IF($C1337="","NIK kosong",IF(LEN($C1337)&lt;&gt;16,"NIK bukan 16 digit",IF(COUNTIF($C$4:$C$2003,$C1337&amp;"*")&gt;1,"NIK ganda",IF(AND($D1337&lt;&gt;"",LEN($D1337)&lt;&gt;16),"No. KK bukan 16 digit",IF(AND($F1337="",$I1337=""),"Alamat kosong",IF($N1337="","Jabatan kosong",IF($O1337="","No. HP kosong",IF(AND($R1337&lt;&gt;"",$R1337&lt;17),"Usia di bawah 17","")))))))))</f>
        <v/>
      </c>
      <c r="Z1337" s="40" t="str">
        <f aca="false">IF($B1337="","",IF(AND(OR(CARI!$C$5="",ISNUMBER(SEARCH(CARI!$C$5,$B1337&amp;" "&amp;$C1337&amp;" "&amp;$D1337&amp;" "&amp;$O1337&amp;" "&amp;$I1337&amp;" "&amp;$F1337&amp;" "&amp;$J1337&amp;" "&amp;$K1337&amp;" "&amp;$L1337&amp;" "&amp;$V1337))),OR(CARI!$C$6="",$F1337=CARI!$C$6),OR(CARI!$C$7="",$G1337=CARI!$C$7),OR(CARI!$C$8="",$T1337=CARI!$C$8)),MAX($Z$3:Z1336)+1,""))</f>
        <v/>
      </c>
      <c r="AA1337" s="40" t="str">
        <f aca="false">IF($Y1337="","",MAX($AA$3:AA1336)+1)</f>
        <v/>
      </c>
      <c r="AB1337" s="40" t="str">
        <f aca="false">IF($F1337="","",$F1337&amp;"#"&amp;COUNTIF($F$4:$F1337,$F1337))</f>
        <v/>
      </c>
      <c r="AC1337" s="40" t="str">
        <f aca="false">IF($B1337="","",IF(AND(OR(CETAK!$J$10="",$F1337=CETAK!$J$10),OR(CETAK!$J$11="",$G1337=CETAK!$J$11),OR(CETAK!$J$12="",$P1337=CETAK!$J$12),OR(CETAK!$J$13="",$N1337=CETAK!$J$13),OR(CETAK!$J$14="",$T1337=CETAK!$J$14)),MAX($AC$3:AC1336)+1,""))</f>
        <v/>
      </c>
      <c r="AD1337" s="40" t="str">
        <f aca="false">IF($B1337="","",IF(AND(OR(ABSENSI!$H$10="",$F1337=ABSENSI!$H$10),OR(ABSENSI!$H$11="",$G1337=ABSENSI!$H$11),OR(ABSENSI!$H$12="",$P1337=ABSENSI!$H$12)),MAX($AD$3:AD1336)+1,""))</f>
        <v/>
      </c>
      <c r="AE1337" s="40" t="str">
        <f aca="false">IF($B1337="","",IF(AND(OR(KARTU!$K$6="",$F1337=KARTU!$K$6),OR(KARTU!$K$7="",$G1337=KARTU!$K$7),OR(KARTU!$K$8="",$P1337=KARTU!$K$8)),MAX($AE$3:AE1336)+1,""))</f>
        <v/>
      </c>
    </row>
    <row r="1338" customFormat="false" ht="15" hidden="false" customHeight="false" outlineLevel="0" collapsed="false">
      <c r="A1338" s="35" t="str">
        <f aca="false">IF($B1338="","",COUNTA($B$4:$B1338))</f>
        <v/>
      </c>
      <c r="B1338" s="36"/>
      <c r="C1338" s="37"/>
      <c r="D1338" s="37"/>
      <c r="E1338" s="38"/>
      <c r="F1338" s="36"/>
      <c r="G1338" s="39"/>
      <c r="H1338" s="39"/>
      <c r="I1338" s="36"/>
      <c r="J1338" s="36"/>
      <c r="K1338" s="36"/>
      <c r="L1338" s="36"/>
      <c r="M1338" s="40" t="str">
        <f aca="false">IF($F1338="","",$F1338&amp;IF($G1338="",""," - RT "&amp;$G1338&amp;IF($H1338="","","/"&amp;$H1338)))</f>
        <v/>
      </c>
      <c r="N1338" s="36"/>
      <c r="O1338" s="37"/>
      <c r="P1338" s="39"/>
      <c r="Q1338" s="41"/>
      <c r="R1338" s="35" t="str">
        <f aca="true">IF(OR($B1338="",$Q1338=""),"",DATEDIF($Q1338,TODAY(),"Y"))</f>
        <v/>
      </c>
      <c r="S1338" s="40" t="str">
        <f aca="false">IF($R1338="","",INDEX(usia_label,MATCH($R1338,usia_min,1)))</f>
        <v/>
      </c>
      <c r="T1338" s="36"/>
      <c r="U1338" s="41"/>
      <c r="V1338" s="36"/>
      <c r="W1338" s="36"/>
      <c r="X1338" s="40" t="str">
        <f aca="false">IF($M1338="","",$M1338&amp;"#"&amp;COUNTIF($M$4:$M1338,$M1338))</f>
        <v/>
      </c>
      <c r="Y1338" s="40" t="str">
        <f aca="false">IF($B1338="","",IF($C1338="","NIK kosong",IF(LEN($C1338)&lt;&gt;16,"NIK bukan 16 digit",IF(COUNTIF($C$4:$C$2003,$C1338&amp;"*")&gt;1,"NIK ganda",IF(AND($D1338&lt;&gt;"",LEN($D1338)&lt;&gt;16),"No. KK bukan 16 digit",IF(AND($F1338="",$I1338=""),"Alamat kosong",IF($N1338="","Jabatan kosong",IF($O1338="","No. HP kosong",IF(AND($R1338&lt;&gt;"",$R1338&lt;17),"Usia di bawah 17","")))))))))</f>
        <v/>
      </c>
      <c r="Z1338" s="40" t="str">
        <f aca="false">IF($B1338="","",IF(AND(OR(CARI!$C$5="",ISNUMBER(SEARCH(CARI!$C$5,$B1338&amp;" "&amp;$C1338&amp;" "&amp;$D1338&amp;" "&amp;$O1338&amp;" "&amp;$I1338&amp;" "&amp;$F1338&amp;" "&amp;$J1338&amp;" "&amp;$K1338&amp;" "&amp;$L1338&amp;" "&amp;$V1338))),OR(CARI!$C$6="",$F1338=CARI!$C$6),OR(CARI!$C$7="",$G1338=CARI!$C$7),OR(CARI!$C$8="",$T1338=CARI!$C$8)),MAX($Z$3:Z1337)+1,""))</f>
        <v/>
      </c>
      <c r="AA1338" s="40" t="str">
        <f aca="false">IF($Y1338="","",MAX($AA$3:AA1337)+1)</f>
        <v/>
      </c>
      <c r="AB1338" s="40" t="str">
        <f aca="false">IF($F1338="","",$F1338&amp;"#"&amp;COUNTIF($F$4:$F1338,$F1338))</f>
        <v/>
      </c>
      <c r="AC1338" s="40" t="str">
        <f aca="false">IF($B1338="","",IF(AND(OR(CETAK!$J$10="",$F1338=CETAK!$J$10),OR(CETAK!$J$11="",$G1338=CETAK!$J$11),OR(CETAK!$J$12="",$P1338=CETAK!$J$12),OR(CETAK!$J$13="",$N1338=CETAK!$J$13),OR(CETAK!$J$14="",$T1338=CETAK!$J$14)),MAX($AC$3:AC1337)+1,""))</f>
        <v/>
      </c>
      <c r="AD1338" s="40" t="str">
        <f aca="false">IF($B1338="","",IF(AND(OR(ABSENSI!$H$10="",$F1338=ABSENSI!$H$10),OR(ABSENSI!$H$11="",$G1338=ABSENSI!$H$11),OR(ABSENSI!$H$12="",$P1338=ABSENSI!$H$12)),MAX($AD$3:AD1337)+1,""))</f>
        <v/>
      </c>
      <c r="AE1338" s="40" t="str">
        <f aca="false">IF($B1338="","",IF(AND(OR(KARTU!$K$6="",$F1338=KARTU!$K$6),OR(KARTU!$K$7="",$G1338=KARTU!$K$7),OR(KARTU!$K$8="",$P1338=KARTU!$K$8)),MAX($AE$3:AE1337)+1,""))</f>
        <v/>
      </c>
    </row>
    <row r="1339" customFormat="false" ht="15" hidden="false" customHeight="false" outlineLevel="0" collapsed="false">
      <c r="A1339" s="35" t="str">
        <f aca="false">IF($B1339="","",COUNTA($B$4:$B1339))</f>
        <v/>
      </c>
      <c r="B1339" s="36"/>
      <c r="C1339" s="37"/>
      <c r="D1339" s="37"/>
      <c r="E1339" s="38"/>
      <c r="F1339" s="36"/>
      <c r="G1339" s="39"/>
      <c r="H1339" s="39"/>
      <c r="I1339" s="36"/>
      <c r="J1339" s="36"/>
      <c r="K1339" s="36"/>
      <c r="L1339" s="36"/>
      <c r="M1339" s="40" t="str">
        <f aca="false">IF($F1339="","",$F1339&amp;IF($G1339="",""," - RT "&amp;$G1339&amp;IF($H1339="","","/"&amp;$H1339)))</f>
        <v/>
      </c>
      <c r="N1339" s="36"/>
      <c r="O1339" s="37"/>
      <c r="P1339" s="39"/>
      <c r="Q1339" s="41"/>
      <c r="R1339" s="35" t="str">
        <f aca="true">IF(OR($B1339="",$Q1339=""),"",DATEDIF($Q1339,TODAY(),"Y"))</f>
        <v/>
      </c>
      <c r="S1339" s="40" t="str">
        <f aca="false">IF($R1339="","",INDEX(usia_label,MATCH($R1339,usia_min,1)))</f>
        <v/>
      </c>
      <c r="T1339" s="36"/>
      <c r="U1339" s="41"/>
      <c r="V1339" s="36"/>
      <c r="W1339" s="36"/>
      <c r="X1339" s="40" t="str">
        <f aca="false">IF($M1339="","",$M1339&amp;"#"&amp;COUNTIF($M$4:$M1339,$M1339))</f>
        <v/>
      </c>
      <c r="Y1339" s="40" t="str">
        <f aca="false">IF($B1339="","",IF($C1339="","NIK kosong",IF(LEN($C1339)&lt;&gt;16,"NIK bukan 16 digit",IF(COUNTIF($C$4:$C$2003,$C1339&amp;"*")&gt;1,"NIK ganda",IF(AND($D1339&lt;&gt;"",LEN($D1339)&lt;&gt;16),"No. KK bukan 16 digit",IF(AND($F1339="",$I1339=""),"Alamat kosong",IF($N1339="","Jabatan kosong",IF($O1339="","No. HP kosong",IF(AND($R1339&lt;&gt;"",$R1339&lt;17),"Usia di bawah 17","")))))))))</f>
        <v/>
      </c>
      <c r="Z1339" s="40" t="str">
        <f aca="false">IF($B1339="","",IF(AND(OR(CARI!$C$5="",ISNUMBER(SEARCH(CARI!$C$5,$B1339&amp;" "&amp;$C1339&amp;" "&amp;$D1339&amp;" "&amp;$O1339&amp;" "&amp;$I1339&amp;" "&amp;$F1339&amp;" "&amp;$J1339&amp;" "&amp;$K1339&amp;" "&amp;$L1339&amp;" "&amp;$V1339))),OR(CARI!$C$6="",$F1339=CARI!$C$6),OR(CARI!$C$7="",$G1339=CARI!$C$7),OR(CARI!$C$8="",$T1339=CARI!$C$8)),MAX($Z$3:Z1338)+1,""))</f>
        <v/>
      </c>
      <c r="AA1339" s="40" t="str">
        <f aca="false">IF($Y1339="","",MAX($AA$3:AA1338)+1)</f>
        <v/>
      </c>
      <c r="AB1339" s="40" t="str">
        <f aca="false">IF($F1339="","",$F1339&amp;"#"&amp;COUNTIF($F$4:$F1339,$F1339))</f>
        <v/>
      </c>
      <c r="AC1339" s="40" t="str">
        <f aca="false">IF($B1339="","",IF(AND(OR(CETAK!$J$10="",$F1339=CETAK!$J$10),OR(CETAK!$J$11="",$G1339=CETAK!$J$11),OR(CETAK!$J$12="",$P1339=CETAK!$J$12),OR(CETAK!$J$13="",$N1339=CETAK!$J$13),OR(CETAK!$J$14="",$T1339=CETAK!$J$14)),MAX($AC$3:AC1338)+1,""))</f>
        <v/>
      </c>
      <c r="AD1339" s="40" t="str">
        <f aca="false">IF($B1339="","",IF(AND(OR(ABSENSI!$H$10="",$F1339=ABSENSI!$H$10),OR(ABSENSI!$H$11="",$G1339=ABSENSI!$H$11),OR(ABSENSI!$H$12="",$P1339=ABSENSI!$H$12)),MAX($AD$3:AD1338)+1,""))</f>
        <v/>
      </c>
      <c r="AE1339" s="40" t="str">
        <f aca="false">IF($B1339="","",IF(AND(OR(KARTU!$K$6="",$F1339=KARTU!$K$6),OR(KARTU!$K$7="",$G1339=KARTU!$K$7),OR(KARTU!$K$8="",$P1339=KARTU!$K$8)),MAX($AE$3:AE1338)+1,""))</f>
        <v/>
      </c>
    </row>
    <row r="1340" customFormat="false" ht="15" hidden="false" customHeight="false" outlineLevel="0" collapsed="false">
      <c r="A1340" s="35" t="str">
        <f aca="false">IF($B1340="","",COUNTA($B$4:$B1340))</f>
        <v/>
      </c>
      <c r="B1340" s="36"/>
      <c r="C1340" s="37"/>
      <c r="D1340" s="37"/>
      <c r="E1340" s="38"/>
      <c r="F1340" s="36"/>
      <c r="G1340" s="39"/>
      <c r="H1340" s="39"/>
      <c r="I1340" s="36"/>
      <c r="J1340" s="36"/>
      <c r="K1340" s="36"/>
      <c r="L1340" s="36"/>
      <c r="M1340" s="40" t="str">
        <f aca="false">IF($F1340="","",$F1340&amp;IF($G1340="",""," - RT "&amp;$G1340&amp;IF($H1340="","","/"&amp;$H1340)))</f>
        <v/>
      </c>
      <c r="N1340" s="36"/>
      <c r="O1340" s="37"/>
      <c r="P1340" s="39"/>
      <c r="Q1340" s="41"/>
      <c r="R1340" s="35" t="str">
        <f aca="true">IF(OR($B1340="",$Q1340=""),"",DATEDIF($Q1340,TODAY(),"Y"))</f>
        <v/>
      </c>
      <c r="S1340" s="40" t="str">
        <f aca="false">IF($R1340="","",INDEX(usia_label,MATCH($R1340,usia_min,1)))</f>
        <v/>
      </c>
      <c r="T1340" s="36"/>
      <c r="U1340" s="41"/>
      <c r="V1340" s="36"/>
      <c r="W1340" s="36"/>
      <c r="X1340" s="40" t="str">
        <f aca="false">IF($M1340="","",$M1340&amp;"#"&amp;COUNTIF($M$4:$M1340,$M1340))</f>
        <v/>
      </c>
      <c r="Y1340" s="40" t="str">
        <f aca="false">IF($B1340="","",IF($C1340="","NIK kosong",IF(LEN($C1340)&lt;&gt;16,"NIK bukan 16 digit",IF(COUNTIF($C$4:$C$2003,$C1340&amp;"*")&gt;1,"NIK ganda",IF(AND($D1340&lt;&gt;"",LEN($D1340)&lt;&gt;16),"No. KK bukan 16 digit",IF(AND($F1340="",$I1340=""),"Alamat kosong",IF($N1340="","Jabatan kosong",IF($O1340="","No. HP kosong",IF(AND($R1340&lt;&gt;"",$R1340&lt;17),"Usia di bawah 17","")))))))))</f>
        <v/>
      </c>
      <c r="Z1340" s="40" t="str">
        <f aca="false">IF($B1340="","",IF(AND(OR(CARI!$C$5="",ISNUMBER(SEARCH(CARI!$C$5,$B1340&amp;" "&amp;$C1340&amp;" "&amp;$D1340&amp;" "&amp;$O1340&amp;" "&amp;$I1340&amp;" "&amp;$F1340&amp;" "&amp;$J1340&amp;" "&amp;$K1340&amp;" "&amp;$L1340&amp;" "&amp;$V1340))),OR(CARI!$C$6="",$F1340=CARI!$C$6),OR(CARI!$C$7="",$G1340=CARI!$C$7),OR(CARI!$C$8="",$T1340=CARI!$C$8)),MAX($Z$3:Z1339)+1,""))</f>
        <v/>
      </c>
      <c r="AA1340" s="40" t="str">
        <f aca="false">IF($Y1340="","",MAX($AA$3:AA1339)+1)</f>
        <v/>
      </c>
      <c r="AB1340" s="40" t="str">
        <f aca="false">IF($F1340="","",$F1340&amp;"#"&amp;COUNTIF($F$4:$F1340,$F1340))</f>
        <v/>
      </c>
      <c r="AC1340" s="40" t="str">
        <f aca="false">IF($B1340="","",IF(AND(OR(CETAK!$J$10="",$F1340=CETAK!$J$10),OR(CETAK!$J$11="",$G1340=CETAK!$J$11),OR(CETAK!$J$12="",$P1340=CETAK!$J$12),OR(CETAK!$J$13="",$N1340=CETAK!$J$13),OR(CETAK!$J$14="",$T1340=CETAK!$J$14)),MAX($AC$3:AC1339)+1,""))</f>
        <v/>
      </c>
      <c r="AD1340" s="40" t="str">
        <f aca="false">IF($B1340="","",IF(AND(OR(ABSENSI!$H$10="",$F1340=ABSENSI!$H$10),OR(ABSENSI!$H$11="",$G1340=ABSENSI!$H$11),OR(ABSENSI!$H$12="",$P1340=ABSENSI!$H$12)),MAX($AD$3:AD1339)+1,""))</f>
        <v/>
      </c>
      <c r="AE1340" s="40" t="str">
        <f aca="false">IF($B1340="","",IF(AND(OR(KARTU!$K$6="",$F1340=KARTU!$K$6),OR(KARTU!$K$7="",$G1340=KARTU!$K$7),OR(KARTU!$K$8="",$P1340=KARTU!$K$8)),MAX($AE$3:AE1339)+1,""))</f>
        <v/>
      </c>
    </row>
    <row r="1341" customFormat="false" ht="15" hidden="false" customHeight="false" outlineLevel="0" collapsed="false">
      <c r="A1341" s="35" t="str">
        <f aca="false">IF($B1341="","",COUNTA($B$4:$B1341))</f>
        <v/>
      </c>
      <c r="B1341" s="36"/>
      <c r="C1341" s="37"/>
      <c r="D1341" s="37"/>
      <c r="E1341" s="38"/>
      <c r="F1341" s="36"/>
      <c r="G1341" s="39"/>
      <c r="H1341" s="39"/>
      <c r="I1341" s="36"/>
      <c r="J1341" s="36"/>
      <c r="K1341" s="36"/>
      <c r="L1341" s="36"/>
      <c r="M1341" s="40" t="str">
        <f aca="false">IF($F1341="","",$F1341&amp;IF($G1341="",""," - RT "&amp;$G1341&amp;IF($H1341="","","/"&amp;$H1341)))</f>
        <v/>
      </c>
      <c r="N1341" s="36"/>
      <c r="O1341" s="37"/>
      <c r="P1341" s="39"/>
      <c r="Q1341" s="41"/>
      <c r="R1341" s="35" t="str">
        <f aca="true">IF(OR($B1341="",$Q1341=""),"",DATEDIF($Q1341,TODAY(),"Y"))</f>
        <v/>
      </c>
      <c r="S1341" s="40" t="str">
        <f aca="false">IF($R1341="","",INDEX(usia_label,MATCH($R1341,usia_min,1)))</f>
        <v/>
      </c>
      <c r="T1341" s="36"/>
      <c r="U1341" s="41"/>
      <c r="V1341" s="36"/>
      <c r="W1341" s="36"/>
      <c r="X1341" s="40" t="str">
        <f aca="false">IF($M1341="","",$M1341&amp;"#"&amp;COUNTIF($M$4:$M1341,$M1341))</f>
        <v/>
      </c>
      <c r="Y1341" s="40" t="str">
        <f aca="false">IF($B1341="","",IF($C1341="","NIK kosong",IF(LEN($C1341)&lt;&gt;16,"NIK bukan 16 digit",IF(COUNTIF($C$4:$C$2003,$C1341&amp;"*")&gt;1,"NIK ganda",IF(AND($D1341&lt;&gt;"",LEN($D1341)&lt;&gt;16),"No. KK bukan 16 digit",IF(AND($F1341="",$I1341=""),"Alamat kosong",IF($N1341="","Jabatan kosong",IF($O1341="","No. HP kosong",IF(AND($R1341&lt;&gt;"",$R1341&lt;17),"Usia di bawah 17","")))))))))</f>
        <v/>
      </c>
      <c r="Z1341" s="40" t="str">
        <f aca="false">IF($B1341="","",IF(AND(OR(CARI!$C$5="",ISNUMBER(SEARCH(CARI!$C$5,$B1341&amp;" "&amp;$C1341&amp;" "&amp;$D1341&amp;" "&amp;$O1341&amp;" "&amp;$I1341&amp;" "&amp;$F1341&amp;" "&amp;$J1341&amp;" "&amp;$K1341&amp;" "&amp;$L1341&amp;" "&amp;$V1341))),OR(CARI!$C$6="",$F1341=CARI!$C$6),OR(CARI!$C$7="",$G1341=CARI!$C$7),OR(CARI!$C$8="",$T1341=CARI!$C$8)),MAX($Z$3:Z1340)+1,""))</f>
        <v/>
      </c>
      <c r="AA1341" s="40" t="str">
        <f aca="false">IF($Y1341="","",MAX($AA$3:AA1340)+1)</f>
        <v/>
      </c>
      <c r="AB1341" s="40" t="str">
        <f aca="false">IF($F1341="","",$F1341&amp;"#"&amp;COUNTIF($F$4:$F1341,$F1341))</f>
        <v/>
      </c>
      <c r="AC1341" s="40" t="str">
        <f aca="false">IF($B1341="","",IF(AND(OR(CETAK!$J$10="",$F1341=CETAK!$J$10),OR(CETAK!$J$11="",$G1341=CETAK!$J$11),OR(CETAK!$J$12="",$P1341=CETAK!$J$12),OR(CETAK!$J$13="",$N1341=CETAK!$J$13),OR(CETAK!$J$14="",$T1341=CETAK!$J$14)),MAX($AC$3:AC1340)+1,""))</f>
        <v/>
      </c>
      <c r="AD1341" s="40" t="str">
        <f aca="false">IF($B1341="","",IF(AND(OR(ABSENSI!$H$10="",$F1341=ABSENSI!$H$10),OR(ABSENSI!$H$11="",$G1341=ABSENSI!$H$11),OR(ABSENSI!$H$12="",$P1341=ABSENSI!$H$12)),MAX($AD$3:AD1340)+1,""))</f>
        <v/>
      </c>
      <c r="AE1341" s="40" t="str">
        <f aca="false">IF($B1341="","",IF(AND(OR(KARTU!$K$6="",$F1341=KARTU!$K$6),OR(KARTU!$K$7="",$G1341=KARTU!$K$7),OR(KARTU!$K$8="",$P1341=KARTU!$K$8)),MAX($AE$3:AE1340)+1,""))</f>
        <v/>
      </c>
    </row>
    <row r="1342" customFormat="false" ht="15" hidden="false" customHeight="false" outlineLevel="0" collapsed="false">
      <c r="A1342" s="35" t="str">
        <f aca="false">IF($B1342="","",COUNTA($B$4:$B1342))</f>
        <v/>
      </c>
      <c r="B1342" s="36"/>
      <c r="C1342" s="37"/>
      <c r="D1342" s="37"/>
      <c r="E1342" s="38"/>
      <c r="F1342" s="36"/>
      <c r="G1342" s="39"/>
      <c r="H1342" s="39"/>
      <c r="I1342" s="36"/>
      <c r="J1342" s="36"/>
      <c r="K1342" s="36"/>
      <c r="L1342" s="36"/>
      <c r="M1342" s="40" t="str">
        <f aca="false">IF($F1342="","",$F1342&amp;IF($G1342="",""," - RT "&amp;$G1342&amp;IF($H1342="","","/"&amp;$H1342)))</f>
        <v/>
      </c>
      <c r="N1342" s="36"/>
      <c r="O1342" s="37"/>
      <c r="P1342" s="39"/>
      <c r="Q1342" s="41"/>
      <c r="R1342" s="35" t="str">
        <f aca="true">IF(OR($B1342="",$Q1342=""),"",DATEDIF($Q1342,TODAY(),"Y"))</f>
        <v/>
      </c>
      <c r="S1342" s="40" t="str">
        <f aca="false">IF($R1342="","",INDEX(usia_label,MATCH($R1342,usia_min,1)))</f>
        <v/>
      </c>
      <c r="T1342" s="36"/>
      <c r="U1342" s="41"/>
      <c r="V1342" s="36"/>
      <c r="W1342" s="36"/>
      <c r="X1342" s="40" t="str">
        <f aca="false">IF($M1342="","",$M1342&amp;"#"&amp;COUNTIF($M$4:$M1342,$M1342))</f>
        <v/>
      </c>
      <c r="Y1342" s="40" t="str">
        <f aca="false">IF($B1342="","",IF($C1342="","NIK kosong",IF(LEN($C1342)&lt;&gt;16,"NIK bukan 16 digit",IF(COUNTIF($C$4:$C$2003,$C1342&amp;"*")&gt;1,"NIK ganda",IF(AND($D1342&lt;&gt;"",LEN($D1342)&lt;&gt;16),"No. KK bukan 16 digit",IF(AND($F1342="",$I1342=""),"Alamat kosong",IF($N1342="","Jabatan kosong",IF($O1342="","No. HP kosong",IF(AND($R1342&lt;&gt;"",$R1342&lt;17),"Usia di bawah 17","")))))))))</f>
        <v/>
      </c>
      <c r="Z1342" s="40" t="str">
        <f aca="false">IF($B1342="","",IF(AND(OR(CARI!$C$5="",ISNUMBER(SEARCH(CARI!$C$5,$B1342&amp;" "&amp;$C1342&amp;" "&amp;$D1342&amp;" "&amp;$O1342&amp;" "&amp;$I1342&amp;" "&amp;$F1342&amp;" "&amp;$J1342&amp;" "&amp;$K1342&amp;" "&amp;$L1342&amp;" "&amp;$V1342))),OR(CARI!$C$6="",$F1342=CARI!$C$6),OR(CARI!$C$7="",$G1342=CARI!$C$7),OR(CARI!$C$8="",$T1342=CARI!$C$8)),MAX($Z$3:Z1341)+1,""))</f>
        <v/>
      </c>
      <c r="AA1342" s="40" t="str">
        <f aca="false">IF($Y1342="","",MAX($AA$3:AA1341)+1)</f>
        <v/>
      </c>
      <c r="AB1342" s="40" t="str">
        <f aca="false">IF($F1342="","",$F1342&amp;"#"&amp;COUNTIF($F$4:$F1342,$F1342))</f>
        <v/>
      </c>
      <c r="AC1342" s="40" t="str">
        <f aca="false">IF($B1342="","",IF(AND(OR(CETAK!$J$10="",$F1342=CETAK!$J$10),OR(CETAK!$J$11="",$G1342=CETAK!$J$11),OR(CETAK!$J$12="",$P1342=CETAK!$J$12),OR(CETAK!$J$13="",$N1342=CETAK!$J$13),OR(CETAK!$J$14="",$T1342=CETAK!$J$14)),MAX($AC$3:AC1341)+1,""))</f>
        <v/>
      </c>
      <c r="AD1342" s="40" t="str">
        <f aca="false">IF($B1342="","",IF(AND(OR(ABSENSI!$H$10="",$F1342=ABSENSI!$H$10),OR(ABSENSI!$H$11="",$G1342=ABSENSI!$H$11),OR(ABSENSI!$H$12="",$P1342=ABSENSI!$H$12)),MAX($AD$3:AD1341)+1,""))</f>
        <v/>
      </c>
      <c r="AE1342" s="40" t="str">
        <f aca="false">IF($B1342="","",IF(AND(OR(KARTU!$K$6="",$F1342=KARTU!$K$6),OR(KARTU!$K$7="",$G1342=KARTU!$K$7),OR(KARTU!$K$8="",$P1342=KARTU!$K$8)),MAX($AE$3:AE1341)+1,""))</f>
        <v/>
      </c>
    </row>
    <row r="1343" customFormat="false" ht="15" hidden="false" customHeight="false" outlineLevel="0" collapsed="false">
      <c r="A1343" s="35" t="str">
        <f aca="false">IF($B1343="","",COUNTA($B$4:$B1343))</f>
        <v/>
      </c>
      <c r="B1343" s="36"/>
      <c r="C1343" s="37"/>
      <c r="D1343" s="37"/>
      <c r="E1343" s="38"/>
      <c r="F1343" s="36"/>
      <c r="G1343" s="39"/>
      <c r="H1343" s="39"/>
      <c r="I1343" s="36"/>
      <c r="J1343" s="36"/>
      <c r="K1343" s="36"/>
      <c r="L1343" s="36"/>
      <c r="M1343" s="40" t="str">
        <f aca="false">IF($F1343="","",$F1343&amp;IF($G1343="",""," - RT "&amp;$G1343&amp;IF($H1343="","","/"&amp;$H1343)))</f>
        <v/>
      </c>
      <c r="N1343" s="36"/>
      <c r="O1343" s="37"/>
      <c r="P1343" s="39"/>
      <c r="Q1343" s="41"/>
      <c r="R1343" s="35" t="str">
        <f aca="true">IF(OR($B1343="",$Q1343=""),"",DATEDIF($Q1343,TODAY(),"Y"))</f>
        <v/>
      </c>
      <c r="S1343" s="40" t="str">
        <f aca="false">IF($R1343="","",INDEX(usia_label,MATCH($R1343,usia_min,1)))</f>
        <v/>
      </c>
      <c r="T1343" s="36"/>
      <c r="U1343" s="41"/>
      <c r="V1343" s="36"/>
      <c r="W1343" s="36"/>
      <c r="X1343" s="40" t="str">
        <f aca="false">IF($M1343="","",$M1343&amp;"#"&amp;COUNTIF($M$4:$M1343,$M1343))</f>
        <v/>
      </c>
      <c r="Y1343" s="40" t="str">
        <f aca="false">IF($B1343="","",IF($C1343="","NIK kosong",IF(LEN($C1343)&lt;&gt;16,"NIK bukan 16 digit",IF(COUNTIF($C$4:$C$2003,$C1343&amp;"*")&gt;1,"NIK ganda",IF(AND($D1343&lt;&gt;"",LEN($D1343)&lt;&gt;16),"No. KK bukan 16 digit",IF(AND($F1343="",$I1343=""),"Alamat kosong",IF($N1343="","Jabatan kosong",IF($O1343="","No. HP kosong",IF(AND($R1343&lt;&gt;"",$R1343&lt;17),"Usia di bawah 17","")))))))))</f>
        <v/>
      </c>
      <c r="Z1343" s="40" t="str">
        <f aca="false">IF($B1343="","",IF(AND(OR(CARI!$C$5="",ISNUMBER(SEARCH(CARI!$C$5,$B1343&amp;" "&amp;$C1343&amp;" "&amp;$D1343&amp;" "&amp;$O1343&amp;" "&amp;$I1343&amp;" "&amp;$F1343&amp;" "&amp;$J1343&amp;" "&amp;$K1343&amp;" "&amp;$L1343&amp;" "&amp;$V1343))),OR(CARI!$C$6="",$F1343=CARI!$C$6),OR(CARI!$C$7="",$G1343=CARI!$C$7),OR(CARI!$C$8="",$T1343=CARI!$C$8)),MAX($Z$3:Z1342)+1,""))</f>
        <v/>
      </c>
      <c r="AA1343" s="40" t="str">
        <f aca="false">IF($Y1343="","",MAX($AA$3:AA1342)+1)</f>
        <v/>
      </c>
      <c r="AB1343" s="40" t="str">
        <f aca="false">IF($F1343="","",$F1343&amp;"#"&amp;COUNTIF($F$4:$F1343,$F1343))</f>
        <v/>
      </c>
      <c r="AC1343" s="40" t="str">
        <f aca="false">IF($B1343="","",IF(AND(OR(CETAK!$J$10="",$F1343=CETAK!$J$10),OR(CETAK!$J$11="",$G1343=CETAK!$J$11),OR(CETAK!$J$12="",$P1343=CETAK!$J$12),OR(CETAK!$J$13="",$N1343=CETAK!$J$13),OR(CETAK!$J$14="",$T1343=CETAK!$J$14)),MAX($AC$3:AC1342)+1,""))</f>
        <v/>
      </c>
      <c r="AD1343" s="40" t="str">
        <f aca="false">IF($B1343="","",IF(AND(OR(ABSENSI!$H$10="",$F1343=ABSENSI!$H$10),OR(ABSENSI!$H$11="",$G1343=ABSENSI!$H$11),OR(ABSENSI!$H$12="",$P1343=ABSENSI!$H$12)),MAX($AD$3:AD1342)+1,""))</f>
        <v/>
      </c>
      <c r="AE1343" s="40" t="str">
        <f aca="false">IF($B1343="","",IF(AND(OR(KARTU!$K$6="",$F1343=KARTU!$K$6),OR(KARTU!$K$7="",$G1343=KARTU!$K$7),OR(KARTU!$K$8="",$P1343=KARTU!$K$8)),MAX($AE$3:AE1342)+1,""))</f>
        <v/>
      </c>
    </row>
    <row r="1344" customFormat="false" ht="15" hidden="false" customHeight="false" outlineLevel="0" collapsed="false">
      <c r="A1344" s="35" t="str">
        <f aca="false">IF($B1344="","",COUNTA($B$4:$B1344))</f>
        <v/>
      </c>
      <c r="B1344" s="36"/>
      <c r="C1344" s="37"/>
      <c r="D1344" s="37"/>
      <c r="E1344" s="38"/>
      <c r="F1344" s="36"/>
      <c r="G1344" s="39"/>
      <c r="H1344" s="39"/>
      <c r="I1344" s="36"/>
      <c r="J1344" s="36"/>
      <c r="K1344" s="36"/>
      <c r="L1344" s="36"/>
      <c r="M1344" s="40" t="str">
        <f aca="false">IF($F1344="","",$F1344&amp;IF($G1344="",""," - RT "&amp;$G1344&amp;IF($H1344="","","/"&amp;$H1344)))</f>
        <v/>
      </c>
      <c r="N1344" s="36"/>
      <c r="O1344" s="37"/>
      <c r="P1344" s="39"/>
      <c r="Q1344" s="41"/>
      <c r="R1344" s="35" t="str">
        <f aca="true">IF(OR($B1344="",$Q1344=""),"",DATEDIF($Q1344,TODAY(),"Y"))</f>
        <v/>
      </c>
      <c r="S1344" s="40" t="str">
        <f aca="false">IF($R1344="","",INDEX(usia_label,MATCH($R1344,usia_min,1)))</f>
        <v/>
      </c>
      <c r="T1344" s="36"/>
      <c r="U1344" s="41"/>
      <c r="V1344" s="36"/>
      <c r="W1344" s="36"/>
      <c r="X1344" s="40" t="str">
        <f aca="false">IF($M1344="","",$M1344&amp;"#"&amp;COUNTIF($M$4:$M1344,$M1344))</f>
        <v/>
      </c>
      <c r="Y1344" s="40" t="str">
        <f aca="false">IF($B1344="","",IF($C1344="","NIK kosong",IF(LEN($C1344)&lt;&gt;16,"NIK bukan 16 digit",IF(COUNTIF($C$4:$C$2003,$C1344&amp;"*")&gt;1,"NIK ganda",IF(AND($D1344&lt;&gt;"",LEN($D1344)&lt;&gt;16),"No. KK bukan 16 digit",IF(AND($F1344="",$I1344=""),"Alamat kosong",IF($N1344="","Jabatan kosong",IF($O1344="","No. HP kosong",IF(AND($R1344&lt;&gt;"",$R1344&lt;17),"Usia di bawah 17","")))))))))</f>
        <v/>
      </c>
      <c r="Z1344" s="40" t="str">
        <f aca="false">IF($B1344="","",IF(AND(OR(CARI!$C$5="",ISNUMBER(SEARCH(CARI!$C$5,$B1344&amp;" "&amp;$C1344&amp;" "&amp;$D1344&amp;" "&amp;$O1344&amp;" "&amp;$I1344&amp;" "&amp;$F1344&amp;" "&amp;$J1344&amp;" "&amp;$K1344&amp;" "&amp;$L1344&amp;" "&amp;$V1344))),OR(CARI!$C$6="",$F1344=CARI!$C$6),OR(CARI!$C$7="",$G1344=CARI!$C$7),OR(CARI!$C$8="",$T1344=CARI!$C$8)),MAX($Z$3:Z1343)+1,""))</f>
        <v/>
      </c>
      <c r="AA1344" s="40" t="str">
        <f aca="false">IF($Y1344="","",MAX($AA$3:AA1343)+1)</f>
        <v/>
      </c>
      <c r="AB1344" s="40" t="str">
        <f aca="false">IF($F1344="","",$F1344&amp;"#"&amp;COUNTIF($F$4:$F1344,$F1344))</f>
        <v/>
      </c>
      <c r="AC1344" s="40" t="str">
        <f aca="false">IF($B1344="","",IF(AND(OR(CETAK!$J$10="",$F1344=CETAK!$J$10),OR(CETAK!$J$11="",$G1344=CETAK!$J$11),OR(CETAK!$J$12="",$P1344=CETAK!$J$12),OR(CETAK!$J$13="",$N1344=CETAK!$J$13),OR(CETAK!$J$14="",$T1344=CETAK!$J$14)),MAX($AC$3:AC1343)+1,""))</f>
        <v/>
      </c>
      <c r="AD1344" s="40" t="str">
        <f aca="false">IF($B1344="","",IF(AND(OR(ABSENSI!$H$10="",$F1344=ABSENSI!$H$10),OR(ABSENSI!$H$11="",$G1344=ABSENSI!$H$11),OR(ABSENSI!$H$12="",$P1344=ABSENSI!$H$12)),MAX($AD$3:AD1343)+1,""))</f>
        <v/>
      </c>
      <c r="AE1344" s="40" t="str">
        <f aca="false">IF($B1344="","",IF(AND(OR(KARTU!$K$6="",$F1344=KARTU!$K$6),OR(KARTU!$K$7="",$G1344=KARTU!$K$7),OR(KARTU!$K$8="",$P1344=KARTU!$K$8)),MAX($AE$3:AE1343)+1,""))</f>
        <v/>
      </c>
    </row>
    <row r="1345" customFormat="false" ht="15" hidden="false" customHeight="false" outlineLevel="0" collapsed="false">
      <c r="A1345" s="35" t="str">
        <f aca="false">IF($B1345="","",COUNTA($B$4:$B1345))</f>
        <v/>
      </c>
      <c r="B1345" s="36"/>
      <c r="C1345" s="37"/>
      <c r="D1345" s="37"/>
      <c r="E1345" s="38"/>
      <c r="F1345" s="36"/>
      <c r="G1345" s="39"/>
      <c r="H1345" s="39"/>
      <c r="I1345" s="36"/>
      <c r="J1345" s="36"/>
      <c r="K1345" s="36"/>
      <c r="L1345" s="36"/>
      <c r="M1345" s="40" t="str">
        <f aca="false">IF($F1345="","",$F1345&amp;IF($G1345="",""," - RT "&amp;$G1345&amp;IF($H1345="","","/"&amp;$H1345)))</f>
        <v/>
      </c>
      <c r="N1345" s="36"/>
      <c r="O1345" s="37"/>
      <c r="P1345" s="39"/>
      <c r="Q1345" s="41"/>
      <c r="R1345" s="35" t="str">
        <f aca="true">IF(OR($B1345="",$Q1345=""),"",DATEDIF($Q1345,TODAY(),"Y"))</f>
        <v/>
      </c>
      <c r="S1345" s="40" t="str">
        <f aca="false">IF($R1345="","",INDEX(usia_label,MATCH($R1345,usia_min,1)))</f>
        <v/>
      </c>
      <c r="T1345" s="36"/>
      <c r="U1345" s="41"/>
      <c r="V1345" s="36"/>
      <c r="W1345" s="36"/>
      <c r="X1345" s="40" t="str">
        <f aca="false">IF($M1345="","",$M1345&amp;"#"&amp;COUNTIF($M$4:$M1345,$M1345))</f>
        <v/>
      </c>
      <c r="Y1345" s="40" t="str">
        <f aca="false">IF($B1345="","",IF($C1345="","NIK kosong",IF(LEN($C1345)&lt;&gt;16,"NIK bukan 16 digit",IF(COUNTIF($C$4:$C$2003,$C1345&amp;"*")&gt;1,"NIK ganda",IF(AND($D1345&lt;&gt;"",LEN($D1345)&lt;&gt;16),"No. KK bukan 16 digit",IF(AND($F1345="",$I1345=""),"Alamat kosong",IF($N1345="","Jabatan kosong",IF($O1345="","No. HP kosong",IF(AND($R1345&lt;&gt;"",$R1345&lt;17),"Usia di bawah 17","")))))))))</f>
        <v/>
      </c>
      <c r="Z1345" s="40" t="str">
        <f aca="false">IF($B1345="","",IF(AND(OR(CARI!$C$5="",ISNUMBER(SEARCH(CARI!$C$5,$B1345&amp;" "&amp;$C1345&amp;" "&amp;$D1345&amp;" "&amp;$O1345&amp;" "&amp;$I1345&amp;" "&amp;$F1345&amp;" "&amp;$J1345&amp;" "&amp;$K1345&amp;" "&amp;$L1345&amp;" "&amp;$V1345))),OR(CARI!$C$6="",$F1345=CARI!$C$6),OR(CARI!$C$7="",$G1345=CARI!$C$7),OR(CARI!$C$8="",$T1345=CARI!$C$8)),MAX($Z$3:Z1344)+1,""))</f>
        <v/>
      </c>
      <c r="AA1345" s="40" t="str">
        <f aca="false">IF($Y1345="","",MAX($AA$3:AA1344)+1)</f>
        <v/>
      </c>
      <c r="AB1345" s="40" t="str">
        <f aca="false">IF($F1345="","",$F1345&amp;"#"&amp;COUNTIF($F$4:$F1345,$F1345))</f>
        <v/>
      </c>
      <c r="AC1345" s="40" t="str">
        <f aca="false">IF($B1345="","",IF(AND(OR(CETAK!$J$10="",$F1345=CETAK!$J$10),OR(CETAK!$J$11="",$G1345=CETAK!$J$11),OR(CETAK!$J$12="",$P1345=CETAK!$J$12),OR(CETAK!$J$13="",$N1345=CETAK!$J$13),OR(CETAK!$J$14="",$T1345=CETAK!$J$14)),MAX($AC$3:AC1344)+1,""))</f>
        <v/>
      </c>
      <c r="AD1345" s="40" t="str">
        <f aca="false">IF($B1345="","",IF(AND(OR(ABSENSI!$H$10="",$F1345=ABSENSI!$H$10),OR(ABSENSI!$H$11="",$G1345=ABSENSI!$H$11),OR(ABSENSI!$H$12="",$P1345=ABSENSI!$H$12)),MAX($AD$3:AD1344)+1,""))</f>
        <v/>
      </c>
      <c r="AE1345" s="40" t="str">
        <f aca="false">IF($B1345="","",IF(AND(OR(KARTU!$K$6="",$F1345=KARTU!$K$6),OR(KARTU!$K$7="",$G1345=KARTU!$K$7),OR(KARTU!$K$8="",$P1345=KARTU!$K$8)),MAX($AE$3:AE1344)+1,""))</f>
        <v/>
      </c>
    </row>
    <row r="1346" customFormat="false" ht="15" hidden="false" customHeight="false" outlineLevel="0" collapsed="false">
      <c r="A1346" s="35" t="str">
        <f aca="false">IF($B1346="","",COUNTA($B$4:$B1346))</f>
        <v/>
      </c>
      <c r="B1346" s="36"/>
      <c r="C1346" s="37"/>
      <c r="D1346" s="37"/>
      <c r="E1346" s="38"/>
      <c r="F1346" s="36"/>
      <c r="G1346" s="39"/>
      <c r="H1346" s="39"/>
      <c r="I1346" s="36"/>
      <c r="J1346" s="36"/>
      <c r="K1346" s="36"/>
      <c r="L1346" s="36"/>
      <c r="M1346" s="40" t="str">
        <f aca="false">IF($F1346="","",$F1346&amp;IF($G1346="",""," - RT "&amp;$G1346&amp;IF($H1346="","","/"&amp;$H1346)))</f>
        <v/>
      </c>
      <c r="N1346" s="36"/>
      <c r="O1346" s="37"/>
      <c r="P1346" s="39"/>
      <c r="Q1346" s="41"/>
      <c r="R1346" s="35" t="str">
        <f aca="true">IF(OR($B1346="",$Q1346=""),"",DATEDIF($Q1346,TODAY(),"Y"))</f>
        <v/>
      </c>
      <c r="S1346" s="40" t="str">
        <f aca="false">IF($R1346="","",INDEX(usia_label,MATCH($R1346,usia_min,1)))</f>
        <v/>
      </c>
      <c r="T1346" s="36"/>
      <c r="U1346" s="41"/>
      <c r="V1346" s="36"/>
      <c r="W1346" s="36"/>
      <c r="X1346" s="40" t="str">
        <f aca="false">IF($M1346="","",$M1346&amp;"#"&amp;COUNTIF($M$4:$M1346,$M1346))</f>
        <v/>
      </c>
      <c r="Y1346" s="40" t="str">
        <f aca="false">IF($B1346="","",IF($C1346="","NIK kosong",IF(LEN($C1346)&lt;&gt;16,"NIK bukan 16 digit",IF(COUNTIF($C$4:$C$2003,$C1346&amp;"*")&gt;1,"NIK ganda",IF(AND($D1346&lt;&gt;"",LEN($D1346)&lt;&gt;16),"No. KK bukan 16 digit",IF(AND($F1346="",$I1346=""),"Alamat kosong",IF($N1346="","Jabatan kosong",IF($O1346="","No. HP kosong",IF(AND($R1346&lt;&gt;"",$R1346&lt;17),"Usia di bawah 17","")))))))))</f>
        <v/>
      </c>
      <c r="Z1346" s="40" t="str">
        <f aca="false">IF($B1346="","",IF(AND(OR(CARI!$C$5="",ISNUMBER(SEARCH(CARI!$C$5,$B1346&amp;" "&amp;$C1346&amp;" "&amp;$D1346&amp;" "&amp;$O1346&amp;" "&amp;$I1346&amp;" "&amp;$F1346&amp;" "&amp;$J1346&amp;" "&amp;$K1346&amp;" "&amp;$L1346&amp;" "&amp;$V1346))),OR(CARI!$C$6="",$F1346=CARI!$C$6),OR(CARI!$C$7="",$G1346=CARI!$C$7),OR(CARI!$C$8="",$T1346=CARI!$C$8)),MAX($Z$3:Z1345)+1,""))</f>
        <v/>
      </c>
      <c r="AA1346" s="40" t="str">
        <f aca="false">IF($Y1346="","",MAX($AA$3:AA1345)+1)</f>
        <v/>
      </c>
      <c r="AB1346" s="40" t="str">
        <f aca="false">IF($F1346="","",$F1346&amp;"#"&amp;COUNTIF($F$4:$F1346,$F1346))</f>
        <v/>
      </c>
      <c r="AC1346" s="40" t="str">
        <f aca="false">IF($B1346="","",IF(AND(OR(CETAK!$J$10="",$F1346=CETAK!$J$10),OR(CETAK!$J$11="",$G1346=CETAK!$J$11),OR(CETAK!$J$12="",$P1346=CETAK!$J$12),OR(CETAK!$J$13="",$N1346=CETAK!$J$13),OR(CETAK!$J$14="",$T1346=CETAK!$J$14)),MAX($AC$3:AC1345)+1,""))</f>
        <v/>
      </c>
      <c r="AD1346" s="40" t="str">
        <f aca="false">IF($B1346="","",IF(AND(OR(ABSENSI!$H$10="",$F1346=ABSENSI!$H$10),OR(ABSENSI!$H$11="",$G1346=ABSENSI!$H$11),OR(ABSENSI!$H$12="",$P1346=ABSENSI!$H$12)),MAX($AD$3:AD1345)+1,""))</f>
        <v/>
      </c>
      <c r="AE1346" s="40" t="str">
        <f aca="false">IF($B1346="","",IF(AND(OR(KARTU!$K$6="",$F1346=KARTU!$K$6),OR(KARTU!$K$7="",$G1346=KARTU!$K$7),OR(KARTU!$K$8="",$P1346=KARTU!$K$8)),MAX($AE$3:AE1345)+1,""))</f>
        <v/>
      </c>
    </row>
    <row r="1347" customFormat="false" ht="15" hidden="false" customHeight="false" outlineLevel="0" collapsed="false">
      <c r="A1347" s="35" t="str">
        <f aca="false">IF($B1347="","",COUNTA($B$4:$B1347))</f>
        <v/>
      </c>
      <c r="B1347" s="36"/>
      <c r="C1347" s="37"/>
      <c r="D1347" s="37"/>
      <c r="E1347" s="38"/>
      <c r="F1347" s="36"/>
      <c r="G1347" s="39"/>
      <c r="H1347" s="39"/>
      <c r="I1347" s="36"/>
      <c r="J1347" s="36"/>
      <c r="K1347" s="36"/>
      <c r="L1347" s="36"/>
      <c r="M1347" s="40" t="str">
        <f aca="false">IF($F1347="","",$F1347&amp;IF($G1347="",""," - RT "&amp;$G1347&amp;IF($H1347="","","/"&amp;$H1347)))</f>
        <v/>
      </c>
      <c r="N1347" s="36"/>
      <c r="O1347" s="37"/>
      <c r="P1347" s="39"/>
      <c r="Q1347" s="41"/>
      <c r="R1347" s="35" t="str">
        <f aca="true">IF(OR($B1347="",$Q1347=""),"",DATEDIF($Q1347,TODAY(),"Y"))</f>
        <v/>
      </c>
      <c r="S1347" s="40" t="str">
        <f aca="false">IF($R1347="","",INDEX(usia_label,MATCH($R1347,usia_min,1)))</f>
        <v/>
      </c>
      <c r="T1347" s="36"/>
      <c r="U1347" s="41"/>
      <c r="V1347" s="36"/>
      <c r="W1347" s="36"/>
      <c r="X1347" s="40" t="str">
        <f aca="false">IF($M1347="","",$M1347&amp;"#"&amp;COUNTIF($M$4:$M1347,$M1347))</f>
        <v/>
      </c>
      <c r="Y1347" s="40" t="str">
        <f aca="false">IF($B1347="","",IF($C1347="","NIK kosong",IF(LEN($C1347)&lt;&gt;16,"NIK bukan 16 digit",IF(COUNTIF($C$4:$C$2003,$C1347&amp;"*")&gt;1,"NIK ganda",IF(AND($D1347&lt;&gt;"",LEN($D1347)&lt;&gt;16),"No. KK bukan 16 digit",IF(AND($F1347="",$I1347=""),"Alamat kosong",IF($N1347="","Jabatan kosong",IF($O1347="","No. HP kosong",IF(AND($R1347&lt;&gt;"",$R1347&lt;17),"Usia di bawah 17","")))))))))</f>
        <v/>
      </c>
      <c r="Z1347" s="40" t="str">
        <f aca="false">IF($B1347="","",IF(AND(OR(CARI!$C$5="",ISNUMBER(SEARCH(CARI!$C$5,$B1347&amp;" "&amp;$C1347&amp;" "&amp;$D1347&amp;" "&amp;$O1347&amp;" "&amp;$I1347&amp;" "&amp;$F1347&amp;" "&amp;$J1347&amp;" "&amp;$K1347&amp;" "&amp;$L1347&amp;" "&amp;$V1347))),OR(CARI!$C$6="",$F1347=CARI!$C$6),OR(CARI!$C$7="",$G1347=CARI!$C$7),OR(CARI!$C$8="",$T1347=CARI!$C$8)),MAX($Z$3:Z1346)+1,""))</f>
        <v/>
      </c>
      <c r="AA1347" s="40" t="str">
        <f aca="false">IF($Y1347="","",MAX($AA$3:AA1346)+1)</f>
        <v/>
      </c>
      <c r="AB1347" s="40" t="str">
        <f aca="false">IF($F1347="","",$F1347&amp;"#"&amp;COUNTIF($F$4:$F1347,$F1347))</f>
        <v/>
      </c>
      <c r="AC1347" s="40" t="str">
        <f aca="false">IF($B1347="","",IF(AND(OR(CETAK!$J$10="",$F1347=CETAK!$J$10),OR(CETAK!$J$11="",$G1347=CETAK!$J$11),OR(CETAK!$J$12="",$P1347=CETAK!$J$12),OR(CETAK!$J$13="",$N1347=CETAK!$J$13),OR(CETAK!$J$14="",$T1347=CETAK!$J$14)),MAX($AC$3:AC1346)+1,""))</f>
        <v/>
      </c>
      <c r="AD1347" s="40" t="str">
        <f aca="false">IF($B1347="","",IF(AND(OR(ABSENSI!$H$10="",$F1347=ABSENSI!$H$10),OR(ABSENSI!$H$11="",$G1347=ABSENSI!$H$11),OR(ABSENSI!$H$12="",$P1347=ABSENSI!$H$12)),MAX($AD$3:AD1346)+1,""))</f>
        <v/>
      </c>
      <c r="AE1347" s="40" t="str">
        <f aca="false">IF($B1347="","",IF(AND(OR(KARTU!$K$6="",$F1347=KARTU!$K$6),OR(KARTU!$K$7="",$G1347=KARTU!$K$7),OR(KARTU!$K$8="",$P1347=KARTU!$K$8)),MAX($AE$3:AE1346)+1,""))</f>
        <v/>
      </c>
    </row>
    <row r="1348" customFormat="false" ht="15" hidden="false" customHeight="false" outlineLevel="0" collapsed="false">
      <c r="A1348" s="35" t="str">
        <f aca="false">IF($B1348="","",COUNTA($B$4:$B1348))</f>
        <v/>
      </c>
      <c r="B1348" s="36"/>
      <c r="C1348" s="37"/>
      <c r="D1348" s="37"/>
      <c r="E1348" s="38"/>
      <c r="F1348" s="36"/>
      <c r="G1348" s="39"/>
      <c r="H1348" s="39"/>
      <c r="I1348" s="36"/>
      <c r="J1348" s="36"/>
      <c r="K1348" s="36"/>
      <c r="L1348" s="36"/>
      <c r="M1348" s="40" t="str">
        <f aca="false">IF($F1348="","",$F1348&amp;IF($G1348="",""," - RT "&amp;$G1348&amp;IF($H1348="","","/"&amp;$H1348)))</f>
        <v/>
      </c>
      <c r="N1348" s="36"/>
      <c r="O1348" s="37"/>
      <c r="P1348" s="39"/>
      <c r="Q1348" s="41"/>
      <c r="R1348" s="35" t="str">
        <f aca="true">IF(OR($B1348="",$Q1348=""),"",DATEDIF($Q1348,TODAY(),"Y"))</f>
        <v/>
      </c>
      <c r="S1348" s="40" t="str">
        <f aca="false">IF($R1348="","",INDEX(usia_label,MATCH($R1348,usia_min,1)))</f>
        <v/>
      </c>
      <c r="T1348" s="36"/>
      <c r="U1348" s="41"/>
      <c r="V1348" s="36"/>
      <c r="W1348" s="36"/>
      <c r="X1348" s="40" t="str">
        <f aca="false">IF($M1348="","",$M1348&amp;"#"&amp;COUNTIF($M$4:$M1348,$M1348))</f>
        <v/>
      </c>
      <c r="Y1348" s="40" t="str">
        <f aca="false">IF($B1348="","",IF($C1348="","NIK kosong",IF(LEN($C1348)&lt;&gt;16,"NIK bukan 16 digit",IF(COUNTIF($C$4:$C$2003,$C1348&amp;"*")&gt;1,"NIK ganda",IF(AND($D1348&lt;&gt;"",LEN($D1348)&lt;&gt;16),"No. KK bukan 16 digit",IF(AND($F1348="",$I1348=""),"Alamat kosong",IF($N1348="","Jabatan kosong",IF($O1348="","No. HP kosong",IF(AND($R1348&lt;&gt;"",$R1348&lt;17),"Usia di bawah 17","")))))))))</f>
        <v/>
      </c>
      <c r="Z1348" s="40" t="str">
        <f aca="false">IF($B1348="","",IF(AND(OR(CARI!$C$5="",ISNUMBER(SEARCH(CARI!$C$5,$B1348&amp;" "&amp;$C1348&amp;" "&amp;$D1348&amp;" "&amp;$O1348&amp;" "&amp;$I1348&amp;" "&amp;$F1348&amp;" "&amp;$J1348&amp;" "&amp;$K1348&amp;" "&amp;$L1348&amp;" "&amp;$V1348))),OR(CARI!$C$6="",$F1348=CARI!$C$6),OR(CARI!$C$7="",$G1348=CARI!$C$7),OR(CARI!$C$8="",$T1348=CARI!$C$8)),MAX($Z$3:Z1347)+1,""))</f>
        <v/>
      </c>
      <c r="AA1348" s="40" t="str">
        <f aca="false">IF($Y1348="","",MAX($AA$3:AA1347)+1)</f>
        <v/>
      </c>
      <c r="AB1348" s="40" t="str">
        <f aca="false">IF($F1348="","",$F1348&amp;"#"&amp;COUNTIF($F$4:$F1348,$F1348))</f>
        <v/>
      </c>
      <c r="AC1348" s="40" t="str">
        <f aca="false">IF($B1348="","",IF(AND(OR(CETAK!$J$10="",$F1348=CETAK!$J$10),OR(CETAK!$J$11="",$G1348=CETAK!$J$11),OR(CETAK!$J$12="",$P1348=CETAK!$J$12),OR(CETAK!$J$13="",$N1348=CETAK!$J$13),OR(CETAK!$J$14="",$T1348=CETAK!$J$14)),MAX($AC$3:AC1347)+1,""))</f>
        <v/>
      </c>
      <c r="AD1348" s="40" t="str">
        <f aca="false">IF($B1348="","",IF(AND(OR(ABSENSI!$H$10="",$F1348=ABSENSI!$H$10),OR(ABSENSI!$H$11="",$G1348=ABSENSI!$H$11),OR(ABSENSI!$H$12="",$P1348=ABSENSI!$H$12)),MAX($AD$3:AD1347)+1,""))</f>
        <v/>
      </c>
      <c r="AE1348" s="40" t="str">
        <f aca="false">IF($B1348="","",IF(AND(OR(KARTU!$K$6="",$F1348=KARTU!$K$6),OR(KARTU!$K$7="",$G1348=KARTU!$K$7),OR(KARTU!$K$8="",$P1348=KARTU!$K$8)),MAX($AE$3:AE1347)+1,""))</f>
        <v/>
      </c>
    </row>
    <row r="1349" customFormat="false" ht="15" hidden="false" customHeight="false" outlineLevel="0" collapsed="false">
      <c r="A1349" s="35" t="str">
        <f aca="false">IF($B1349="","",COUNTA($B$4:$B1349))</f>
        <v/>
      </c>
      <c r="B1349" s="36"/>
      <c r="C1349" s="37"/>
      <c r="D1349" s="37"/>
      <c r="E1349" s="38"/>
      <c r="F1349" s="36"/>
      <c r="G1349" s="39"/>
      <c r="H1349" s="39"/>
      <c r="I1349" s="36"/>
      <c r="J1349" s="36"/>
      <c r="K1349" s="36"/>
      <c r="L1349" s="36"/>
      <c r="M1349" s="40" t="str">
        <f aca="false">IF($F1349="","",$F1349&amp;IF($G1349="",""," - RT "&amp;$G1349&amp;IF($H1349="","","/"&amp;$H1349)))</f>
        <v/>
      </c>
      <c r="N1349" s="36"/>
      <c r="O1349" s="37"/>
      <c r="P1349" s="39"/>
      <c r="Q1349" s="41"/>
      <c r="R1349" s="35" t="str">
        <f aca="true">IF(OR($B1349="",$Q1349=""),"",DATEDIF($Q1349,TODAY(),"Y"))</f>
        <v/>
      </c>
      <c r="S1349" s="40" t="str">
        <f aca="false">IF($R1349="","",INDEX(usia_label,MATCH($R1349,usia_min,1)))</f>
        <v/>
      </c>
      <c r="T1349" s="36"/>
      <c r="U1349" s="41"/>
      <c r="V1349" s="36"/>
      <c r="W1349" s="36"/>
      <c r="X1349" s="40" t="str">
        <f aca="false">IF($M1349="","",$M1349&amp;"#"&amp;COUNTIF($M$4:$M1349,$M1349))</f>
        <v/>
      </c>
      <c r="Y1349" s="40" t="str">
        <f aca="false">IF($B1349="","",IF($C1349="","NIK kosong",IF(LEN($C1349)&lt;&gt;16,"NIK bukan 16 digit",IF(COUNTIF($C$4:$C$2003,$C1349&amp;"*")&gt;1,"NIK ganda",IF(AND($D1349&lt;&gt;"",LEN($D1349)&lt;&gt;16),"No. KK bukan 16 digit",IF(AND($F1349="",$I1349=""),"Alamat kosong",IF($N1349="","Jabatan kosong",IF($O1349="","No. HP kosong",IF(AND($R1349&lt;&gt;"",$R1349&lt;17),"Usia di bawah 17","")))))))))</f>
        <v/>
      </c>
      <c r="Z1349" s="40" t="str">
        <f aca="false">IF($B1349="","",IF(AND(OR(CARI!$C$5="",ISNUMBER(SEARCH(CARI!$C$5,$B1349&amp;" "&amp;$C1349&amp;" "&amp;$D1349&amp;" "&amp;$O1349&amp;" "&amp;$I1349&amp;" "&amp;$F1349&amp;" "&amp;$J1349&amp;" "&amp;$K1349&amp;" "&amp;$L1349&amp;" "&amp;$V1349))),OR(CARI!$C$6="",$F1349=CARI!$C$6),OR(CARI!$C$7="",$G1349=CARI!$C$7),OR(CARI!$C$8="",$T1349=CARI!$C$8)),MAX($Z$3:Z1348)+1,""))</f>
        <v/>
      </c>
      <c r="AA1349" s="40" t="str">
        <f aca="false">IF($Y1349="","",MAX($AA$3:AA1348)+1)</f>
        <v/>
      </c>
      <c r="AB1349" s="40" t="str">
        <f aca="false">IF($F1349="","",$F1349&amp;"#"&amp;COUNTIF($F$4:$F1349,$F1349))</f>
        <v/>
      </c>
      <c r="AC1349" s="40" t="str">
        <f aca="false">IF($B1349="","",IF(AND(OR(CETAK!$J$10="",$F1349=CETAK!$J$10),OR(CETAK!$J$11="",$G1349=CETAK!$J$11),OR(CETAK!$J$12="",$P1349=CETAK!$J$12),OR(CETAK!$J$13="",$N1349=CETAK!$J$13),OR(CETAK!$J$14="",$T1349=CETAK!$J$14)),MAX($AC$3:AC1348)+1,""))</f>
        <v/>
      </c>
      <c r="AD1349" s="40" t="str">
        <f aca="false">IF($B1349="","",IF(AND(OR(ABSENSI!$H$10="",$F1349=ABSENSI!$H$10),OR(ABSENSI!$H$11="",$G1349=ABSENSI!$H$11),OR(ABSENSI!$H$12="",$P1349=ABSENSI!$H$12)),MAX($AD$3:AD1348)+1,""))</f>
        <v/>
      </c>
      <c r="AE1349" s="40" t="str">
        <f aca="false">IF($B1349="","",IF(AND(OR(KARTU!$K$6="",$F1349=KARTU!$K$6),OR(KARTU!$K$7="",$G1349=KARTU!$K$7),OR(KARTU!$K$8="",$P1349=KARTU!$K$8)),MAX($AE$3:AE1348)+1,""))</f>
        <v/>
      </c>
    </row>
    <row r="1350" customFormat="false" ht="15" hidden="false" customHeight="false" outlineLevel="0" collapsed="false">
      <c r="A1350" s="35" t="str">
        <f aca="false">IF($B1350="","",COUNTA($B$4:$B1350))</f>
        <v/>
      </c>
      <c r="B1350" s="36"/>
      <c r="C1350" s="37"/>
      <c r="D1350" s="37"/>
      <c r="E1350" s="38"/>
      <c r="F1350" s="36"/>
      <c r="G1350" s="39"/>
      <c r="H1350" s="39"/>
      <c r="I1350" s="36"/>
      <c r="J1350" s="36"/>
      <c r="K1350" s="36"/>
      <c r="L1350" s="36"/>
      <c r="M1350" s="40" t="str">
        <f aca="false">IF($F1350="","",$F1350&amp;IF($G1350="",""," - RT "&amp;$G1350&amp;IF($H1350="","","/"&amp;$H1350)))</f>
        <v/>
      </c>
      <c r="N1350" s="36"/>
      <c r="O1350" s="37"/>
      <c r="P1350" s="39"/>
      <c r="Q1350" s="41"/>
      <c r="R1350" s="35" t="str">
        <f aca="true">IF(OR($B1350="",$Q1350=""),"",DATEDIF($Q1350,TODAY(),"Y"))</f>
        <v/>
      </c>
      <c r="S1350" s="40" t="str">
        <f aca="false">IF($R1350="","",INDEX(usia_label,MATCH($R1350,usia_min,1)))</f>
        <v/>
      </c>
      <c r="T1350" s="36"/>
      <c r="U1350" s="41"/>
      <c r="V1350" s="36"/>
      <c r="W1350" s="36"/>
      <c r="X1350" s="40" t="str">
        <f aca="false">IF($M1350="","",$M1350&amp;"#"&amp;COUNTIF($M$4:$M1350,$M1350))</f>
        <v/>
      </c>
      <c r="Y1350" s="40" t="str">
        <f aca="false">IF($B1350="","",IF($C1350="","NIK kosong",IF(LEN($C1350)&lt;&gt;16,"NIK bukan 16 digit",IF(COUNTIF($C$4:$C$2003,$C1350&amp;"*")&gt;1,"NIK ganda",IF(AND($D1350&lt;&gt;"",LEN($D1350)&lt;&gt;16),"No. KK bukan 16 digit",IF(AND($F1350="",$I1350=""),"Alamat kosong",IF($N1350="","Jabatan kosong",IF($O1350="","No. HP kosong",IF(AND($R1350&lt;&gt;"",$R1350&lt;17),"Usia di bawah 17","")))))))))</f>
        <v/>
      </c>
      <c r="Z1350" s="40" t="str">
        <f aca="false">IF($B1350="","",IF(AND(OR(CARI!$C$5="",ISNUMBER(SEARCH(CARI!$C$5,$B1350&amp;" "&amp;$C1350&amp;" "&amp;$D1350&amp;" "&amp;$O1350&amp;" "&amp;$I1350&amp;" "&amp;$F1350&amp;" "&amp;$J1350&amp;" "&amp;$K1350&amp;" "&amp;$L1350&amp;" "&amp;$V1350))),OR(CARI!$C$6="",$F1350=CARI!$C$6),OR(CARI!$C$7="",$G1350=CARI!$C$7),OR(CARI!$C$8="",$T1350=CARI!$C$8)),MAX($Z$3:Z1349)+1,""))</f>
        <v/>
      </c>
      <c r="AA1350" s="40" t="str">
        <f aca="false">IF($Y1350="","",MAX($AA$3:AA1349)+1)</f>
        <v/>
      </c>
      <c r="AB1350" s="40" t="str">
        <f aca="false">IF($F1350="","",$F1350&amp;"#"&amp;COUNTIF($F$4:$F1350,$F1350))</f>
        <v/>
      </c>
      <c r="AC1350" s="40" t="str">
        <f aca="false">IF($B1350="","",IF(AND(OR(CETAK!$J$10="",$F1350=CETAK!$J$10),OR(CETAK!$J$11="",$G1350=CETAK!$J$11),OR(CETAK!$J$12="",$P1350=CETAK!$J$12),OR(CETAK!$J$13="",$N1350=CETAK!$J$13),OR(CETAK!$J$14="",$T1350=CETAK!$J$14)),MAX($AC$3:AC1349)+1,""))</f>
        <v/>
      </c>
      <c r="AD1350" s="40" t="str">
        <f aca="false">IF($B1350="","",IF(AND(OR(ABSENSI!$H$10="",$F1350=ABSENSI!$H$10),OR(ABSENSI!$H$11="",$G1350=ABSENSI!$H$11),OR(ABSENSI!$H$12="",$P1350=ABSENSI!$H$12)),MAX($AD$3:AD1349)+1,""))</f>
        <v/>
      </c>
      <c r="AE1350" s="40" t="str">
        <f aca="false">IF($B1350="","",IF(AND(OR(KARTU!$K$6="",$F1350=KARTU!$K$6),OR(KARTU!$K$7="",$G1350=KARTU!$K$7),OR(KARTU!$K$8="",$P1350=KARTU!$K$8)),MAX($AE$3:AE1349)+1,""))</f>
        <v/>
      </c>
    </row>
    <row r="1351" customFormat="false" ht="15" hidden="false" customHeight="false" outlineLevel="0" collapsed="false">
      <c r="A1351" s="35" t="str">
        <f aca="false">IF($B1351="","",COUNTA($B$4:$B1351))</f>
        <v/>
      </c>
      <c r="B1351" s="36"/>
      <c r="C1351" s="37"/>
      <c r="D1351" s="37"/>
      <c r="E1351" s="38"/>
      <c r="F1351" s="36"/>
      <c r="G1351" s="39"/>
      <c r="H1351" s="39"/>
      <c r="I1351" s="36"/>
      <c r="J1351" s="36"/>
      <c r="K1351" s="36"/>
      <c r="L1351" s="36"/>
      <c r="M1351" s="40" t="str">
        <f aca="false">IF($F1351="","",$F1351&amp;IF($G1351="",""," - RT "&amp;$G1351&amp;IF($H1351="","","/"&amp;$H1351)))</f>
        <v/>
      </c>
      <c r="N1351" s="36"/>
      <c r="O1351" s="37"/>
      <c r="P1351" s="39"/>
      <c r="Q1351" s="41"/>
      <c r="R1351" s="35" t="str">
        <f aca="true">IF(OR($B1351="",$Q1351=""),"",DATEDIF($Q1351,TODAY(),"Y"))</f>
        <v/>
      </c>
      <c r="S1351" s="40" t="str">
        <f aca="false">IF($R1351="","",INDEX(usia_label,MATCH($R1351,usia_min,1)))</f>
        <v/>
      </c>
      <c r="T1351" s="36"/>
      <c r="U1351" s="41"/>
      <c r="V1351" s="36"/>
      <c r="W1351" s="36"/>
      <c r="X1351" s="40" t="str">
        <f aca="false">IF($M1351="","",$M1351&amp;"#"&amp;COUNTIF($M$4:$M1351,$M1351))</f>
        <v/>
      </c>
      <c r="Y1351" s="40" t="str">
        <f aca="false">IF($B1351="","",IF($C1351="","NIK kosong",IF(LEN($C1351)&lt;&gt;16,"NIK bukan 16 digit",IF(COUNTIF($C$4:$C$2003,$C1351&amp;"*")&gt;1,"NIK ganda",IF(AND($D1351&lt;&gt;"",LEN($D1351)&lt;&gt;16),"No. KK bukan 16 digit",IF(AND($F1351="",$I1351=""),"Alamat kosong",IF($N1351="","Jabatan kosong",IF($O1351="","No. HP kosong",IF(AND($R1351&lt;&gt;"",$R1351&lt;17),"Usia di bawah 17","")))))))))</f>
        <v/>
      </c>
      <c r="Z1351" s="40" t="str">
        <f aca="false">IF($B1351="","",IF(AND(OR(CARI!$C$5="",ISNUMBER(SEARCH(CARI!$C$5,$B1351&amp;" "&amp;$C1351&amp;" "&amp;$D1351&amp;" "&amp;$O1351&amp;" "&amp;$I1351&amp;" "&amp;$F1351&amp;" "&amp;$J1351&amp;" "&amp;$K1351&amp;" "&amp;$L1351&amp;" "&amp;$V1351))),OR(CARI!$C$6="",$F1351=CARI!$C$6),OR(CARI!$C$7="",$G1351=CARI!$C$7),OR(CARI!$C$8="",$T1351=CARI!$C$8)),MAX($Z$3:Z1350)+1,""))</f>
        <v/>
      </c>
      <c r="AA1351" s="40" t="str">
        <f aca="false">IF($Y1351="","",MAX($AA$3:AA1350)+1)</f>
        <v/>
      </c>
      <c r="AB1351" s="40" t="str">
        <f aca="false">IF($F1351="","",$F1351&amp;"#"&amp;COUNTIF($F$4:$F1351,$F1351))</f>
        <v/>
      </c>
      <c r="AC1351" s="40" t="str">
        <f aca="false">IF($B1351="","",IF(AND(OR(CETAK!$J$10="",$F1351=CETAK!$J$10),OR(CETAK!$J$11="",$G1351=CETAK!$J$11),OR(CETAK!$J$12="",$P1351=CETAK!$J$12),OR(CETAK!$J$13="",$N1351=CETAK!$J$13),OR(CETAK!$J$14="",$T1351=CETAK!$J$14)),MAX($AC$3:AC1350)+1,""))</f>
        <v/>
      </c>
      <c r="AD1351" s="40" t="str">
        <f aca="false">IF($B1351="","",IF(AND(OR(ABSENSI!$H$10="",$F1351=ABSENSI!$H$10),OR(ABSENSI!$H$11="",$G1351=ABSENSI!$H$11),OR(ABSENSI!$H$12="",$P1351=ABSENSI!$H$12)),MAX($AD$3:AD1350)+1,""))</f>
        <v/>
      </c>
      <c r="AE1351" s="40" t="str">
        <f aca="false">IF($B1351="","",IF(AND(OR(KARTU!$K$6="",$F1351=KARTU!$K$6),OR(KARTU!$K$7="",$G1351=KARTU!$K$7),OR(KARTU!$K$8="",$P1351=KARTU!$K$8)),MAX($AE$3:AE1350)+1,""))</f>
        <v/>
      </c>
    </row>
    <row r="1352" customFormat="false" ht="15" hidden="false" customHeight="false" outlineLevel="0" collapsed="false">
      <c r="A1352" s="35" t="str">
        <f aca="false">IF($B1352="","",COUNTA($B$4:$B1352))</f>
        <v/>
      </c>
      <c r="B1352" s="36"/>
      <c r="C1352" s="37"/>
      <c r="D1352" s="37"/>
      <c r="E1352" s="38"/>
      <c r="F1352" s="36"/>
      <c r="G1352" s="39"/>
      <c r="H1352" s="39"/>
      <c r="I1352" s="36"/>
      <c r="J1352" s="36"/>
      <c r="K1352" s="36"/>
      <c r="L1352" s="36"/>
      <c r="M1352" s="40" t="str">
        <f aca="false">IF($F1352="","",$F1352&amp;IF($G1352="",""," - RT "&amp;$G1352&amp;IF($H1352="","","/"&amp;$H1352)))</f>
        <v/>
      </c>
      <c r="N1352" s="36"/>
      <c r="O1352" s="37"/>
      <c r="P1352" s="39"/>
      <c r="Q1352" s="41"/>
      <c r="R1352" s="35" t="str">
        <f aca="true">IF(OR($B1352="",$Q1352=""),"",DATEDIF($Q1352,TODAY(),"Y"))</f>
        <v/>
      </c>
      <c r="S1352" s="40" t="str">
        <f aca="false">IF($R1352="","",INDEX(usia_label,MATCH($R1352,usia_min,1)))</f>
        <v/>
      </c>
      <c r="T1352" s="36"/>
      <c r="U1352" s="41"/>
      <c r="V1352" s="36"/>
      <c r="W1352" s="36"/>
      <c r="X1352" s="40" t="str">
        <f aca="false">IF($M1352="","",$M1352&amp;"#"&amp;COUNTIF($M$4:$M1352,$M1352))</f>
        <v/>
      </c>
      <c r="Y1352" s="40" t="str">
        <f aca="false">IF($B1352="","",IF($C1352="","NIK kosong",IF(LEN($C1352)&lt;&gt;16,"NIK bukan 16 digit",IF(COUNTIF($C$4:$C$2003,$C1352&amp;"*")&gt;1,"NIK ganda",IF(AND($D1352&lt;&gt;"",LEN($D1352)&lt;&gt;16),"No. KK bukan 16 digit",IF(AND($F1352="",$I1352=""),"Alamat kosong",IF($N1352="","Jabatan kosong",IF($O1352="","No. HP kosong",IF(AND($R1352&lt;&gt;"",$R1352&lt;17),"Usia di bawah 17","")))))))))</f>
        <v/>
      </c>
      <c r="Z1352" s="40" t="str">
        <f aca="false">IF($B1352="","",IF(AND(OR(CARI!$C$5="",ISNUMBER(SEARCH(CARI!$C$5,$B1352&amp;" "&amp;$C1352&amp;" "&amp;$D1352&amp;" "&amp;$O1352&amp;" "&amp;$I1352&amp;" "&amp;$F1352&amp;" "&amp;$J1352&amp;" "&amp;$K1352&amp;" "&amp;$L1352&amp;" "&amp;$V1352))),OR(CARI!$C$6="",$F1352=CARI!$C$6),OR(CARI!$C$7="",$G1352=CARI!$C$7),OR(CARI!$C$8="",$T1352=CARI!$C$8)),MAX($Z$3:Z1351)+1,""))</f>
        <v/>
      </c>
      <c r="AA1352" s="40" t="str">
        <f aca="false">IF($Y1352="","",MAX($AA$3:AA1351)+1)</f>
        <v/>
      </c>
      <c r="AB1352" s="40" t="str">
        <f aca="false">IF($F1352="","",$F1352&amp;"#"&amp;COUNTIF($F$4:$F1352,$F1352))</f>
        <v/>
      </c>
      <c r="AC1352" s="40" t="str">
        <f aca="false">IF($B1352="","",IF(AND(OR(CETAK!$J$10="",$F1352=CETAK!$J$10),OR(CETAK!$J$11="",$G1352=CETAK!$J$11),OR(CETAK!$J$12="",$P1352=CETAK!$J$12),OR(CETAK!$J$13="",$N1352=CETAK!$J$13),OR(CETAK!$J$14="",$T1352=CETAK!$J$14)),MAX($AC$3:AC1351)+1,""))</f>
        <v/>
      </c>
      <c r="AD1352" s="40" t="str">
        <f aca="false">IF($B1352="","",IF(AND(OR(ABSENSI!$H$10="",$F1352=ABSENSI!$H$10),OR(ABSENSI!$H$11="",$G1352=ABSENSI!$H$11),OR(ABSENSI!$H$12="",$P1352=ABSENSI!$H$12)),MAX($AD$3:AD1351)+1,""))</f>
        <v/>
      </c>
      <c r="AE1352" s="40" t="str">
        <f aca="false">IF($B1352="","",IF(AND(OR(KARTU!$K$6="",$F1352=KARTU!$K$6),OR(KARTU!$K$7="",$G1352=KARTU!$K$7),OR(KARTU!$K$8="",$P1352=KARTU!$K$8)),MAX($AE$3:AE1351)+1,""))</f>
        <v/>
      </c>
    </row>
    <row r="1353" customFormat="false" ht="15" hidden="false" customHeight="false" outlineLevel="0" collapsed="false">
      <c r="A1353" s="35" t="str">
        <f aca="false">IF($B1353="","",COUNTA($B$4:$B1353))</f>
        <v/>
      </c>
      <c r="B1353" s="36"/>
      <c r="C1353" s="37"/>
      <c r="D1353" s="37"/>
      <c r="E1353" s="38"/>
      <c r="F1353" s="36"/>
      <c r="G1353" s="39"/>
      <c r="H1353" s="39"/>
      <c r="I1353" s="36"/>
      <c r="J1353" s="36"/>
      <c r="K1353" s="36"/>
      <c r="L1353" s="36"/>
      <c r="M1353" s="40" t="str">
        <f aca="false">IF($F1353="","",$F1353&amp;IF($G1353="",""," - RT "&amp;$G1353&amp;IF($H1353="","","/"&amp;$H1353)))</f>
        <v/>
      </c>
      <c r="N1353" s="36"/>
      <c r="O1353" s="37"/>
      <c r="P1353" s="39"/>
      <c r="Q1353" s="41"/>
      <c r="R1353" s="35" t="str">
        <f aca="true">IF(OR($B1353="",$Q1353=""),"",DATEDIF($Q1353,TODAY(),"Y"))</f>
        <v/>
      </c>
      <c r="S1353" s="40" t="str">
        <f aca="false">IF($R1353="","",INDEX(usia_label,MATCH($R1353,usia_min,1)))</f>
        <v/>
      </c>
      <c r="T1353" s="36"/>
      <c r="U1353" s="41"/>
      <c r="V1353" s="36"/>
      <c r="W1353" s="36"/>
      <c r="X1353" s="40" t="str">
        <f aca="false">IF($M1353="","",$M1353&amp;"#"&amp;COUNTIF($M$4:$M1353,$M1353))</f>
        <v/>
      </c>
      <c r="Y1353" s="40" t="str">
        <f aca="false">IF($B1353="","",IF($C1353="","NIK kosong",IF(LEN($C1353)&lt;&gt;16,"NIK bukan 16 digit",IF(COUNTIF($C$4:$C$2003,$C1353&amp;"*")&gt;1,"NIK ganda",IF(AND($D1353&lt;&gt;"",LEN($D1353)&lt;&gt;16),"No. KK bukan 16 digit",IF(AND($F1353="",$I1353=""),"Alamat kosong",IF($N1353="","Jabatan kosong",IF($O1353="","No. HP kosong",IF(AND($R1353&lt;&gt;"",$R1353&lt;17),"Usia di bawah 17","")))))))))</f>
        <v/>
      </c>
      <c r="Z1353" s="40" t="str">
        <f aca="false">IF($B1353="","",IF(AND(OR(CARI!$C$5="",ISNUMBER(SEARCH(CARI!$C$5,$B1353&amp;" "&amp;$C1353&amp;" "&amp;$D1353&amp;" "&amp;$O1353&amp;" "&amp;$I1353&amp;" "&amp;$F1353&amp;" "&amp;$J1353&amp;" "&amp;$K1353&amp;" "&amp;$L1353&amp;" "&amp;$V1353))),OR(CARI!$C$6="",$F1353=CARI!$C$6),OR(CARI!$C$7="",$G1353=CARI!$C$7),OR(CARI!$C$8="",$T1353=CARI!$C$8)),MAX($Z$3:Z1352)+1,""))</f>
        <v/>
      </c>
      <c r="AA1353" s="40" t="str">
        <f aca="false">IF($Y1353="","",MAX($AA$3:AA1352)+1)</f>
        <v/>
      </c>
      <c r="AB1353" s="40" t="str">
        <f aca="false">IF($F1353="","",$F1353&amp;"#"&amp;COUNTIF($F$4:$F1353,$F1353))</f>
        <v/>
      </c>
      <c r="AC1353" s="40" t="str">
        <f aca="false">IF($B1353="","",IF(AND(OR(CETAK!$J$10="",$F1353=CETAK!$J$10),OR(CETAK!$J$11="",$G1353=CETAK!$J$11),OR(CETAK!$J$12="",$P1353=CETAK!$J$12),OR(CETAK!$J$13="",$N1353=CETAK!$J$13),OR(CETAK!$J$14="",$T1353=CETAK!$J$14)),MAX($AC$3:AC1352)+1,""))</f>
        <v/>
      </c>
      <c r="AD1353" s="40" t="str">
        <f aca="false">IF($B1353="","",IF(AND(OR(ABSENSI!$H$10="",$F1353=ABSENSI!$H$10),OR(ABSENSI!$H$11="",$G1353=ABSENSI!$H$11),OR(ABSENSI!$H$12="",$P1353=ABSENSI!$H$12)),MAX($AD$3:AD1352)+1,""))</f>
        <v/>
      </c>
      <c r="AE1353" s="40" t="str">
        <f aca="false">IF($B1353="","",IF(AND(OR(KARTU!$K$6="",$F1353=KARTU!$K$6),OR(KARTU!$K$7="",$G1353=KARTU!$K$7),OR(KARTU!$K$8="",$P1353=KARTU!$K$8)),MAX($AE$3:AE1352)+1,""))</f>
        <v/>
      </c>
    </row>
    <row r="1354" customFormat="false" ht="15" hidden="false" customHeight="false" outlineLevel="0" collapsed="false">
      <c r="A1354" s="35" t="str">
        <f aca="false">IF($B1354="","",COUNTA($B$4:$B1354))</f>
        <v/>
      </c>
      <c r="B1354" s="36"/>
      <c r="C1354" s="37"/>
      <c r="D1354" s="37"/>
      <c r="E1354" s="38"/>
      <c r="F1354" s="36"/>
      <c r="G1354" s="39"/>
      <c r="H1354" s="39"/>
      <c r="I1354" s="36"/>
      <c r="J1354" s="36"/>
      <c r="K1354" s="36"/>
      <c r="L1354" s="36"/>
      <c r="M1354" s="40" t="str">
        <f aca="false">IF($F1354="","",$F1354&amp;IF($G1354="",""," - RT "&amp;$G1354&amp;IF($H1354="","","/"&amp;$H1354)))</f>
        <v/>
      </c>
      <c r="N1354" s="36"/>
      <c r="O1354" s="37"/>
      <c r="P1354" s="39"/>
      <c r="Q1354" s="41"/>
      <c r="R1354" s="35" t="str">
        <f aca="true">IF(OR($B1354="",$Q1354=""),"",DATEDIF($Q1354,TODAY(),"Y"))</f>
        <v/>
      </c>
      <c r="S1354" s="40" t="str">
        <f aca="false">IF($R1354="","",INDEX(usia_label,MATCH($R1354,usia_min,1)))</f>
        <v/>
      </c>
      <c r="T1354" s="36"/>
      <c r="U1354" s="41"/>
      <c r="V1354" s="36"/>
      <c r="W1354" s="36"/>
      <c r="X1354" s="40" t="str">
        <f aca="false">IF($M1354="","",$M1354&amp;"#"&amp;COUNTIF($M$4:$M1354,$M1354))</f>
        <v/>
      </c>
      <c r="Y1354" s="40" t="str">
        <f aca="false">IF($B1354="","",IF($C1354="","NIK kosong",IF(LEN($C1354)&lt;&gt;16,"NIK bukan 16 digit",IF(COUNTIF($C$4:$C$2003,$C1354&amp;"*")&gt;1,"NIK ganda",IF(AND($D1354&lt;&gt;"",LEN($D1354)&lt;&gt;16),"No. KK bukan 16 digit",IF(AND($F1354="",$I1354=""),"Alamat kosong",IF($N1354="","Jabatan kosong",IF($O1354="","No. HP kosong",IF(AND($R1354&lt;&gt;"",$R1354&lt;17),"Usia di bawah 17","")))))))))</f>
        <v/>
      </c>
      <c r="Z1354" s="40" t="str">
        <f aca="false">IF($B1354="","",IF(AND(OR(CARI!$C$5="",ISNUMBER(SEARCH(CARI!$C$5,$B1354&amp;" "&amp;$C1354&amp;" "&amp;$D1354&amp;" "&amp;$O1354&amp;" "&amp;$I1354&amp;" "&amp;$F1354&amp;" "&amp;$J1354&amp;" "&amp;$K1354&amp;" "&amp;$L1354&amp;" "&amp;$V1354))),OR(CARI!$C$6="",$F1354=CARI!$C$6),OR(CARI!$C$7="",$G1354=CARI!$C$7),OR(CARI!$C$8="",$T1354=CARI!$C$8)),MAX($Z$3:Z1353)+1,""))</f>
        <v/>
      </c>
      <c r="AA1354" s="40" t="str">
        <f aca="false">IF($Y1354="","",MAX($AA$3:AA1353)+1)</f>
        <v/>
      </c>
      <c r="AB1354" s="40" t="str">
        <f aca="false">IF($F1354="","",$F1354&amp;"#"&amp;COUNTIF($F$4:$F1354,$F1354))</f>
        <v/>
      </c>
      <c r="AC1354" s="40" t="str">
        <f aca="false">IF($B1354="","",IF(AND(OR(CETAK!$J$10="",$F1354=CETAK!$J$10),OR(CETAK!$J$11="",$G1354=CETAK!$J$11),OR(CETAK!$J$12="",$P1354=CETAK!$J$12),OR(CETAK!$J$13="",$N1354=CETAK!$J$13),OR(CETAK!$J$14="",$T1354=CETAK!$J$14)),MAX($AC$3:AC1353)+1,""))</f>
        <v/>
      </c>
      <c r="AD1354" s="40" t="str">
        <f aca="false">IF($B1354="","",IF(AND(OR(ABSENSI!$H$10="",$F1354=ABSENSI!$H$10),OR(ABSENSI!$H$11="",$G1354=ABSENSI!$H$11),OR(ABSENSI!$H$12="",$P1354=ABSENSI!$H$12)),MAX($AD$3:AD1353)+1,""))</f>
        <v/>
      </c>
      <c r="AE1354" s="40" t="str">
        <f aca="false">IF($B1354="","",IF(AND(OR(KARTU!$K$6="",$F1354=KARTU!$K$6),OR(KARTU!$K$7="",$G1354=KARTU!$K$7),OR(KARTU!$K$8="",$P1354=KARTU!$K$8)),MAX($AE$3:AE1353)+1,""))</f>
        <v/>
      </c>
    </row>
    <row r="1355" customFormat="false" ht="15" hidden="false" customHeight="false" outlineLevel="0" collapsed="false">
      <c r="A1355" s="35" t="str">
        <f aca="false">IF($B1355="","",COUNTA($B$4:$B1355))</f>
        <v/>
      </c>
      <c r="B1355" s="36"/>
      <c r="C1355" s="37"/>
      <c r="D1355" s="37"/>
      <c r="E1355" s="38"/>
      <c r="F1355" s="36"/>
      <c r="G1355" s="39"/>
      <c r="H1355" s="39"/>
      <c r="I1355" s="36"/>
      <c r="J1355" s="36"/>
      <c r="K1355" s="36"/>
      <c r="L1355" s="36"/>
      <c r="M1355" s="40" t="str">
        <f aca="false">IF($F1355="","",$F1355&amp;IF($G1355="",""," - RT "&amp;$G1355&amp;IF($H1355="","","/"&amp;$H1355)))</f>
        <v/>
      </c>
      <c r="N1355" s="36"/>
      <c r="O1355" s="37"/>
      <c r="P1355" s="39"/>
      <c r="Q1355" s="41"/>
      <c r="R1355" s="35" t="str">
        <f aca="true">IF(OR($B1355="",$Q1355=""),"",DATEDIF($Q1355,TODAY(),"Y"))</f>
        <v/>
      </c>
      <c r="S1355" s="40" t="str">
        <f aca="false">IF($R1355="","",INDEX(usia_label,MATCH($R1355,usia_min,1)))</f>
        <v/>
      </c>
      <c r="T1355" s="36"/>
      <c r="U1355" s="41"/>
      <c r="V1355" s="36"/>
      <c r="W1355" s="36"/>
      <c r="X1355" s="40" t="str">
        <f aca="false">IF($M1355="","",$M1355&amp;"#"&amp;COUNTIF($M$4:$M1355,$M1355))</f>
        <v/>
      </c>
      <c r="Y1355" s="40" t="str">
        <f aca="false">IF($B1355="","",IF($C1355="","NIK kosong",IF(LEN($C1355)&lt;&gt;16,"NIK bukan 16 digit",IF(COUNTIF($C$4:$C$2003,$C1355&amp;"*")&gt;1,"NIK ganda",IF(AND($D1355&lt;&gt;"",LEN($D1355)&lt;&gt;16),"No. KK bukan 16 digit",IF(AND($F1355="",$I1355=""),"Alamat kosong",IF($N1355="","Jabatan kosong",IF($O1355="","No. HP kosong",IF(AND($R1355&lt;&gt;"",$R1355&lt;17),"Usia di bawah 17","")))))))))</f>
        <v/>
      </c>
      <c r="Z1355" s="40" t="str">
        <f aca="false">IF($B1355="","",IF(AND(OR(CARI!$C$5="",ISNUMBER(SEARCH(CARI!$C$5,$B1355&amp;" "&amp;$C1355&amp;" "&amp;$D1355&amp;" "&amp;$O1355&amp;" "&amp;$I1355&amp;" "&amp;$F1355&amp;" "&amp;$J1355&amp;" "&amp;$K1355&amp;" "&amp;$L1355&amp;" "&amp;$V1355))),OR(CARI!$C$6="",$F1355=CARI!$C$6),OR(CARI!$C$7="",$G1355=CARI!$C$7),OR(CARI!$C$8="",$T1355=CARI!$C$8)),MAX($Z$3:Z1354)+1,""))</f>
        <v/>
      </c>
      <c r="AA1355" s="40" t="str">
        <f aca="false">IF($Y1355="","",MAX($AA$3:AA1354)+1)</f>
        <v/>
      </c>
      <c r="AB1355" s="40" t="str">
        <f aca="false">IF($F1355="","",$F1355&amp;"#"&amp;COUNTIF($F$4:$F1355,$F1355))</f>
        <v/>
      </c>
      <c r="AC1355" s="40" t="str">
        <f aca="false">IF($B1355="","",IF(AND(OR(CETAK!$J$10="",$F1355=CETAK!$J$10),OR(CETAK!$J$11="",$G1355=CETAK!$J$11),OR(CETAK!$J$12="",$P1355=CETAK!$J$12),OR(CETAK!$J$13="",$N1355=CETAK!$J$13),OR(CETAK!$J$14="",$T1355=CETAK!$J$14)),MAX($AC$3:AC1354)+1,""))</f>
        <v/>
      </c>
      <c r="AD1355" s="40" t="str">
        <f aca="false">IF($B1355="","",IF(AND(OR(ABSENSI!$H$10="",$F1355=ABSENSI!$H$10),OR(ABSENSI!$H$11="",$G1355=ABSENSI!$H$11),OR(ABSENSI!$H$12="",$P1355=ABSENSI!$H$12)),MAX($AD$3:AD1354)+1,""))</f>
        <v/>
      </c>
      <c r="AE1355" s="40" t="str">
        <f aca="false">IF($B1355="","",IF(AND(OR(KARTU!$K$6="",$F1355=KARTU!$K$6),OR(KARTU!$K$7="",$G1355=KARTU!$K$7),OR(KARTU!$K$8="",$P1355=KARTU!$K$8)),MAX($AE$3:AE1354)+1,""))</f>
        <v/>
      </c>
    </row>
    <row r="1356" customFormat="false" ht="15" hidden="false" customHeight="false" outlineLevel="0" collapsed="false">
      <c r="A1356" s="35" t="str">
        <f aca="false">IF($B1356="","",COUNTA($B$4:$B1356))</f>
        <v/>
      </c>
      <c r="B1356" s="36"/>
      <c r="C1356" s="37"/>
      <c r="D1356" s="37"/>
      <c r="E1356" s="38"/>
      <c r="F1356" s="36"/>
      <c r="G1356" s="39"/>
      <c r="H1356" s="39"/>
      <c r="I1356" s="36"/>
      <c r="J1356" s="36"/>
      <c r="K1356" s="36"/>
      <c r="L1356" s="36"/>
      <c r="M1356" s="40" t="str">
        <f aca="false">IF($F1356="","",$F1356&amp;IF($G1356="",""," - RT "&amp;$G1356&amp;IF($H1356="","","/"&amp;$H1356)))</f>
        <v/>
      </c>
      <c r="N1356" s="36"/>
      <c r="O1356" s="37"/>
      <c r="P1356" s="39"/>
      <c r="Q1356" s="41"/>
      <c r="R1356" s="35" t="str">
        <f aca="true">IF(OR($B1356="",$Q1356=""),"",DATEDIF($Q1356,TODAY(),"Y"))</f>
        <v/>
      </c>
      <c r="S1356" s="40" t="str">
        <f aca="false">IF($R1356="","",INDEX(usia_label,MATCH($R1356,usia_min,1)))</f>
        <v/>
      </c>
      <c r="T1356" s="36"/>
      <c r="U1356" s="41"/>
      <c r="V1356" s="36"/>
      <c r="W1356" s="36"/>
      <c r="X1356" s="40" t="str">
        <f aca="false">IF($M1356="","",$M1356&amp;"#"&amp;COUNTIF($M$4:$M1356,$M1356))</f>
        <v/>
      </c>
      <c r="Y1356" s="40" t="str">
        <f aca="false">IF($B1356="","",IF($C1356="","NIK kosong",IF(LEN($C1356)&lt;&gt;16,"NIK bukan 16 digit",IF(COUNTIF($C$4:$C$2003,$C1356&amp;"*")&gt;1,"NIK ganda",IF(AND($D1356&lt;&gt;"",LEN($D1356)&lt;&gt;16),"No. KK bukan 16 digit",IF(AND($F1356="",$I1356=""),"Alamat kosong",IF($N1356="","Jabatan kosong",IF($O1356="","No. HP kosong",IF(AND($R1356&lt;&gt;"",$R1356&lt;17),"Usia di bawah 17","")))))))))</f>
        <v/>
      </c>
      <c r="Z1356" s="40" t="str">
        <f aca="false">IF($B1356="","",IF(AND(OR(CARI!$C$5="",ISNUMBER(SEARCH(CARI!$C$5,$B1356&amp;" "&amp;$C1356&amp;" "&amp;$D1356&amp;" "&amp;$O1356&amp;" "&amp;$I1356&amp;" "&amp;$F1356&amp;" "&amp;$J1356&amp;" "&amp;$K1356&amp;" "&amp;$L1356&amp;" "&amp;$V1356))),OR(CARI!$C$6="",$F1356=CARI!$C$6),OR(CARI!$C$7="",$G1356=CARI!$C$7),OR(CARI!$C$8="",$T1356=CARI!$C$8)),MAX($Z$3:Z1355)+1,""))</f>
        <v/>
      </c>
      <c r="AA1356" s="40" t="str">
        <f aca="false">IF($Y1356="","",MAX($AA$3:AA1355)+1)</f>
        <v/>
      </c>
      <c r="AB1356" s="40" t="str">
        <f aca="false">IF($F1356="","",$F1356&amp;"#"&amp;COUNTIF($F$4:$F1356,$F1356))</f>
        <v/>
      </c>
      <c r="AC1356" s="40" t="str">
        <f aca="false">IF($B1356="","",IF(AND(OR(CETAK!$J$10="",$F1356=CETAK!$J$10),OR(CETAK!$J$11="",$G1356=CETAK!$J$11),OR(CETAK!$J$12="",$P1356=CETAK!$J$12),OR(CETAK!$J$13="",$N1356=CETAK!$J$13),OR(CETAK!$J$14="",$T1356=CETAK!$J$14)),MAX($AC$3:AC1355)+1,""))</f>
        <v/>
      </c>
      <c r="AD1356" s="40" t="str">
        <f aca="false">IF($B1356="","",IF(AND(OR(ABSENSI!$H$10="",$F1356=ABSENSI!$H$10),OR(ABSENSI!$H$11="",$G1356=ABSENSI!$H$11),OR(ABSENSI!$H$12="",$P1356=ABSENSI!$H$12)),MAX($AD$3:AD1355)+1,""))</f>
        <v/>
      </c>
      <c r="AE1356" s="40" t="str">
        <f aca="false">IF($B1356="","",IF(AND(OR(KARTU!$K$6="",$F1356=KARTU!$K$6),OR(KARTU!$K$7="",$G1356=KARTU!$K$7),OR(KARTU!$K$8="",$P1356=KARTU!$K$8)),MAX($AE$3:AE1355)+1,""))</f>
        <v/>
      </c>
    </row>
    <row r="1357" customFormat="false" ht="15" hidden="false" customHeight="false" outlineLevel="0" collapsed="false">
      <c r="A1357" s="35" t="str">
        <f aca="false">IF($B1357="","",COUNTA($B$4:$B1357))</f>
        <v/>
      </c>
      <c r="B1357" s="36"/>
      <c r="C1357" s="37"/>
      <c r="D1357" s="37"/>
      <c r="E1357" s="38"/>
      <c r="F1357" s="36"/>
      <c r="G1357" s="39"/>
      <c r="H1357" s="39"/>
      <c r="I1357" s="36"/>
      <c r="J1357" s="36"/>
      <c r="K1357" s="36"/>
      <c r="L1357" s="36"/>
      <c r="M1357" s="40" t="str">
        <f aca="false">IF($F1357="","",$F1357&amp;IF($G1357="",""," - RT "&amp;$G1357&amp;IF($H1357="","","/"&amp;$H1357)))</f>
        <v/>
      </c>
      <c r="N1357" s="36"/>
      <c r="O1357" s="37"/>
      <c r="P1357" s="39"/>
      <c r="Q1357" s="41"/>
      <c r="R1357" s="35" t="str">
        <f aca="true">IF(OR($B1357="",$Q1357=""),"",DATEDIF($Q1357,TODAY(),"Y"))</f>
        <v/>
      </c>
      <c r="S1357" s="40" t="str">
        <f aca="false">IF($R1357="","",INDEX(usia_label,MATCH($R1357,usia_min,1)))</f>
        <v/>
      </c>
      <c r="T1357" s="36"/>
      <c r="U1357" s="41"/>
      <c r="V1357" s="36"/>
      <c r="W1357" s="36"/>
      <c r="X1357" s="40" t="str">
        <f aca="false">IF($M1357="","",$M1357&amp;"#"&amp;COUNTIF($M$4:$M1357,$M1357))</f>
        <v/>
      </c>
      <c r="Y1357" s="40" t="str">
        <f aca="false">IF($B1357="","",IF($C1357="","NIK kosong",IF(LEN($C1357)&lt;&gt;16,"NIK bukan 16 digit",IF(COUNTIF($C$4:$C$2003,$C1357&amp;"*")&gt;1,"NIK ganda",IF(AND($D1357&lt;&gt;"",LEN($D1357)&lt;&gt;16),"No. KK bukan 16 digit",IF(AND($F1357="",$I1357=""),"Alamat kosong",IF($N1357="","Jabatan kosong",IF($O1357="","No. HP kosong",IF(AND($R1357&lt;&gt;"",$R1357&lt;17),"Usia di bawah 17","")))))))))</f>
        <v/>
      </c>
      <c r="Z1357" s="40" t="str">
        <f aca="false">IF($B1357="","",IF(AND(OR(CARI!$C$5="",ISNUMBER(SEARCH(CARI!$C$5,$B1357&amp;" "&amp;$C1357&amp;" "&amp;$D1357&amp;" "&amp;$O1357&amp;" "&amp;$I1357&amp;" "&amp;$F1357&amp;" "&amp;$J1357&amp;" "&amp;$K1357&amp;" "&amp;$L1357&amp;" "&amp;$V1357))),OR(CARI!$C$6="",$F1357=CARI!$C$6),OR(CARI!$C$7="",$G1357=CARI!$C$7),OR(CARI!$C$8="",$T1357=CARI!$C$8)),MAX($Z$3:Z1356)+1,""))</f>
        <v/>
      </c>
      <c r="AA1357" s="40" t="str">
        <f aca="false">IF($Y1357="","",MAX($AA$3:AA1356)+1)</f>
        <v/>
      </c>
      <c r="AB1357" s="40" t="str">
        <f aca="false">IF($F1357="","",$F1357&amp;"#"&amp;COUNTIF($F$4:$F1357,$F1357))</f>
        <v/>
      </c>
      <c r="AC1357" s="40" t="str">
        <f aca="false">IF($B1357="","",IF(AND(OR(CETAK!$J$10="",$F1357=CETAK!$J$10),OR(CETAK!$J$11="",$G1357=CETAK!$J$11),OR(CETAK!$J$12="",$P1357=CETAK!$J$12),OR(CETAK!$J$13="",$N1357=CETAK!$J$13),OR(CETAK!$J$14="",$T1357=CETAK!$J$14)),MAX($AC$3:AC1356)+1,""))</f>
        <v/>
      </c>
      <c r="AD1357" s="40" t="str">
        <f aca="false">IF($B1357="","",IF(AND(OR(ABSENSI!$H$10="",$F1357=ABSENSI!$H$10),OR(ABSENSI!$H$11="",$G1357=ABSENSI!$H$11),OR(ABSENSI!$H$12="",$P1357=ABSENSI!$H$12)),MAX($AD$3:AD1356)+1,""))</f>
        <v/>
      </c>
      <c r="AE1357" s="40" t="str">
        <f aca="false">IF($B1357="","",IF(AND(OR(KARTU!$K$6="",$F1357=KARTU!$K$6),OR(KARTU!$K$7="",$G1357=KARTU!$K$7),OR(KARTU!$K$8="",$P1357=KARTU!$K$8)),MAX($AE$3:AE1356)+1,""))</f>
        <v/>
      </c>
    </row>
    <row r="1358" customFormat="false" ht="15" hidden="false" customHeight="false" outlineLevel="0" collapsed="false">
      <c r="A1358" s="35" t="str">
        <f aca="false">IF($B1358="","",COUNTA($B$4:$B1358))</f>
        <v/>
      </c>
      <c r="B1358" s="36"/>
      <c r="C1358" s="37"/>
      <c r="D1358" s="37"/>
      <c r="E1358" s="38"/>
      <c r="F1358" s="36"/>
      <c r="G1358" s="39"/>
      <c r="H1358" s="39"/>
      <c r="I1358" s="36"/>
      <c r="J1358" s="36"/>
      <c r="K1358" s="36"/>
      <c r="L1358" s="36"/>
      <c r="M1358" s="40" t="str">
        <f aca="false">IF($F1358="","",$F1358&amp;IF($G1358="",""," - RT "&amp;$G1358&amp;IF($H1358="","","/"&amp;$H1358)))</f>
        <v/>
      </c>
      <c r="N1358" s="36"/>
      <c r="O1358" s="37"/>
      <c r="P1358" s="39"/>
      <c r="Q1358" s="41"/>
      <c r="R1358" s="35" t="str">
        <f aca="true">IF(OR($B1358="",$Q1358=""),"",DATEDIF($Q1358,TODAY(),"Y"))</f>
        <v/>
      </c>
      <c r="S1358" s="40" t="str">
        <f aca="false">IF($R1358="","",INDEX(usia_label,MATCH($R1358,usia_min,1)))</f>
        <v/>
      </c>
      <c r="T1358" s="36"/>
      <c r="U1358" s="41"/>
      <c r="V1358" s="36"/>
      <c r="W1358" s="36"/>
      <c r="X1358" s="40" t="str">
        <f aca="false">IF($M1358="","",$M1358&amp;"#"&amp;COUNTIF($M$4:$M1358,$M1358))</f>
        <v/>
      </c>
      <c r="Y1358" s="40" t="str">
        <f aca="false">IF($B1358="","",IF($C1358="","NIK kosong",IF(LEN($C1358)&lt;&gt;16,"NIK bukan 16 digit",IF(COUNTIF($C$4:$C$2003,$C1358&amp;"*")&gt;1,"NIK ganda",IF(AND($D1358&lt;&gt;"",LEN($D1358)&lt;&gt;16),"No. KK bukan 16 digit",IF(AND($F1358="",$I1358=""),"Alamat kosong",IF($N1358="","Jabatan kosong",IF($O1358="","No. HP kosong",IF(AND($R1358&lt;&gt;"",$R1358&lt;17),"Usia di bawah 17","")))))))))</f>
        <v/>
      </c>
      <c r="Z1358" s="40" t="str">
        <f aca="false">IF($B1358="","",IF(AND(OR(CARI!$C$5="",ISNUMBER(SEARCH(CARI!$C$5,$B1358&amp;" "&amp;$C1358&amp;" "&amp;$D1358&amp;" "&amp;$O1358&amp;" "&amp;$I1358&amp;" "&amp;$F1358&amp;" "&amp;$J1358&amp;" "&amp;$K1358&amp;" "&amp;$L1358&amp;" "&amp;$V1358))),OR(CARI!$C$6="",$F1358=CARI!$C$6),OR(CARI!$C$7="",$G1358=CARI!$C$7),OR(CARI!$C$8="",$T1358=CARI!$C$8)),MAX($Z$3:Z1357)+1,""))</f>
        <v/>
      </c>
      <c r="AA1358" s="40" t="str">
        <f aca="false">IF($Y1358="","",MAX($AA$3:AA1357)+1)</f>
        <v/>
      </c>
      <c r="AB1358" s="40" t="str">
        <f aca="false">IF($F1358="","",$F1358&amp;"#"&amp;COUNTIF($F$4:$F1358,$F1358))</f>
        <v/>
      </c>
      <c r="AC1358" s="40" t="str">
        <f aca="false">IF($B1358="","",IF(AND(OR(CETAK!$J$10="",$F1358=CETAK!$J$10),OR(CETAK!$J$11="",$G1358=CETAK!$J$11),OR(CETAK!$J$12="",$P1358=CETAK!$J$12),OR(CETAK!$J$13="",$N1358=CETAK!$J$13),OR(CETAK!$J$14="",$T1358=CETAK!$J$14)),MAX($AC$3:AC1357)+1,""))</f>
        <v/>
      </c>
      <c r="AD1358" s="40" t="str">
        <f aca="false">IF($B1358="","",IF(AND(OR(ABSENSI!$H$10="",$F1358=ABSENSI!$H$10),OR(ABSENSI!$H$11="",$G1358=ABSENSI!$H$11),OR(ABSENSI!$H$12="",$P1358=ABSENSI!$H$12)),MAX($AD$3:AD1357)+1,""))</f>
        <v/>
      </c>
      <c r="AE1358" s="40" t="str">
        <f aca="false">IF($B1358="","",IF(AND(OR(KARTU!$K$6="",$F1358=KARTU!$K$6),OR(KARTU!$K$7="",$G1358=KARTU!$K$7),OR(KARTU!$K$8="",$P1358=KARTU!$K$8)),MAX($AE$3:AE1357)+1,""))</f>
        <v/>
      </c>
    </row>
    <row r="1359" customFormat="false" ht="15" hidden="false" customHeight="false" outlineLevel="0" collapsed="false">
      <c r="A1359" s="35" t="str">
        <f aca="false">IF($B1359="","",COUNTA($B$4:$B1359))</f>
        <v/>
      </c>
      <c r="B1359" s="36"/>
      <c r="C1359" s="37"/>
      <c r="D1359" s="37"/>
      <c r="E1359" s="38"/>
      <c r="F1359" s="36"/>
      <c r="G1359" s="39"/>
      <c r="H1359" s="39"/>
      <c r="I1359" s="36"/>
      <c r="J1359" s="36"/>
      <c r="K1359" s="36"/>
      <c r="L1359" s="36"/>
      <c r="M1359" s="40" t="str">
        <f aca="false">IF($F1359="","",$F1359&amp;IF($G1359="",""," - RT "&amp;$G1359&amp;IF($H1359="","","/"&amp;$H1359)))</f>
        <v/>
      </c>
      <c r="N1359" s="36"/>
      <c r="O1359" s="37"/>
      <c r="P1359" s="39"/>
      <c r="Q1359" s="41"/>
      <c r="R1359" s="35" t="str">
        <f aca="true">IF(OR($B1359="",$Q1359=""),"",DATEDIF($Q1359,TODAY(),"Y"))</f>
        <v/>
      </c>
      <c r="S1359" s="40" t="str">
        <f aca="false">IF($R1359="","",INDEX(usia_label,MATCH($R1359,usia_min,1)))</f>
        <v/>
      </c>
      <c r="T1359" s="36"/>
      <c r="U1359" s="41"/>
      <c r="V1359" s="36"/>
      <c r="W1359" s="36"/>
      <c r="X1359" s="40" t="str">
        <f aca="false">IF($M1359="","",$M1359&amp;"#"&amp;COUNTIF($M$4:$M1359,$M1359))</f>
        <v/>
      </c>
      <c r="Y1359" s="40" t="str">
        <f aca="false">IF($B1359="","",IF($C1359="","NIK kosong",IF(LEN($C1359)&lt;&gt;16,"NIK bukan 16 digit",IF(COUNTIF($C$4:$C$2003,$C1359&amp;"*")&gt;1,"NIK ganda",IF(AND($D1359&lt;&gt;"",LEN($D1359)&lt;&gt;16),"No. KK bukan 16 digit",IF(AND($F1359="",$I1359=""),"Alamat kosong",IF($N1359="","Jabatan kosong",IF($O1359="","No. HP kosong",IF(AND($R1359&lt;&gt;"",$R1359&lt;17),"Usia di bawah 17","")))))))))</f>
        <v/>
      </c>
      <c r="Z1359" s="40" t="str">
        <f aca="false">IF($B1359="","",IF(AND(OR(CARI!$C$5="",ISNUMBER(SEARCH(CARI!$C$5,$B1359&amp;" "&amp;$C1359&amp;" "&amp;$D1359&amp;" "&amp;$O1359&amp;" "&amp;$I1359&amp;" "&amp;$F1359&amp;" "&amp;$J1359&amp;" "&amp;$K1359&amp;" "&amp;$L1359&amp;" "&amp;$V1359))),OR(CARI!$C$6="",$F1359=CARI!$C$6),OR(CARI!$C$7="",$G1359=CARI!$C$7),OR(CARI!$C$8="",$T1359=CARI!$C$8)),MAX($Z$3:Z1358)+1,""))</f>
        <v/>
      </c>
      <c r="AA1359" s="40" t="str">
        <f aca="false">IF($Y1359="","",MAX($AA$3:AA1358)+1)</f>
        <v/>
      </c>
      <c r="AB1359" s="40" t="str">
        <f aca="false">IF($F1359="","",$F1359&amp;"#"&amp;COUNTIF($F$4:$F1359,$F1359))</f>
        <v/>
      </c>
      <c r="AC1359" s="40" t="str">
        <f aca="false">IF($B1359="","",IF(AND(OR(CETAK!$J$10="",$F1359=CETAK!$J$10),OR(CETAK!$J$11="",$G1359=CETAK!$J$11),OR(CETAK!$J$12="",$P1359=CETAK!$J$12),OR(CETAK!$J$13="",$N1359=CETAK!$J$13),OR(CETAK!$J$14="",$T1359=CETAK!$J$14)),MAX($AC$3:AC1358)+1,""))</f>
        <v/>
      </c>
      <c r="AD1359" s="40" t="str">
        <f aca="false">IF($B1359="","",IF(AND(OR(ABSENSI!$H$10="",$F1359=ABSENSI!$H$10),OR(ABSENSI!$H$11="",$G1359=ABSENSI!$H$11),OR(ABSENSI!$H$12="",$P1359=ABSENSI!$H$12)),MAX($AD$3:AD1358)+1,""))</f>
        <v/>
      </c>
      <c r="AE1359" s="40" t="str">
        <f aca="false">IF($B1359="","",IF(AND(OR(KARTU!$K$6="",$F1359=KARTU!$K$6),OR(KARTU!$K$7="",$G1359=KARTU!$K$7),OR(KARTU!$K$8="",$P1359=KARTU!$K$8)),MAX($AE$3:AE1358)+1,""))</f>
        <v/>
      </c>
    </row>
    <row r="1360" customFormat="false" ht="15" hidden="false" customHeight="false" outlineLevel="0" collapsed="false">
      <c r="A1360" s="35" t="str">
        <f aca="false">IF($B1360="","",COUNTA($B$4:$B1360))</f>
        <v/>
      </c>
      <c r="B1360" s="36"/>
      <c r="C1360" s="37"/>
      <c r="D1360" s="37"/>
      <c r="E1360" s="38"/>
      <c r="F1360" s="36"/>
      <c r="G1360" s="39"/>
      <c r="H1360" s="39"/>
      <c r="I1360" s="36"/>
      <c r="J1360" s="36"/>
      <c r="K1360" s="36"/>
      <c r="L1360" s="36"/>
      <c r="M1360" s="40" t="str">
        <f aca="false">IF($F1360="","",$F1360&amp;IF($G1360="",""," - RT "&amp;$G1360&amp;IF($H1360="","","/"&amp;$H1360)))</f>
        <v/>
      </c>
      <c r="N1360" s="36"/>
      <c r="O1360" s="37"/>
      <c r="P1360" s="39"/>
      <c r="Q1360" s="41"/>
      <c r="R1360" s="35" t="str">
        <f aca="true">IF(OR($B1360="",$Q1360=""),"",DATEDIF($Q1360,TODAY(),"Y"))</f>
        <v/>
      </c>
      <c r="S1360" s="40" t="str">
        <f aca="false">IF($R1360="","",INDEX(usia_label,MATCH($R1360,usia_min,1)))</f>
        <v/>
      </c>
      <c r="T1360" s="36"/>
      <c r="U1360" s="41"/>
      <c r="V1360" s="36"/>
      <c r="W1360" s="36"/>
      <c r="X1360" s="40" t="str">
        <f aca="false">IF($M1360="","",$M1360&amp;"#"&amp;COUNTIF($M$4:$M1360,$M1360))</f>
        <v/>
      </c>
      <c r="Y1360" s="40" t="str">
        <f aca="false">IF($B1360="","",IF($C1360="","NIK kosong",IF(LEN($C1360)&lt;&gt;16,"NIK bukan 16 digit",IF(COUNTIF($C$4:$C$2003,$C1360&amp;"*")&gt;1,"NIK ganda",IF(AND($D1360&lt;&gt;"",LEN($D1360)&lt;&gt;16),"No. KK bukan 16 digit",IF(AND($F1360="",$I1360=""),"Alamat kosong",IF($N1360="","Jabatan kosong",IF($O1360="","No. HP kosong",IF(AND($R1360&lt;&gt;"",$R1360&lt;17),"Usia di bawah 17","")))))))))</f>
        <v/>
      </c>
      <c r="Z1360" s="40" t="str">
        <f aca="false">IF($B1360="","",IF(AND(OR(CARI!$C$5="",ISNUMBER(SEARCH(CARI!$C$5,$B1360&amp;" "&amp;$C1360&amp;" "&amp;$D1360&amp;" "&amp;$O1360&amp;" "&amp;$I1360&amp;" "&amp;$F1360&amp;" "&amp;$J1360&amp;" "&amp;$K1360&amp;" "&amp;$L1360&amp;" "&amp;$V1360))),OR(CARI!$C$6="",$F1360=CARI!$C$6),OR(CARI!$C$7="",$G1360=CARI!$C$7),OR(CARI!$C$8="",$T1360=CARI!$C$8)),MAX($Z$3:Z1359)+1,""))</f>
        <v/>
      </c>
      <c r="AA1360" s="40" t="str">
        <f aca="false">IF($Y1360="","",MAX($AA$3:AA1359)+1)</f>
        <v/>
      </c>
      <c r="AB1360" s="40" t="str">
        <f aca="false">IF($F1360="","",$F1360&amp;"#"&amp;COUNTIF($F$4:$F1360,$F1360))</f>
        <v/>
      </c>
      <c r="AC1360" s="40" t="str">
        <f aca="false">IF($B1360="","",IF(AND(OR(CETAK!$J$10="",$F1360=CETAK!$J$10),OR(CETAK!$J$11="",$G1360=CETAK!$J$11),OR(CETAK!$J$12="",$P1360=CETAK!$J$12),OR(CETAK!$J$13="",$N1360=CETAK!$J$13),OR(CETAK!$J$14="",$T1360=CETAK!$J$14)),MAX($AC$3:AC1359)+1,""))</f>
        <v/>
      </c>
      <c r="AD1360" s="40" t="str">
        <f aca="false">IF($B1360="","",IF(AND(OR(ABSENSI!$H$10="",$F1360=ABSENSI!$H$10),OR(ABSENSI!$H$11="",$G1360=ABSENSI!$H$11),OR(ABSENSI!$H$12="",$P1360=ABSENSI!$H$12)),MAX($AD$3:AD1359)+1,""))</f>
        <v/>
      </c>
      <c r="AE1360" s="40" t="str">
        <f aca="false">IF($B1360="","",IF(AND(OR(KARTU!$K$6="",$F1360=KARTU!$K$6),OR(KARTU!$K$7="",$G1360=KARTU!$K$7),OR(KARTU!$K$8="",$P1360=KARTU!$K$8)),MAX($AE$3:AE1359)+1,""))</f>
        <v/>
      </c>
    </row>
    <row r="1361" customFormat="false" ht="15" hidden="false" customHeight="false" outlineLevel="0" collapsed="false">
      <c r="A1361" s="35" t="str">
        <f aca="false">IF($B1361="","",COUNTA($B$4:$B1361))</f>
        <v/>
      </c>
      <c r="B1361" s="36"/>
      <c r="C1361" s="37"/>
      <c r="D1361" s="37"/>
      <c r="E1361" s="38"/>
      <c r="F1361" s="36"/>
      <c r="G1361" s="39"/>
      <c r="H1361" s="39"/>
      <c r="I1361" s="36"/>
      <c r="J1361" s="36"/>
      <c r="K1361" s="36"/>
      <c r="L1361" s="36"/>
      <c r="M1361" s="40" t="str">
        <f aca="false">IF($F1361="","",$F1361&amp;IF($G1361="",""," - RT "&amp;$G1361&amp;IF($H1361="","","/"&amp;$H1361)))</f>
        <v/>
      </c>
      <c r="N1361" s="36"/>
      <c r="O1361" s="37"/>
      <c r="P1361" s="39"/>
      <c r="Q1361" s="41"/>
      <c r="R1361" s="35" t="str">
        <f aca="true">IF(OR($B1361="",$Q1361=""),"",DATEDIF($Q1361,TODAY(),"Y"))</f>
        <v/>
      </c>
      <c r="S1361" s="40" t="str">
        <f aca="false">IF($R1361="","",INDEX(usia_label,MATCH($R1361,usia_min,1)))</f>
        <v/>
      </c>
      <c r="T1361" s="36"/>
      <c r="U1361" s="41"/>
      <c r="V1361" s="36"/>
      <c r="W1361" s="36"/>
      <c r="X1361" s="40" t="str">
        <f aca="false">IF($M1361="","",$M1361&amp;"#"&amp;COUNTIF($M$4:$M1361,$M1361))</f>
        <v/>
      </c>
      <c r="Y1361" s="40" t="str">
        <f aca="false">IF($B1361="","",IF($C1361="","NIK kosong",IF(LEN($C1361)&lt;&gt;16,"NIK bukan 16 digit",IF(COUNTIF($C$4:$C$2003,$C1361&amp;"*")&gt;1,"NIK ganda",IF(AND($D1361&lt;&gt;"",LEN($D1361)&lt;&gt;16),"No. KK bukan 16 digit",IF(AND($F1361="",$I1361=""),"Alamat kosong",IF($N1361="","Jabatan kosong",IF($O1361="","No. HP kosong",IF(AND($R1361&lt;&gt;"",$R1361&lt;17),"Usia di bawah 17","")))))))))</f>
        <v/>
      </c>
      <c r="Z1361" s="40" t="str">
        <f aca="false">IF($B1361="","",IF(AND(OR(CARI!$C$5="",ISNUMBER(SEARCH(CARI!$C$5,$B1361&amp;" "&amp;$C1361&amp;" "&amp;$D1361&amp;" "&amp;$O1361&amp;" "&amp;$I1361&amp;" "&amp;$F1361&amp;" "&amp;$J1361&amp;" "&amp;$K1361&amp;" "&amp;$L1361&amp;" "&amp;$V1361))),OR(CARI!$C$6="",$F1361=CARI!$C$6),OR(CARI!$C$7="",$G1361=CARI!$C$7),OR(CARI!$C$8="",$T1361=CARI!$C$8)),MAX($Z$3:Z1360)+1,""))</f>
        <v/>
      </c>
      <c r="AA1361" s="40" t="str">
        <f aca="false">IF($Y1361="","",MAX($AA$3:AA1360)+1)</f>
        <v/>
      </c>
      <c r="AB1361" s="40" t="str">
        <f aca="false">IF($F1361="","",$F1361&amp;"#"&amp;COUNTIF($F$4:$F1361,$F1361))</f>
        <v/>
      </c>
      <c r="AC1361" s="40" t="str">
        <f aca="false">IF($B1361="","",IF(AND(OR(CETAK!$J$10="",$F1361=CETAK!$J$10),OR(CETAK!$J$11="",$G1361=CETAK!$J$11),OR(CETAK!$J$12="",$P1361=CETAK!$J$12),OR(CETAK!$J$13="",$N1361=CETAK!$J$13),OR(CETAK!$J$14="",$T1361=CETAK!$J$14)),MAX($AC$3:AC1360)+1,""))</f>
        <v/>
      </c>
      <c r="AD1361" s="40" t="str">
        <f aca="false">IF($B1361="","",IF(AND(OR(ABSENSI!$H$10="",$F1361=ABSENSI!$H$10),OR(ABSENSI!$H$11="",$G1361=ABSENSI!$H$11),OR(ABSENSI!$H$12="",$P1361=ABSENSI!$H$12)),MAX($AD$3:AD1360)+1,""))</f>
        <v/>
      </c>
      <c r="AE1361" s="40" t="str">
        <f aca="false">IF($B1361="","",IF(AND(OR(KARTU!$K$6="",$F1361=KARTU!$K$6),OR(KARTU!$K$7="",$G1361=KARTU!$K$7),OR(KARTU!$K$8="",$P1361=KARTU!$K$8)),MAX($AE$3:AE1360)+1,""))</f>
        <v/>
      </c>
    </row>
    <row r="1362" customFormat="false" ht="15" hidden="false" customHeight="false" outlineLevel="0" collapsed="false">
      <c r="A1362" s="35" t="str">
        <f aca="false">IF($B1362="","",COUNTA($B$4:$B1362))</f>
        <v/>
      </c>
      <c r="B1362" s="36"/>
      <c r="C1362" s="37"/>
      <c r="D1362" s="37"/>
      <c r="E1362" s="38"/>
      <c r="F1362" s="36"/>
      <c r="G1362" s="39"/>
      <c r="H1362" s="39"/>
      <c r="I1362" s="36"/>
      <c r="J1362" s="36"/>
      <c r="K1362" s="36"/>
      <c r="L1362" s="36"/>
      <c r="M1362" s="40" t="str">
        <f aca="false">IF($F1362="","",$F1362&amp;IF($G1362="",""," - RT "&amp;$G1362&amp;IF($H1362="","","/"&amp;$H1362)))</f>
        <v/>
      </c>
      <c r="N1362" s="36"/>
      <c r="O1362" s="37"/>
      <c r="P1362" s="39"/>
      <c r="Q1362" s="41"/>
      <c r="R1362" s="35" t="str">
        <f aca="true">IF(OR($B1362="",$Q1362=""),"",DATEDIF($Q1362,TODAY(),"Y"))</f>
        <v/>
      </c>
      <c r="S1362" s="40" t="str">
        <f aca="false">IF($R1362="","",INDEX(usia_label,MATCH($R1362,usia_min,1)))</f>
        <v/>
      </c>
      <c r="T1362" s="36"/>
      <c r="U1362" s="41"/>
      <c r="V1362" s="36"/>
      <c r="W1362" s="36"/>
      <c r="X1362" s="40" t="str">
        <f aca="false">IF($M1362="","",$M1362&amp;"#"&amp;COUNTIF($M$4:$M1362,$M1362))</f>
        <v/>
      </c>
      <c r="Y1362" s="40" t="str">
        <f aca="false">IF($B1362="","",IF($C1362="","NIK kosong",IF(LEN($C1362)&lt;&gt;16,"NIK bukan 16 digit",IF(COUNTIF($C$4:$C$2003,$C1362&amp;"*")&gt;1,"NIK ganda",IF(AND($D1362&lt;&gt;"",LEN($D1362)&lt;&gt;16),"No. KK bukan 16 digit",IF(AND($F1362="",$I1362=""),"Alamat kosong",IF($N1362="","Jabatan kosong",IF($O1362="","No. HP kosong",IF(AND($R1362&lt;&gt;"",$R1362&lt;17),"Usia di bawah 17","")))))))))</f>
        <v/>
      </c>
      <c r="Z1362" s="40" t="str">
        <f aca="false">IF($B1362="","",IF(AND(OR(CARI!$C$5="",ISNUMBER(SEARCH(CARI!$C$5,$B1362&amp;" "&amp;$C1362&amp;" "&amp;$D1362&amp;" "&amp;$O1362&amp;" "&amp;$I1362&amp;" "&amp;$F1362&amp;" "&amp;$J1362&amp;" "&amp;$K1362&amp;" "&amp;$L1362&amp;" "&amp;$V1362))),OR(CARI!$C$6="",$F1362=CARI!$C$6),OR(CARI!$C$7="",$G1362=CARI!$C$7),OR(CARI!$C$8="",$T1362=CARI!$C$8)),MAX($Z$3:Z1361)+1,""))</f>
        <v/>
      </c>
      <c r="AA1362" s="40" t="str">
        <f aca="false">IF($Y1362="","",MAX($AA$3:AA1361)+1)</f>
        <v/>
      </c>
      <c r="AB1362" s="40" t="str">
        <f aca="false">IF($F1362="","",$F1362&amp;"#"&amp;COUNTIF($F$4:$F1362,$F1362))</f>
        <v/>
      </c>
      <c r="AC1362" s="40" t="str">
        <f aca="false">IF($B1362="","",IF(AND(OR(CETAK!$J$10="",$F1362=CETAK!$J$10),OR(CETAK!$J$11="",$G1362=CETAK!$J$11),OR(CETAK!$J$12="",$P1362=CETAK!$J$12),OR(CETAK!$J$13="",$N1362=CETAK!$J$13),OR(CETAK!$J$14="",$T1362=CETAK!$J$14)),MAX($AC$3:AC1361)+1,""))</f>
        <v/>
      </c>
      <c r="AD1362" s="40" t="str">
        <f aca="false">IF($B1362="","",IF(AND(OR(ABSENSI!$H$10="",$F1362=ABSENSI!$H$10),OR(ABSENSI!$H$11="",$G1362=ABSENSI!$H$11),OR(ABSENSI!$H$12="",$P1362=ABSENSI!$H$12)),MAX($AD$3:AD1361)+1,""))</f>
        <v/>
      </c>
      <c r="AE1362" s="40" t="str">
        <f aca="false">IF($B1362="","",IF(AND(OR(KARTU!$K$6="",$F1362=KARTU!$K$6),OR(KARTU!$K$7="",$G1362=KARTU!$K$7),OR(KARTU!$K$8="",$P1362=KARTU!$K$8)),MAX($AE$3:AE1361)+1,""))</f>
        <v/>
      </c>
    </row>
    <row r="1363" customFormat="false" ht="15" hidden="false" customHeight="false" outlineLevel="0" collapsed="false">
      <c r="A1363" s="35" t="str">
        <f aca="false">IF($B1363="","",COUNTA($B$4:$B1363))</f>
        <v/>
      </c>
      <c r="B1363" s="36"/>
      <c r="C1363" s="37"/>
      <c r="D1363" s="37"/>
      <c r="E1363" s="38"/>
      <c r="F1363" s="36"/>
      <c r="G1363" s="39"/>
      <c r="H1363" s="39"/>
      <c r="I1363" s="36"/>
      <c r="J1363" s="36"/>
      <c r="K1363" s="36"/>
      <c r="L1363" s="36"/>
      <c r="M1363" s="40" t="str">
        <f aca="false">IF($F1363="","",$F1363&amp;IF($G1363="",""," - RT "&amp;$G1363&amp;IF($H1363="","","/"&amp;$H1363)))</f>
        <v/>
      </c>
      <c r="N1363" s="36"/>
      <c r="O1363" s="37"/>
      <c r="P1363" s="39"/>
      <c r="Q1363" s="41"/>
      <c r="R1363" s="35" t="str">
        <f aca="true">IF(OR($B1363="",$Q1363=""),"",DATEDIF($Q1363,TODAY(),"Y"))</f>
        <v/>
      </c>
      <c r="S1363" s="40" t="str">
        <f aca="false">IF($R1363="","",INDEX(usia_label,MATCH($R1363,usia_min,1)))</f>
        <v/>
      </c>
      <c r="T1363" s="36"/>
      <c r="U1363" s="41"/>
      <c r="V1363" s="36"/>
      <c r="W1363" s="36"/>
      <c r="X1363" s="40" t="str">
        <f aca="false">IF($M1363="","",$M1363&amp;"#"&amp;COUNTIF($M$4:$M1363,$M1363))</f>
        <v/>
      </c>
      <c r="Y1363" s="40" t="str">
        <f aca="false">IF($B1363="","",IF($C1363="","NIK kosong",IF(LEN($C1363)&lt;&gt;16,"NIK bukan 16 digit",IF(COUNTIF($C$4:$C$2003,$C1363&amp;"*")&gt;1,"NIK ganda",IF(AND($D1363&lt;&gt;"",LEN($D1363)&lt;&gt;16),"No. KK bukan 16 digit",IF(AND($F1363="",$I1363=""),"Alamat kosong",IF($N1363="","Jabatan kosong",IF($O1363="","No. HP kosong",IF(AND($R1363&lt;&gt;"",$R1363&lt;17),"Usia di bawah 17","")))))))))</f>
        <v/>
      </c>
      <c r="Z1363" s="40" t="str">
        <f aca="false">IF($B1363="","",IF(AND(OR(CARI!$C$5="",ISNUMBER(SEARCH(CARI!$C$5,$B1363&amp;" "&amp;$C1363&amp;" "&amp;$D1363&amp;" "&amp;$O1363&amp;" "&amp;$I1363&amp;" "&amp;$F1363&amp;" "&amp;$J1363&amp;" "&amp;$K1363&amp;" "&amp;$L1363&amp;" "&amp;$V1363))),OR(CARI!$C$6="",$F1363=CARI!$C$6),OR(CARI!$C$7="",$G1363=CARI!$C$7),OR(CARI!$C$8="",$T1363=CARI!$C$8)),MAX($Z$3:Z1362)+1,""))</f>
        <v/>
      </c>
      <c r="AA1363" s="40" t="str">
        <f aca="false">IF($Y1363="","",MAX($AA$3:AA1362)+1)</f>
        <v/>
      </c>
      <c r="AB1363" s="40" t="str">
        <f aca="false">IF($F1363="","",$F1363&amp;"#"&amp;COUNTIF($F$4:$F1363,$F1363))</f>
        <v/>
      </c>
      <c r="AC1363" s="40" t="str">
        <f aca="false">IF($B1363="","",IF(AND(OR(CETAK!$J$10="",$F1363=CETAK!$J$10),OR(CETAK!$J$11="",$G1363=CETAK!$J$11),OR(CETAK!$J$12="",$P1363=CETAK!$J$12),OR(CETAK!$J$13="",$N1363=CETAK!$J$13),OR(CETAK!$J$14="",$T1363=CETAK!$J$14)),MAX($AC$3:AC1362)+1,""))</f>
        <v/>
      </c>
      <c r="AD1363" s="40" t="str">
        <f aca="false">IF($B1363="","",IF(AND(OR(ABSENSI!$H$10="",$F1363=ABSENSI!$H$10),OR(ABSENSI!$H$11="",$G1363=ABSENSI!$H$11),OR(ABSENSI!$H$12="",$P1363=ABSENSI!$H$12)),MAX($AD$3:AD1362)+1,""))</f>
        <v/>
      </c>
      <c r="AE1363" s="40" t="str">
        <f aca="false">IF($B1363="","",IF(AND(OR(KARTU!$K$6="",$F1363=KARTU!$K$6),OR(KARTU!$K$7="",$G1363=KARTU!$K$7),OR(KARTU!$K$8="",$P1363=KARTU!$K$8)),MAX($AE$3:AE1362)+1,""))</f>
        <v/>
      </c>
    </row>
    <row r="1364" customFormat="false" ht="15" hidden="false" customHeight="false" outlineLevel="0" collapsed="false">
      <c r="A1364" s="35" t="str">
        <f aca="false">IF($B1364="","",COUNTA($B$4:$B1364))</f>
        <v/>
      </c>
      <c r="B1364" s="36"/>
      <c r="C1364" s="37"/>
      <c r="D1364" s="37"/>
      <c r="E1364" s="38"/>
      <c r="F1364" s="36"/>
      <c r="G1364" s="39"/>
      <c r="H1364" s="39"/>
      <c r="I1364" s="36"/>
      <c r="J1364" s="36"/>
      <c r="K1364" s="36"/>
      <c r="L1364" s="36"/>
      <c r="M1364" s="40" t="str">
        <f aca="false">IF($F1364="","",$F1364&amp;IF($G1364="",""," - RT "&amp;$G1364&amp;IF($H1364="","","/"&amp;$H1364)))</f>
        <v/>
      </c>
      <c r="N1364" s="36"/>
      <c r="O1364" s="37"/>
      <c r="P1364" s="39"/>
      <c r="Q1364" s="41"/>
      <c r="R1364" s="35" t="str">
        <f aca="true">IF(OR($B1364="",$Q1364=""),"",DATEDIF($Q1364,TODAY(),"Y"))</f>
        <v/>
      </c>
      <c r="S1364" s="40" t="str">
        <f aca="false">IF($R1364="","",INDEX(usia_label,MATCH($R1364,usia_min,1)))</f>
        <v/>
      </c>
      <c r="T1364" s="36"/>
      <c r="U1364" s="41"/>
      <c r="V1364" s="36"/>
      <c r="W1364" s="36"/>
      <c r="X1364" s="40" t="str">
        <f aca="false">IF($M1364="","",$M1364&amp;"#"&amp;COUNTIF($M$4:$M1364,$M1364))</f>
        <v/>
      </c>
      <c r="Y1364" s="40" t="str">
        <f aca="false">IF($B1364="","",IF($C1364="","NIK kosong",IF(LEN($C1364)&lt;&gt;16,"NIK bukan 16 digit",IF(COUNTIF($C$4:$C$2003,$C1364&amp;"*")&gt;1,"NIK ganda",IF(AND($D1364&lt;&gt;"",LEN($D1364)&lt;&gt;16),"No. KK bukan 16 digit",IF(AND($F1364="",$I1364=""),"Alamat kosong",IF($N1364="","Jabatan kosong",IF($O1364="","No. HP kosong",IF(AND($R1364&lt;&gt;"",$R1364&lt;17),"Usia di bawah 17","")))))))))</f>
        <v/>
      </c>
      <c r="Z1364" s="40" t="str">
        <f aca="false">IF($B1364="","",IF(AND(OR(CARI!$C$5="",ISNUMBER(SEARCH(CARI!$C$5,$B1364&amp;" "&amp;$C1364&amp;" "&amp;$D1364&amp;" "&amp;$O1364&amp;" "&amp;$I1364&amp;" "&amp;$F1364&amp;" "&amp;$J1364&amp;" "&amp;$K1364&amp;" "&amp;$L1364&amp;" "&amp;$V1364))),OR(CARI!$C$6="",$F1364=CARI!$C$6),OR(CARI!$C$7="",$G1364=CARI!$C$7),OR(CARI!$C$8="",$T1364=CARI!$C$8)),MAX($Z$3:Z1363)+1,""))</f>
        <v/>
      </c>
      <c r="AA1364" s="40" t="str">
        <f aca="false">IF($Y1364="","",MAX($AA$3:AA1363)+1)</f>
        <v/>
      </c>
      <c r="AB1364" s="40" t="str">
        <f aca="false">IF($F1364="","",$F1364&amp;"#"&amp;COUNTIF($F$4:$F1364,$F1364))</f>
        <v/>
      </c>
      <c r="AC1364" s="40" t="str">
        <f aca="false">IF($B1364="","",IF(AND(OR(CETAK!$J$10="",$F1364=CETAK!$J$10),OR(CETAK!$J$11="",$G1364=CETAK!$J$11),OR(CETAK!$J$12="",$P1364=CETAK!$J$12),OR(CETAK!$J$13="",$N1364=CETAK!$J$13),OR(CETAK!$J$14="",$T1364=CETAK!$J$14)),MAX($AC$3:AC1363)+1,""))</f>
        <v/>
      </c>
      <c r="AD1364" s="40" t="str">
        <f aca="false">IF($B1364="","",IF(AND(OR(ABSENSI!$H$10="",$F1364=ABSENSI!$H$10),OR(ABSENSI!$H$11="",$G1364=ABSENSI!$H$11),OR(ABSENSI!$H$12="",$P1364=ABSENSI!$H$12)),MAX($AD$3:AD1363)+1,""))</f>
        <v/>
      </c>
      <c r="AE1364" s="40" t="str">
        <f aca="false">IF($B1364="","",IF(AND(OR(KARTU!$K$6="",$F1364=KARTU!$K$6),OR(KARTU!$K$7="",$G1364=KARTU!$K$7),OR(KARTU!$K$8="",$P1364=KARTU!$K$8)),MAX($AE$3:AE1363)+1,""))</f>
        <v/>
      </c>
    </row>
    <row r="1365" customFormat="false" ht="15" hidden="false" customHeight="false" outlineLevel="0" collapsed="false">
      <c r="A1365" s="35" t="str">
        <f aca="false">IF($B1365="","",COUNTA($B$4:$B1365))</f>
        <v/>
      </c>
      <c r="B1365" s="36"/>
      <c r="C1365" s="37"/>
      <c r="D1365" s="37"/>
      <c r="E1365" s="38"/>
      <c r="F1365" s="36"/>
      <c r="G1365" s="39"/>
      <c r="H1365" s="39"/>
      <c r="I1365" s="36"/>
      <c r="J1365" s="36"/>
      <c r="K1365" s="36"/>
      <c r="L1365" s="36"/>
      <c r="M1365" s="40" t="str">
        <f aca="false">IF($F1365="","",$F1365&amp;IF($G1365="",""," - RT "&amp;$G1365&amp;IF($H1365="","","/"&amp;$H1365)))</f>
        <v/>
      </c>
      <c r="N1365" s="36"/>
      <c r="O1365" s="37"/>
      <c r="P1365" s="39"/>
      <c r="Q1365" s="41"/>
      <c r="R1365" s="35" t="str">
        <f aca="true">IF(OR($B1365="",$Q1365=""),"",DATEDIF($Q1365,TODAY(),"Y"))</f>
        <v/>
      </c>
      <c r="S1365" s="40" t="str">
        <f aca="false">IF($R1365="","",INDEX(usia_label,MATCH($R1365,usia_min,1)))</f>
        <v/>
      </c>
      <c r="T1365" s="36"/>
      <c r="U1365" s="41"/>
      <c r="V1365" s="36"/>
      <c r="W1365" s="36"/>
      <c r="X1365" s="40" t="str">
        <f aca="false">IF($M1365="","",$M1365&amp;"#"&amp;COUNTIF($M$4:$M1365,$M1365))</f>
        <v/>
      </c>
      <c r="Y1365" s="40" t="str">
        <f aca="false">IF($B1365="","",IF($C1365="","NIK kosong",IF(LEN($C1365)&lt;&gt;16,"NIK bukan 16 digit",IF(COUNTIF($C$4:$C$2003,$C1365&amp;"*")&gt;1,"NIK ganda",IF(AND($D1365&lt;&gt;"",LEN($D1365)&lt;&gt;16),"No. KK bukan 16 digit",IF(AND($F1365="",$I1365=""),"Alamat kosong",IF($N1365="","Jabatan kosong",IF($O1365="","No. HP kosong",IF(AND($R1365&lt;&gt;"",$R1365&lt;17),"Usia di bawah 17","")))))))))</f>
        <v/>
      </c>
      <c r="Z1365" s="40" t="str">
        <f aca="false">IF($B1365="","",IF(AND(OR(CARI!$C$5="",ISNUMBER(SEARCH(CARI!$C$5,$B1365&amp;" "&amp;$C1365&amp;" "&amp;$D1365&amp;" "&amp;$O1365&amp;" "&amp;$I1365&amp;" "&amp;$F1365&amp;" "&amp;$J1365&amp;" "&amp;$K1365&amp;" "&amp;$L1365&amp;" "&amp;$V1365))),OR(CARI!$C$6="",$F1365=CARI!$C$6),OR(CARI!$C$7="",$G1365=CARI!$C$7),OR(CARI!$C$8="",$T1365=CARI!$C$8)),MAX($Z$3:Z1364)+1,""))</f>
        <v/>
      </c>
      <c r="AA1365" s="40" t="str">
        <f aca="false">IF($Y1365="","",MAX($AA$3:AA1364)+1)</f>
        <v/>
      </c>
      <c r="AB1365" s="40" t="str">
        <f aca="false">IF($F1365="","",$F1365&amp;"#"&amp;COUNTIF($F$4:$F1365,$F1365))</f>
        <v/>
      </c>
      <c r="AC1365" s="40" t="str">
        <f aca="false">IF($B1365="","",IF(AND(OR(CETAK!$J$10="",$F1365=CETAK!$J$10),OR(CETAK!$J$11="",$G1365=CETAK!$J$11),OR(CETAK!$J$12="",$P1365=CETAK!$J$12),OR(CETAK!$J$13="",$N1365=CETAK!$J$13),OR(CETAK!$J$14="",$T1365=CETAK!$J$14)),MAX($AC$3:AC1364)+1,""))</f>
        <v/>
      </c>
      <c r="AD1365" s="40" t="str">
        <f aca="false">IF($B1365="","",IF(AND(OR(ABSENSI!$H$10="",$F1365=ABSENSI!$H$10),OR(ABSENSI!$H$11="",$G1365=ABSENSI!$H$11),OR(ABSENSI!$H$12="",$P1365=ABSENSI!$H$12)),MAX($AD$3:AD1364)+1,""))</f>
        <v/>
      </c>
      <c r="AE1365" s="40" t="str">
        <f aca="false">IF($B1365="","",IF(AND(OR(KARTU!$K$6="",$F1365=KARTU!$K$6),OR(KARTU!$K$7="",$G1365=KARTU!$K$7),OR(KARTU!$K$8="",$P1365=KARTU!$K$8)),MAX($AE$3:AE1364)+1,""))</f>
        <v/>
      </c>
    </row>
    <row r="1366" customFormat="false" ht="15" hidden="false" customHeight="false" outlineLevel="0" collapsed="false">
      <c r="A1366" s="35" t="str">
        <f aca="false">IF($B1366="","",COUNTA($B$4:$B1366))</f>
        <v/>
      </c>
      <c r="B1366" s="36"/>
      <c r="C1366" s="37"/>
      <c r="D1366" s="37"/>
      <c r="E1366" s="38"/>
      <c r="F1366" s="36"/>
      <c r="G1366" s="39"/>
      <c r="H1366" s="39"/>
      <c r="I1366" s="36"/>
      <c r="J1366" s="36"/>
      <c r="K1366" s="36"/>
      <c r="L1366" s="36"/>
      <c r="M1366" s="40" t="str">
        <f aca="false">IF($F1366="","",$F1366&amp;IF($G1366="",""," - RT "&amp;$G1366&amp;IF($H1366="","","/"&amp;$H1366)))</f>
        <v/>
      </c>
      <c r="N1366" s="36"/>
      <c r="O1366" s="37"/>
      <c r="P1366" s="39"/>
      <c r="Q1366" s="41"/>
      <c r="R1366" s="35" t="str">
        <f aca="true">IF(OR($B1366="",$Q1366=""),"",DATEDIF($Q1366,TODAY(),"Y"))</f>
        <v/>
      </c>
      <c r="S1366" s="40" t="str">
        <f aca="false">IF($R1366="","",INDEX(usia_label,MATCH($R1366,usia_min,1)))</f>
        <v/>
      </c>
      <c r="T1366" s="36"/>
      <c r="U1366" s="41"/>
      <c r="V1366" s="36"/>
      <c r="W1366" s="36"/>
      <c r="X1366" s="40" t="str">
        <f aca="false">IF($M1366="","",$M1366&amp;"#"&amp;COUNTIF($M$4:$M1366,$M1366))</f>
        <v/>
      </c>
      <c r="Y1366" s="40" t="str">
        <f aca="false">IF($B1366="","",IF($C1366="","NIK kosong",IF(LEN($C1366)&lt;&gt;16,"NIK bukan 16 digit",IF(COUNTIF($C$4:$C$2003,$C1366&amp;"*")&gt;1,"NIK ganda",IF(AND($D1366&lt;&gt;"",LEN($D1366)&lt;&gt;16),"No. KK bukan 16 digit",IF(AND($F1366="",$I1366=""),"Alamat kosong",IF($N1366="","Jabatan kosong",IF($O1366="","No. HP kosong",IF(AND($R1366&lt;&gt;"",$R1366&lt;17),"Usia di bawah 17","")))))))))</f>
        <v/>
      </c>
      <c r="Z1366" s="40" t="str">
        <f aca="false">IF($B1366="","",IF(AND(OR(CARI!$C$5="",ISNUMBER(SEARCH(CARI!$C$5,$B1366&amp;" "&amp;$C1366&amp;" "&amp;$D1366&amp;" "&amp;$O1366&amp;" "&amp;$I1366&amp;" "&amp;$F1366&amp;" "&amp;$J1366&amp;" "&amp;$K1366&amp;" "&amp;$L1366&amp;" "&amp;$V1366))),OR(CARI!$C$6="",$F1366=CARI!$C$6),OR(CARI!$C$7="",$G1366=CARI!$C$7),OR(CARI!$C$8="",$T1366=CARI!$C$8)),MAX($Z$3:Z1365)+1,""))</f>
        <v/>
      </c>
      <c r="AA1366" s="40" t="str">
        <f aca="false">IF($Y1366="","",MAX($AA$3:AA1365)+1)</f>
        <v/>
      </c>
      <c r="AB1366" s="40" t="str">
        <f aca="false">IF($F1366="","",$F1366&amp;"#"&amp;COUNTIF($F$4:$F1366,$F1366))</f>
        <v/>
      </c>
      <c r="AC1366" s="40" t="str">
        <f aca="false">IF($B1366="","",IF(AND(OR(CETAK!$J$10="",$F1366=CETAK!$J$10),OR(CETAK!$J$11="",$G1366=CETAK!$J$11),OR(CETAK!$J$12="",$P1366=CETAK!$J$12),OR(CETAK!$J$13="",$N1366=CETAK!$J$13),OR(CETAK!$J$14="",$T1366=CETAK!$J$14)),MAX($AC$3:AC1365)+1,""))</f>
        <v/>
      </c>
      <c r="AD1366" s="40" t="str">
        <f aca="false">IF($B1366="","",IF(AND(OR(ABSENSI!$H$10="",$F1366=ABSENSI!$H$10),OR(ABSENSI!$H$11="",$G1366=ABSENSI!$H$11),OR(ABSENSI!$H$12="",$P1366=ABSENSI!$H$12)),MAX($AD$3:AD1365)+1,""))</f>
        <v/>
      </c>
      <c r="AE1366" s="40" t="str">
        <f aca="false">IF($B1366="","",IF(AND(OR(KARTU!$K$6="",$F1366=KARTU!$K$6),OR(KARTU!$K$7="",$G1366=KARTU!$K$7),OR(KARTU!$K$8="",$P1366=KARTU!$K$8)),MAX($AE$3:AE1365)+1,""))</f>
        <v/>
      </c>
    </row>
    <row r="1367" customFormat="false" ht="15" hidden="false" customHeight="false" outlineLevel="0" collapsed="false">
      <c r="A1367" s="35" t="str">
        <f aca="false">IF($B1367="","",COUNTA($B$4:$B1367))</f>
        <v/>
      </c>
      <c r="B1367" s="36"/>
      <c r="C1367" s="37"/>
      <c r="D1367" s="37"/>
      <c r="E1367" s="38"/>
      <c r="F1367" s="36"/>
      <c r="G1367" s="39"/>
      <c r="H1367" s="39"/>
      <c r="I1367" s="36"/>
      <c r="J1367" s="36"/>
      <c r="K1367" s="36"/>
      <c r="L1367" s="36"/>
      <c r="M1367" s="40" t="str">
        <f aca="false">IF($F1367="","",$F1367&amp;IF($G1367="",""," - RT "&amp;$G1367&amp;IF($H1367="","","/"&amp;$H1367)))</f>
        <v/>
      </c>
      <c r="N1367" s="36"/>
      <c r="O1367" s="37"/>
      <c r="P1367" s="39"/>
      <c r="Q1367" s="41"/>
      <c r="R1367" s="35" t="str">
        <f aca="true">IF(OR($B1367="",$Q1367=""),"",DATEDIF($Q1367,TODAY(),"Y"))</f>
        <v/>
      </c>
      <c r="S1367" s="40" t="str">
        <f aca="false">IF($R1367="","",INDEX(usia_label,MATCH($R1367,usia_min,1)))</f>
        <v/>
      </c>
      <c r="T1367" s="36"/>
      <c r="U1367" s="41"/>
      <c r="V1367" s="36"/>
      <c r="W1367" s="36"/>
      <c r="X1367" s="40" t="str">
        <f aca="false">IF($M1367="","",$M1367&amp;"#"&amp;COUNTIF($M$4:$M1367,$M1367))</f>
        <v/>
      </c>
      <c r="Y1367" s="40" t="str">
        <f aca="false">IF($B1367="","",IF($C1367="","NIK kosong",IF(LEN($C1367)&lt;&gt;16,"NIK bukan 16 digit",IF(COUNTIF($C$4:$C$2003,$C1367&amp;"*")&gt;1,"NIK ganda",IF(AND($D1367&lt;&gt;"",LEN($D1367)&lt;&gt;16),"No. KK bukan 16 digit",IF(AND($F1367="",$I1367=""),"Alamat kosong",IF($N1367="","Jabatan kosong",IF($O1367="","No. HP kosong",IF(AND($R1367&lt;&gt;"",$R1367&lt;17),"Usia di bawah 17","")))))))))</f>
        <v/>
      </c>
      <c r="Z1367" s="40" t="str">
        <f aca="false">IF($B1367="","",IF(AND(OR(CARI!$C$5="",ISNUMBER(SEARCH(CARI!$C$5,$B1367&amp;" "&amp;$C1367&amp;" "&amp;$D1367&amp;" "&amp;$O1367&amp;" "&amp;$I1367&amp;" "&amp;$F1367&amp;" "&amp;$J1367&amp;" "&amp;$K1367&amp;" "&amp;$L1367&amp;" "&amp;$V1367))),OR(CARI!$C$6="",$F1367=CARI!$C$6),OR(CARI!$C$7="",$G1367=CARI!$C$7),OR(CARI!$C$8="",$T1367=CARI!$C$8)),MAX($Z$3:Z1366)+1,""))</f>
        <v/>
      </c>
      <c r="AA1367" s="40" t="str">
        <f aca="false">IF($Y1367="","",MAX($AA$3:AA1366)+1)</f>
        <v/>
      </c>
      <c r="AB1367" s="40" t="str">
        <f aca="false">IF($F1367="","",$F1367&amp;"#"&amp;COUNTIF($F$4:$F1367,$F1367))</f>
        <v/>
      </c>
      <c r="AC1367" s="40" t="str">
        <f aca="false">IF($B1367="","",IF(AND(OR(CETAK!$J$10="",$F1367=CETAK!$J$10),OR(CETAK!$J$11="",$G1367=CETAK!$J$11),OR(CETAK!$J$12="",$P1367=CETAK!$J$12),OR(CETAK!$J$13="",$N1367=CETAK!$J$13),OR(CETAK!$J$14="",$T1367=CETAK!$J$14)),MAX($AC$3:AC1366)+1,""))</f>
        <v/>
      </c>
      <c r="AD1367" s="40" t="str">
        <f aca="false">IF($B1367="","",IF(AND(OR(ABSENSI!$H$10="",$F1367=ABSENSI!$H$10),OR(ABSENSI!$H$11="",$G1367=ABSENSI!$H$11),OR(ABSENSI!$H$12="",$P1367=ABSENSI!$H$12)),MAX($AD$3:AD1366)+1,""))</f>
        <v/>
      </c>
      <c r="AE1367" s="40" t="str">
        <f aca="false">IF($B1367="","",IF(AND(OR(KARTU!$K$6="",$F1367=KARTU!$K$6),OR(KARTU!$K$7="",$G1367=KARTU!$K$7),OR(KARTU!$K$8="",$P1367=KARTU!$K$8)),MAX($AE$3:AE1366)+1,""))</f>
        <v/>
      </c>
    </row>
    <row r="1368" customFormat="false" ht="15" hidden="false" customHeight="false" outlineLevel="0" collapsed="false">
      <c r="A1368" s="35" t="str">
        <f aca="false">IF($B1368="","",COUNTA($B$4:$B1368))</f>
        <v/>
      </c>
      <c r="B1368" s="36"/>
      <c r="C1368" s="37"/>
      <c r="D1368" s="37"/>
      <c r="E1368" s="38"/>
      <c r="F1368" s="36"/>
      <c r="G1368" s="39"/>
      <c r="H1368" s="39"/>
      <c r="I1368" s="36"/>
      <c r="J1368" s="36"/>
      <c r="K1368" s="36"/>
      <c r="L1368" s="36"/>
      <c r="M1368" s="40" t="str">
        <f aca="false">IF($F1368="","",$F1368&amp;IF($G1368="",""," - RT "&amp;$G1368&amp;IF($H1368="","","/"&amp;$H1368)))</f>
        <v/>
      </c>
      <c r="N1368" s="36"/>
      <c r="O1368" s="37"/>
      <c r="P1368" s="39"/>
      <c r="Q1368" s="41"/>
      <c r="R1368" s="35" t="str">
        <f aca="true">IF(OR($B1368="",$Q1368=""),"",DATEDIF($Q1368,TODAY(),"Y"))</f>
        <v/>
      </c>
      <c r="S1368" s="40" t="str">
        <f aca="false">IF($R1368="","",INDEX(usia_label,MATCH($R1368,usia_min,1)))</f>
        <v/>
      </c>
      <c r="T1368" s="36"/>
      <c r="U1368" s="41"/>
      <c r="V1368" s="36"/>
      <c r="W1368" s="36"/>
      <c r="X1368" s="40" t="str">
        <f aca="false">IF($M1368="","",$M1368&amp;"#"&amp;COUNTIF($M$4:$M1368,$M1368))</f>
        <v/>
      </c>
      <c r="Y1368" s="40" t="str">
        <f aca="false">IF($B1368="","",IF($C1368="","NIK kosong",IF(LEN($C1368)&lt;&gt;16,"NIK bukan 16 digit",IF(COUNTIF($C$4:$C$2003,$C1368&amp;"*")&gt;1,"NIK ganda",IF(AND($D1368&lt;&gt;"",LEN($D1368)&lt;&gt;16),"No. KK bukan 16 digit",IF(AND($F1368="",$I1368=""),"Alamat kosong",IF($N1368="","Jabatan kosong",IF($O1368="","No. HP kosong",IF(AND($R1368&lt;&gt;"",$R1368&lt;17),"Usia di bawah 17","")))))))))</f>
        <v/>
      </c>
      <c r="Z1368" s="40" t="str">
        <f aca="false">IF($B1368="","",IF(AND(OR(CARI!$C$5="",ISNUMBER(SEARCH(CARI!$C$5,$B1368&amp;" "&amp;$C1368&amp;" "&amp;$D1368&amp;" "&amp;$O1368&amp;" "&amp;$I1368&amp;" "&amp;$F1368&amp;" "&amp;$J1368&amp;" "&amp;$K1368&amp;" "&amp;$L1368&amp;" "&amp;$V1368))),OR(CARI!$C$6="",$F1368=CARI!$C$6),OR(CARI!$C$7="",$G1368=CARI!$C$7),OR(CARI!$C$8="",$T1368=CARI!$C$8)),MAX($Z$3:Z1367)+1,""))</f>
        <v/>
      </c>
      <c r="AA1368" s="40" t="str">
        <f aca="false">IF($Y1368="","",MAX($AA$3:AA1367)+1)</f>
        <v/>
      </c>
      <c r="AB1368" s="40" t="str">
        <f aca="false">IF($F1368="","",$F1368&amp;"#"&amp;COUNTIF($F$4:$F1368,$F1368))</f>
        <v/>
      </c>
      <c r="AC1368" s="40" t="str">
        <f aca="false">IF($B1368="","",IF(AND(OR(CETAK!$J$10="",$F1368=CETAK!$J$10),OR(CETAK!$J$11="",$G1368=CETAK!$J$11),OR(CETAK!$J$12="",$P1368=CETAK!$J$12),OR(CETAK!$J$13="",$N1368=CETAK!$J$13),OR(CETAK!$J$14="",$T1368=CETAK!$J$14)),MAX($AC$3:AC1367)+1,""))</f>
        <v/>
      </c>
      <c r="AD1368" s="40" t="str">
        <f aca="false">IF($B1368="","",IF(AND(OR(ABSENSI!$H$10="",$F1368=ABSENSI!$H$10),OR(ABSENSI!$H$11="",$G1368=ABSENSI!$H$11),OR(ABSENSI!$H$12="",$P1368=ABSENSI!$H$12)),MAX($AD$3:AD1367)+1,""))</f>
        <v/>
      </c>
      <c r="AE1368" s="40" t="str">
        <f aca="false">IF($B1368="","",IF(AND(OR(KARTU!$K$6="",$F1368=KARTU!$K$6),OR(KARTU!$K$7="",$G1368=KARTU!$K$7),OR(KARTU!$K$8="",$P1368=KARTU!$K$8)),MAX($AE$3:AE1367)+1,""))</f>
        <v/>
      </c>
    </row>
    <row r="1369" customFormat="false" ht="15" hidden="false" customHeight="false" outlineLevel="0" collapsed="false">
      <c r="A1369" s="35" t="str">
        <f aca="false">IF($B1369="","",COUNTA($B$4:$B1369))</f>
        <v/>
      </c>
      <c r="B1369" s="36"/>
      <c r="C1369" s="37"/>
      <c r="D1369" s="37"/>
      <c r="E1369" s="38"/>
      <c r="F1369" s="36"/>
      <c r="G1369" s="39"/>
      <c r="H1369" s="39"/>
      <c r="I1369" s="36"/>
      <c r="J1369" s="36"/>
      <c r="K1369" s="36"/>
      <c r="L1369" s="36"/>
      <c r="M1369" s="40" t="str">
        <f aca="false">IF($F1369="","",$F1369&amp;IF($G1369="",""," - RT "&amp;$G1369&amp;IF($H1369="","","/"&amp;$H1369)))</f>
        <v/>
      </c>
      <c r="N1369" s="36"/>
      <c r="O1369" s="37"/>
      <c r="P1369" s="39"/>
      <c r="Q1369" s="41"/>
      <c r="R1369" s="35" t="str">
        <f aca="true">IF(OR($B1369="",$Q1369=""),"",DATEDIF($Q1369,TODAY(),"Y"))</f>
        <v/>
      </c>
      <c r="S1369" s="40" t="str">
        <f aca="false">IF($R1369="","",INDEX(usia_label,MATCH($R1369,usia_min,1)))</f>
        <v/>
      </c>
      <c r="T1369" s="36"/>
      <c r="U1369" s="41"/>
      <c r="V1369" s="36"/>
      <c r="W1369" s="36"/>
      <c r="X1369" s="40" t="str">
        <f aca="false">IF($M1369="","",$M1369&amp;"#"&amp;COUNTIF($M$4:$M1369,$M1369))</f>
        <v/>
      </c>
      <c r="Y1369" s="40" t="str">
        <f aca="false">IF($B1369="","",IF($C1369="","NIK kosong",IF(LEN($C1369)&lt;&gt;16,"NIK bukan 16 digit",IF(COUNTIF($C$4:$C$2003,$C1369&amp;"*")&gt;1,"NIK ganda",IF(AND($D1369&lt;&gt;"",LEN($D1369)&lt;&gt;16),"No. KK bukan 16 digit",IF(AND($F1369="",$I1369=""),"Alamat kosong",IF($N1369="","Jabatan kosong",IF($O1369="","No. HP kosong",IF(AND($R1369&lt;&gt;"",$R1369&lt;17),"Usia di bawah 17","")))))))))</f>
        <v/>
      </c>
      <c r="Z1369" s="40" t="str">
        <f aca="false">IF($B1369="","",IF(AND(OR(CARI!$C$5="",ISNUMBER(SEARCH(CARI!$C$5,$B1369&amp;" "&amp;$C1369&amp;" "&amp;$D1369&amp;" "&amp;$O1369&amp;" "&amp;$I1369&amp;" "&amp;$F1369&amp;" "&amp;$J1369&amp;" "&amp;$K1369&amp;" "&amp;$L1369&amp;" "&amp;$V1369))),OR(CARI!$C$6="",$F1369=CARI!$C$6),OR(CARI!$C$7="",$G1369=CARI!$C$7),OR(CARI!$C$8="",$T1369=CARI!$C$8)),MAX($Z$3:Z1368)+1,""))</f>
        <v/>
      </c>
      <c r="AA1369" s="40" t="str">
        <f aca="false">IF($Y1369="","",MAX($AA$3:AA1368)+1)</f>
        <v/>
      </c>
      <c r="AB1369" s="40" t="str">
        <f aca="false">IF($F1369="","",$F1369&amp;"#"&amp;COUNTIF($F$4:$F1369,$F1369))</f>
        <v/>
      </c>
      <c r="AC1369" s="40" t="str">
        <f aca="false">IF($B1369="","",IF(AND(OR(CETAK!$J$10="",$F1369=CETAK!$J$10),OR(CETAK!$J$11="",$G1369=CETAK!$J$11),OR(CETAK!$J$12="",$P1369=CETAK!$J$12),OR(CETAK!$J$13="",$N1369=CETAK!$J$13),OR(CETAK!$J$14="",$T1369=CETAK!$J$14)),MAX($AC$3:AC1368)+1,""))</f>
        <v/>
      </c>
      <c r="AD1369" s="40" t="str">
        <f aca="false">IF($B1369="","",IF(AND(OR(ABSENSI!$H$10="",$F1369=ABSENSI!$H$10),OR(ABSENSI!$H$11="",$G1369=ABSENSI!$H$11),OR(ABSENSI!$H$12="",$P1369=ABSENSI!$H$12)),MAX($AD$3:AD1368)+1,""))</f>
        <v/>
      </c>
      <c r="AE1369" s="40" t="str">
        <f aca="false">IF($B1369="","",IF(AND(OR(KARTU!$K$6="",$F1369=KARTU!$K$6),OR(KARTU!$K$7="",$G1369=KARTU!$K$7),OR(KARTU!$K$8="",$P1369=KARTU!$K$8)),MAX($AE$3:AE1368)+1,""))</f>
        <v/>
      </c>
    </row>
    <row r="1370" customFormat="false" ht="15" hidden="false" customHeight="false" outlineLevel="0" collapsed="false">
      <c r="A1370" s="35" t="str">
        <f aca="false">IF($B1370="","",COUNTA($B$4:$B1370))</f>
        <v/>
      </c>
      <c r="B1370" s="36"/>
      <c r="C1370" s="37"/>
      <c r="D1370" s="37"/>
      <c r="E1370" s="38"/>
      <c r="F1370" s="36"/>
      <c r="G1370" s="39"/>
      <c r="H1370" s="39"/>
      <c r="I1370" s="36"/>
      <c r="J1370" s="36"/>
      <c r="K1370" s="36"/>
      <c r="L1370" s="36"/>
      <c r="M1370" s="40" t="str">
        <f aca="false">IF($F1370="","",$F1370&amp;IF($G1370="",""," - RT "&amp;$G1370&amp;IF($H1370="","","/"&amp;$H1370)))</f>
        <v/>
      </c>
      <c r="N1370" s="36"/>
      <c r="O1370" s="37"/>
      <c r="P1370" s="39"/>
      <c r="Q1370" s="41"/>
      <c r="R1370" s="35" t="str">
        <f aca="true">IF(OR($B1370="",$Q1370=""),"",DATEDIF($Q1370,TODAY(),"Y"))</f>
        <v/>
      </c>
      <c r="S1370" s="40" t="str">
        <f aca="false">IF($R1370="","",INDEX(usia_label,MATCH($R1370,usia_min,1)))</f>
        <v/>
      </c>
      <c r="T1370" s="36"/>
      <c r="U1370" s="41"/>
      <c r="V1370" s="36"/>
      <c r="W1370" s="36"/>
      <c r="X1370" s="40" t="str">
        <f aca="false">IF($M1370="","",$M1370&amp;"#"&amp;COUNTIF($M$4:$M1370,$M1370))</f>
        <v/>
      </c>
      <c r="Y1370" s="40" t="str">
        <f aca="false">IF($B1370="","",IF($C1370="","NIK kosong",IF(LEN($C1370)&lt;&gt;16,"NIK bukan 16 digit",IF(COUNTIF($C$4:$C$2003,$C1370&amp;"*")&gt;1,"NIK ganda",IF(AND($D1370&lt;&gt;"",LEN($D1370)&lt;&gt;16),"No. KK bukan 16 digit",IF(AND($F1370="",$I1370=""),"Alamat kosong",IF($N1370="","Jabatan kosong",IF($O1370="","No. HP kosong",IF(AND($R1370&lt;&gt;"",$R1370&lt;17),"Usia di bawah 17","")))))))))</f>
        <v/>
      </c>
      <c r="Z1370" s="40" t="str">
        <f aca="false">IF($B1370="","",IF(AND(OR(CARI!$C$5="",ISNUMBER(SEARCH(CARI!$C$5,$B1370&amp;" "&amp;$C1370&amp;" "&amp;$D1370&amp;" "&amp;$O1370&amp;" "&amp;$I1370&amp;" "&amp;$F1370&amp;" "&amp;$J1370&amp;" "&amp;$K1370&amp;" "&amp;$L1370&amp;" "&amp;$V1370))),OR(CARI!$C$6="",$F1370=CARI!$C$6),OR(CARI!$C$7="",$G1370=CARI!$C$7),OR(CARI!$C$8="",$T1370=CARI!$C$8)),MAX($Z$3:Z1369)+1,""))</f>
        <v/>
      </c>
      <c r="AA1370" s="40" t="str">
        <f aca="false">IF($Y1370="","",MAX($AA$3:AA1369)+1)</f>
        <v/>
      </c>
      <c r="AB1370" s="40" t="str">
        <f aca="false">IF($F1370="","",$F1370&amp;"#"&amp;COUNTIF($F$4:$F1370,$F1370))</f>
        <v/>
      </c>
      <c r="AC1370" s="40" t="str">
        <f aca="false">IF($B1370="","",IF(AND(OR(CETAK!$J$10="",$F1370=CETAK!$J$10),OR(CETAK!$J$11="",$G1370=CETAK!$J$11),OR(CETAK!$J$12="",$P1370=CETAK!$J$12),OR(CETAK!$J$13="",$N1370=CETAK!$J$13),OR(CETAK!$J$14="",$T1370=CETAK!$J$14)),MAX($AC$3:AC1369)+1,""))</f>
        <v/>
      </c>
      <c r="AD1370" s="40" t="str">
        <f aca="false">IF($B1370="","",IF(AND(OR(ABSENSI!$H$10="",$F1370=ABSENSI!$H$10),OR(ABSENSI!$H$11="",$G1370=ABSENSI!$H$11),OR(ABSENSI!$H$12="",$P1370=ABSENSI!$H$12)),MAX($AD$3:AD1369)+1,""))</f>
        <v/>
      </c>
      <c r="AE1370" s="40" t="str">
        <f aca="false">IF($B1370="","",IF(AND(OR(KARTU!$K$6="",$F1370=KARTU!$K$6),OR(KARTU!$K$7="",$G1370=KARTU!$K$7),OR(KARTU!$K$8="",$P1370=KARTU!$K$8)),MAX($AE$3:AE1369)+1,""))</f>
        <v/>
      </c>
    </row>
    <row r="1371" customFormat="false" ht="15" hidden="false" customHeight="false" outlineLevel="0" collapsed="false">
      <c r="A1371" s="35" t="str">
        <f aca="false">IF($B1371="","",COUNTA($B$4:$B1371))</f>
        <v/>
      </c>
      <c r="B1371" s="36"/>
      <c r="C1371" s="37"/>
      <c r="D1371" s="37"/>
      <c r="E1371" s="38"/>
      <c r="F1371" s="36"/>
      <c r="G1371" s="39"/>
      <c r="H1371" s="39"/>
      <c r="I1371" s="36"/>
      <c r="J1371" s="36"/>
      <c r="K1371" s="36"/>
      <c r="L1371" s="36"/>
      <c r="M1371" s="40" t="str">
        <f aca="false">IF($F1371="","",$F1371&amp;IF($G1371="",""," - RT "&amp;$G1371&amp;IF($H1371="","","/"&amp;$H1371)))</f>
        <v/>
      </c>
      <c r="N1371" s="36"/>
      <c r="O1371" s="37"/>
      <c r="P1371" s="39"/>
      <c r="Q1371" s="41"/>
      <c r="R1371" s="35" t="str">
        <f aca="true">IF(OR($B1371="",$Q1371=""),"",DATEDIF($Q1371,TODAY(),"Y"))</f>
        <v/>
      </c>
      <c r="S1371" s="40" t="str">
        <f aca="false">IF($R1371="","",INDEX(usia_label,MATCH($R1371,usia_min,1)))</f>
        <v/>
      </c>
      <c r="T1371" s="36"/>
      <c r="U1371" s="41"/>
      <c r="V1371" s="36"/>
      <c r="W1371" s="36"/>
      <c r="X1371" s="40" t="str">
        <f aca="false">IF($M1371="","",$M1371&amp;"#"&amp;COUNTIF($M$4:$M1371,$M1371))</f>
        <v/>
      </c>
      <c r="Y1371" s="40" t="str">
        <f aca="false">IF($B1371="","",IF($C1371="","NIK kosong",IF(LEN($C1371)&lt;&gt;16,"NIK bukan 16 digit",IF(COUNTIF($C$4:$C$2003,$C1371&amp;"*")&gt;1,"NIK ganda",IF(AND($D1371&lt;&gt;"",LEN($D1371)&lt;&gt;16),"No. KK bukan 16 digit",IF(AND($F1371="",$I1371=""),"Alamat kosong",IF($N1371="","Jabatan kosong",IF($O1371="","No. HP kosong",IF(AND($R1371&lt;&gt;"",$R1371&lt;17),"Usia di bawah 17","")))))))))</f>
        <v/>
      </c>
      <c r="Z1371" s="40" t="str">
        <f aca="false">IF($B1371="","",IF(AND(OR(CARI!$C$5="",ISNUMBER(SEARCH(CARI!$C$5,$B1371&amp;" "&amp;$C1371&amp;" "&amp;$D1371&amp;" "&amp;$O1371&amp;" "&amp;$I1371&amp;" "&amp;$F1371&amp;" "&amp;$J1371&amp;" "&amp;$K1371&amp;" "&amp;$L1371&amp;" "&amp;$V1371))),OR(CARI!$C$6="",$F1371=CARI!$C$6),OR(CARI!$C$7="",$G1371=CARI!$C$7),OR(CARI!$C$8="",$T1371=CARI!$C$8)),MAX($Z$3:Z1370)+1,""))</f>
        <v/>
      </c>
      <c r="AA1371" s="40" t="str">
        <f aca="false">IF($Y1371="","",MAX($AA$3:AA1370)+1)</f>
        <v/>
      </c>
      <c r="AB1371" s="40" t="str">
        <f aca="false">IF($F1371="","",$F1371&amp;"#"&amp;COUNTIF($F$4:$F1371,$F1371))</f>
        <v/>
      </c>
      <c r="AC1371" s="40" t="str">
        <f aca="false">IF($B1371="","",IF(AND(OR(CETAK!$J$10="",$F1371=CETAK!$J$10),OR(CETAK!$J$11="",$G1371=CETAK!$J$11),OR(CETAK!$J$12="",$P1371=CETAK!$J$12),OR(CETAK!$J$13="",$N1371=CETAK!$J$13),OR(CETAK!$J$14="",$T1371=CETAK!$J$14)),MAX($AC$3:AC1370)+1,""))</f>
        <v/>
      </c>
      <c r="AD1371" s="40" t="str">
        <f aca="false">IF($B1371="","",IF(AND(OR(ABSENSI!$H$10="",$F1371=ABSENSI!$H$10),OR(ABSENSI!$H$11="",$G1371=ABSENSI!$H$11),OR(ABSENSI!$H$12="",$P1371=ABSENSI!$H$12)),MAX($AD$3:AD1370)+1,""))</f>
        <v/>
      </c>
      <c r="AE1371" s="40" t="str">
        <f aca="false">IF($B1371="","",IF(AND(OR(KARTU!$K$6="",$F1371=KARTU!$K$6),OR(KARTU!$K$7="",$G1371=KARTU!$K$7),OR(KARTU!$K$8="",$P1371=KARTU!$K$8)),MAX($AE$3:AE1370)+1,""))</f>
        <v/>
      </c>
    </row>
    <row r="1372" customFormat="false" ht="15" hidden="false" customHeight="false" outlineLevel="0" collapsed="false">
      <c r="A1372" s="35" t="str">
        <f aca="false">IF($B1372="","",COUNTA($B$4:$B1372))</f>
        <v/>
      </c>
      <c r="B1372" s="36"/>
      <c r="C1372" s="37"/>
      <c r="D1372" s="37"/>
      <c r="E1372" s="38"/>
      <c r="F1372" s="36"/>
      <c r="G1372" s="39"/>
      <c r="H1372" s="39"/>
      <c r="I1372" s="36"/>
      <c r="J1372" s="36"/>
      <c r="K1372" s="36"/>
      <c r="L1372" s="36"/>
      <c r="M1372" s="40" t="str">
        <f aca="false">IF($F1372="","",$F1372&amp;IF($G1372="",""," - RT "&amp;$G1372&amp;IF($H1372="","","/"&amp;$H1372)))</f>
        <v/>
      </c>
      <c r="N1372" s="36"/>
      <c r="O1372" s="37"/>
      <c r="P1372" s="39"/>
      <c r="Q1372" s="41"/>
      <c r="R1372" s="35" t="str">
        <f aca="true">IF(OR($B1372="",$Q1372=""),"",DATEDIF($Q1372,TODAY(),"Y"))</f>
        <v/>
      </c>
      <c r="S1372" s="40" t="str">
        <f aca="false">IF($R1372="","",INDEX(usia_label,MATCH($R1372,usia_min,1)))</f>
        <v/>
      </c>
      <c r="T1372" s="36"/>
      <c r="U1372" s="41"/>
      <c r="V1372" s="36"/>
      <c r="W1372" s="36"/>
      <c r="X1372" s="40" t="str">
        <f aca="false">IF($M1372="","",$M1372&amp;"#"&amp;COUNTIF($M$4:$M1372,$M1372))</f>
        <v/>
      </c>
      <c r="Y1372" s="40" t="str">
        <f aca="false">IF($B1372="","",IF($C1372="","NIK kosong",IF(LEN($C1372)&lt;&gt;16,"NIK bukan 16 digit",IF(COUNTIF($C$4:$C$2003,$C1372&amp;"*")&gt;1,"NIK ganda",IF(AND($D1372&lt;&gt;"",LEN($D1372)&lt;&gt;16),"No. KK bukan 16 digit",IF(AND($F1372="",$I1372=""),"Alamat kosong",IF($N1372="","Jabatan kosong",IF($O1372="","No. HP kosong",IF(AND($R1372&lt;&gt;"",$R1372&lt;17),"Usia di bawah 17","")))))))))</f>
        <v/>
      </c>
      <c r="Z1372" s="40" t="str">
        <f aca="false">IF($B1372="","",IF(AND(OR(CARI!$C$5="",ISNUMBER(SEARCH(CARI!$C$5,$B1372&amp;" "&amp;$C1372&amp;" "&amp;$D1372&amp;" "&amp;$O1372&amp;" "&amp;$I1372&amp;" "&amp;$F1372&amp;" "&amp;$J1372&amp;" "&amp;$K1372&amp;" "&amp;$L1372&amp;" "&amp;$V1372))),OR(CARI!$C$6="",$F1372=CARI!$C$6),OR(CARI!$C$7="",$G1372=CARI!$C$7),OR(CARI!$C$8="",$T1372=CARI!$C$8)),MAX($Z$3:Z1371)+1,""))</f>
        <v/>
      </c>
      <c r="AA1372" s="40" t="str">
        <f aca="false">IF($Y1372="","",MAX($AA$3:AA1371)+1)</f>
        <v/>
      </c>
      <c r="AB1372" s="40" t="str">
        <f aca="false">IF($F1372="","",$F1372&amp;"#"&amp;COUNTIF($F$4:$F1372,$F1372))</f>
        <v/>
      </c>
      <c r="AC1372" s="40" t="str">
        <f aca="false">IF($B1372="","",IF(AND(OR(CETAK!$J$10="",$F1372=CETAK!$J$10),OR(CETAK!$J$11="",$G1372=CETAK!$J$11),OR(CETAK!$J$12="",$P1372=CETAK!$J$12),OR(CETAK!$J$13="",$N1372=CETAK!$J$13),OR(CETAK!$J$14="",$T1372=CETAK!$J$14)),MAX($AC$3:AC1371)+1,""))</f>
        <v/>
      </c>
      <c r="AD1372" s="40" t="str">
        <f aca="false">IF($B1372="","",IF(AND(OR(ABSENSI!$H$10="",$F1372=ABSENSI!$H$10),OR(ABSENSI!$H$11="",$G1372=ABSENSI!$H$11),OR(ABSENSI!$H$12="",$P1372=ABSENSI!$H$12)),MAX($AD$3:AD1371)+1,""))</f>
        <v/>
      </c>
      <c r="AE1372" s="40" t="str">
        <f aca="false">IF($B1372="","",IF(AND(OR(KARTU!$K$6="",$F1372=KARTU!$K$6),OR(KARTU!$K$7="",$G1372=KARTU!$K$7),OR(KARTU!$K$8="",$P1372=KARTU!$K$8)),MAX($AE$3:AE1371)+1,""))</f>
        <v/>
      </c>
    </row>
    <row r="1373" customFormat="false" ht="15" hidden="false" customHeight="false" outlineLevel="0" collapsed="false">
      <c r="A1373" s="35" t="str">
        <f aca="false">IF($B1373="","",COUNTA($B$4:$B1373))</f>
        <v/>
      </c>
      <c r="B1373" s="36"/>
      <c r="C1373" s="37"/>
      <c r="D1373" s="37"/>
      <c r="E1373" s="38"/>
      <c r="F1373" s="36"/>
      <c r="G1373" s="39"/>
      <c r="H1373" s="39"/>
      <c r="I1373" s="36"/>
      <c r="J1373" s="36"/>
      <c r="K1373" s="36"/>
      <c r="L1373" s="36"/>
      <c r="M1373" s="40" t="str">
        <f aca="false">IF($F1373="","",$F1373&amp;IF($G1373="",""," - RT "&amp;$G1373&amp;IF($H1373="","","/"&amp;$H1373)))</f>
        <v/>
      </c>
      <c r="N1373" s="36"/>
      <c r="O1373" s="37"/>
      <c r="P1373" s="39"/>
      <c r="Q1373" s="41"/>
      <c r="R1373" s="35" t="str">
        <f aca="true">IF(OR($B1373="",$Q1373=""),"",DATEDIF($Q1373,TODAY(),"Y"))</f>
        <v/>
      </c>
      <c r="S1373" s="40" t="str">
        <f aca="false">IF($R1373="","",INDEX(usia_label,MATCH($R1373,usia_min,1)))</f>
        <v/>
      </c>
      <c r="T1373" s="36"/>
      <c r="U1373" s="41"/>
      <c r="V1373" s="36"/>
      <c r="W1373" s="36"/>
      <c r="X1373" s="40" t="str">
        <f aca="false">IF($M1373="","",$M1373&amp;"#"&amp;COUNTIF($M$4:$M1373,$M1373))</f>
        <v/>
      </c>
      <c r="Y1373" s="40" t="str">
        <f aca="false">IF($B1373="","",IF($C1373="","NIK kosong",IF(LEN($C1373)&lt;&gt;16,"NIK bukan 16 digit",IF(COUNTIF($C$4:$C$2003,$C1373&amp;"*")&gt;1,"NIK ganda",IF(AND($D1373&lt;&gt;"",LEN($D1373)&lt;&gt;16),"No. KK bukan 16 digit",IF(AND($F1373="",$I1373=""),"Alamat kosong",IF($N1373="","Jabatan kosong",IF($O1373="","No. HP kosong",IF(AND($R1373&lt;&gt;"",$R1373&lt;17),"Usia di bawah 17","")))))))))</f>
        <v/>
      </c>
      <c r="Z1373" s="40" t="str">
        <f aca="false">IF($B1373="","",IF(AND(OR(CARI!$C$5="",ISNUMBER(SEARCH(CARI!$C$5,$B1373&amp;" "&amp;$C1373&amp;" "&amp;$D1373&amp;" "&amp;$O1373&amp;" "&amp;$I1373&amp;" "&amp;$F1373&amp;" "&amp;$J1373&amp;" "&amp;$K1373&amp;" "&amp;$L1373&amp;" "&amp;$V1373))),OR(CARI!$C$6="",$F1373=CARI!$C$6),OR(CARI!$C$7="",$G1373=CARI!$C$7),OR(CARI!$C$8="",$T1373=CARI!$C$8)),MAX($Z$3:Z1372)+1,""))</f>
        <v/>
      </c>
      <c r="AA1373" s="40" t="str">
        <f aca="false">IF($Y1373="","",MAX($AA$3:AA1372)+1)</f>
        <v/>
      </c>
      <c r="AB1373" s="40" t="str">
        <f aca="false">IF($F1373="","",$F1373&amp;"#"&amp;COUNTIF($F$4:$F1373,$F1373))</f>
        <v/>
      </c>
      <c r="AC1373" s="40" t="str">
        <f aca="false">IF($B1373="","",IF(AND(OR(CETAK!$J$10="",$F1373=CETAK!$J$10),OR(CETAK!$J$11="",$G1373=CETAK!$J$11),OR(CETAK!$J$12="",$P1373=CETAK!$J$12),OR(CETAK!$J$13="",$N1373=CETAK!$J$13),OR(CETAK!$J$14="",$T1373=CETAK!$J$14)),MAX($AC$3:AC1372)+1,""))</f>
        <v/>
      </c>
      <c r="AD1373" s="40" t="str">
        <f aca="false">IF($B1373="","",IF(AND(OR(ABSENSI!$H$10="",$F1373=ABSENSI!$H$10),OR(ABSENSI!$H$11="",$G1373=ABSENSI!$H$11),OR(ABSENSI!$H$12="",$P1373=ABSENSI!$H$12)),MAX($AD$3:AD1372)+1,""))</f>
        <v/>
      </c>
      <c r="AE1373" s="40" t="str">
        <f aca="false">IF($B1373="","",IF(AND(OR(KARTU!$K$6="",$F1373=KARTU!$K$6),OR(KARTU!$K$7="",$G1373=KARTU!$K$7),OR(KARTU!$K$8="",$P1373=KARTU!$K$8)),MAX($AE$3:AE1372)+1,""))</f>
        <v/>
      </c>
    </row>
    <row r="1374" customFormat="false" ht="15" hidden="false" customHeight="false" outlineLevel="0" collapsed="false">
      <c r="A1374" s="35" t="str">
        <f aca="false">IF($B1374="","",COUNTA($B$4:$B1374))</f>
        <v/>
      </c>
      <c r="B1374" s="36"/>
      <c r="C1374" s="37"/>
      <c r="D1374" s="37"/>
      <c r="E1374" s="38"/>
      <c r="F1374" s="36"/>
      <c r="G1374" s="39"/>
      <c r="H1374" s="39"/>
      <c r="I1374" s="36"/>
      <c r="J1374" s="36"/>
      <c r="K1374" s="36"/>
      <c r="L1374" s="36"/>
      <c r="M1374" s="40" t="str">
        <f aca="false">IF($F1374="","",$F1374&amp;IF($G1374="",""," - RT "&amp;$G1374&amp;IF($H1374="","","/"&amp;$H1374)))</f>
        <v/>
      </c>
      <c r="N1374" s="36"/>
      <c r="O1374" s="37"/>
      <c r="P1374" s="39"/>
      <c r="Q1374" s="41"/>
      <c r="R1374" s="35" t="str">
        <f aca="true">IF(OR($B1374="",$Q1374=""),"",DATEDIF($Q1374,TODAY(),"Y"))</f>
        <v/>
      </c>
      <c r="S1374" s="40" t="str">
        <f aca="false">IF($R1374="","",INDEX(usia_label,MATCH($R1374,usia_min,1)))</f>
        <v/>
      </c>
      <c r="T1374" s="36"/>
      <c r="U1374" s="41"/>
      <c r="V1374" s="36"/>
      <c r="W1374" s="36"/>
      <c r="X1374" s="40" t="str">
        <f aca="false">IF($M1374="","",$M1374&amp;"#"&amp;COUNTIF($M$4:$M1374,$M1374))</f>
        <v/>
      </c>
      <c r="Y1374" s="40" t="str">
        <f aca="false">IF($B1374="","",IF($C1374="","NIK kosong",IF(LEN($C1374)&lt;&gt;16,"NIK bukan 16 digit",IF(COUNTIF($C$4:$C$2003,$C1374&amp;"*")&gt;1,"NIK ganda",IF(AND($D1374&lt;&gt;"",LEN($D1374)&lt;&gt;16),"No. KK bukan 16 digit",IF(AND($F1374="",$I1374=""),"Alamat kosong",IF($N1374="","Jabatan kosong",IF($O1374="","No. HP kosong",IF(AND($R1374&lt;&gt;"",$R1374&lt;17),"Usia di bawah 17","")))))))))</f>
        <v/>
      </c>
      <c r="Z1374" s="40" t="str">
        <f aca="false">IF($B1374="","",IF(AND(OR(CARI!$C$5="",ISNUMBER(SEARCH(CARI!$C$5,$B1374&amp;" "&amp;$C1374&amp;" "&amp;$D1374&amp;" "&amp;$O1374&amp;" "&amp;$I1374&amp;" "&amp;$F1374&amp;" "&amp;$J1374&amp;" "&amp;$K1374&amp;" "&amp;$L1374&amp;" "&amp;$V1374))),OR(CARI!$C$6="",$F1374=CARI!$C$6),OR(CARI!$C$7="",$G1374=CARI!$C$7),OR(CARI!$C$8="",$T1374=CARI!$C$8)),MAX($Z$3:Z1373)+1,""))</f>
        <v/>
      </c>
      <c r="AA1374" s="40" t="str">
        <f aca="false">IF($Y1374="","",MAX($AA$3:AA1373)+1)</f>
        <v/>
      </c>
      <c r="AB1374" s="40" t="str">
        <f aca="false">IF($F1374="","",$F1374&amp;"#"&amp;COUNTIF($F$4:$F1374,$F1374))</f>
        <v/>
      </c>
      <c r="AC1374" s="40" t="str">
        <f aca="false">IF($B1374="","",IF(AND(OR(CETAK!$J$10="",$F1374=CETAK!$J$10),OR(CETAK!$J$11="",$G1374=CETAK!$J$11),OR(CETAK!$J$12="",$P1374=CETAK!$J$12),OR(CETAK!$J$13="",$N1374=CETAK!$J$13),OR(CETAK!$J$14="",$T1374=CETAK!$J$14)),MAX($AC$3:AC1373)+1,""))</f>
        <v/>
      </c>
      <c r="AD1374" s="40" t="str">
        <f aca="false">IF($B1374="","",IF(AND(OR(ABSENSI!$H$10="",$F1374=ABSENSI!$H$10),OR(ABSENSI!$H$11="",$G1374=ABSENSI!$H$11),OR(ABSENSI!$H$12="",$P1374=ABSENSI!$H$12)),MAX($AD$3:AD1373)+1,""))</f>
        <v/>
      </c>
      <c r="AE1374" s="40" t="str">
        <f aca="false">IF($B1374="","",IF(AND(OR(KARTU!$K$6="",$F1374=KARTU!$K$6),OR(KARTU!$K$7="",$G1374=KARTU!$K$7),OR(KARTU!$K$8="",$P1374=KARTU!$K$8)),MAX($AE$3:AE1373)+1,""))</f>
        <v/>
      </c>
    </row>
    <row r="1375" customFormat="false" ht="15" hidden="false" customHeight="false" outlineLevel="0" collapsed="false">
      <c r="A1375" s="35" t="str">
        <f aca="false">IF($B1375="","",COUNTA($B$4:$B1375))</f>
        <v/>
      </c>
      <c r="B1375" s="36"/>
      <c r="C1375" s="37"/>
      <c r="D1375" s="37"/>
      <c r="E1375" s="38"/>
      <c r="F1375" s="36"/>
      <c r="G1375" s="39"/>
      <c r="H1375" s="39"/>
      <c r="I1375" s="36"/>
      <c r="J1375" s="36"/>
      <c r="K1375" s="36"/>
      <c r="L1375" s="36"/>
      <c r="M1375" s="40" t="str">
        <f aca="false">IF($F1375="","",$F1375&amp;IF($G1375="",""," - RT "&amp;$G1375&amp;IF($H1375="","","/"&amp;$H1375)))</f>
        <v/>
      </c>
      <c r="N1375" s="36"/>
      <c r="O1375" s="37"/>
      <c r="P1375" s="39"/>
      <c r="Q1375" s="41"/>
      <c r="R1375" s="35" t="str">
        <f aca="true">IF(OR($B1375="",$Q1375=""),"",DATEDIF($Q1375,TODAY(),"Y"))</f>
        <v/>
      </c>
      <c r="S1375" s="40" t="str">
        <f aca="false">IF($R1375="","",INDEX(usia_label,MATCH($R1375,usia_min,1)))</f>
        <v/>
      </c>
      <c r="T1375" s="36"/>
      <c r="U1375" s="41"/>
      <c r="V1375" s="36"/>
      <c r="W1375" s="36"/>
      <c r="X1375" s="40" t="str">
        <f aca="false">IF($M1375="","",$M1375&amp;"#"&amp;COUNTIF($M$4:$M1375,$M1375))</f>
        <v/>
      </c>
      <c r="Y1375" s="40" t="str">
        <f aca="false">IF($B1375="","",IF($C1375="","NIK kosong",IF(LEN($C1375)&lt;&gt;16,"NIK bukan 16 digit",IF(COUNTIF($C$4:$C$2003,$C1375&amp;"*")&gt;1,"NIK ganda",IF(AND($D1375&lt;&gt;"",LEN($D1375)&lt;&gt;16),"No. KK bukan 16 digit",IF(AND($F1375="",$I1375=""),"Alamat kosong",IF($N1375="","Jabatan kosong",IF($O1375="","No. HP kosong",IF(AND($R1375&lt;&gt;"",$R1375&lt;17),"Usia di bawah 17","")))))))))</f>
        <v/>
      </c>
      <c r="Z1375" s="40" t="str">
        <f aca="false">IF($B1375="","",IF(AND(OR(CARI!$C$5="",ISNUMBER(SEARCH(CARI!$C$5,$B1375&amp;" "&amp;$C1375&amp;" "&amp;$D1375&amp;" "&amp;$O1375&amp;" "&amp;$I1375&amp;" "&amp;$F1375&amp;" "&amp;$J1375&amp;" "&amp;$K1375&amp;" "&amp;$L1375&amp;" "&amp;$V1375))),OR(CARI!$C$6="",$F1375=CARI!$C$6),OR(CARI!$C$7="",$G1375=CARI!$C$7),OR(CARI!$C$8="",$T1375=CARI!$C$8)),MAX($Z$3:Z1374)+1,""))</f>
        <v/>
      </c>
      <c r="AA1375" s="40" t="str">
        <f aca="false">IF($Y1375="","",MAX($AA$3:AA1374)+1)</f>
        <v/>
      </c>
      <c r="AB1375" s="40" t="str">
        <f aca="false">IF($F1375="","",$F1375&amp;"#"&amp;COUNTIF($F$4:$F1375,$F1375))</f>
        <v/>
      </c>
      <c r="AC1375" s="40" t="str">
        <f aca="false">IF($B1375="","",IF(AND(OR(CETAK!$J$10="",$F1375=CETAK!$J$10),OR(CETAK!$J$11="",$G1375=CETAK!$J$11),OR(CETAK!$J$12="",$P1375=CETAK!$J$12),OR(CETAK!$J$13="",$N1375=CETAK!$J$13),OR(CETAK!$J$14="",$T1375=CETAK!$J$14)),MAX($AC$3:AC1374)+1,""))</f>
        <v/>
      </c>
      <c r="AD1375" s="40" t="str">
        <f aca="false">IF($B1375="","",IF(AND(OR(ABSENSI!$H$10="",$F1375=ABSENSI!$H$10),OR(ABSENSI!$H$11="",$G1375=ABSENSI!$H$11),OR(ABSENSI!$H$12="",$P1375=ABSENSI!$H$12)),MAX($AD$3:AD1374)+1,""))</f>
        <v/>
      </c>
      <c r="AE1375" s="40" t="str">
        <f aca="false">IF($B1375="","",IF(AND(OR(KARTU!$K$6="",$F1375=KARTU!$K$6),OR(KARTU!$K$7="",$G1375=KARTU!$K$7),OR(KARTU!$K$8="",$P1375=KARTU!$K$8)),MAX($AE$3:AE1374)+1,""))</f>
        <v/>
      </c>
    </row>
    <row r="1376" customFormat="false" ht="15" hidden="false" customHeight="false" outlineLevel="0" collapsed="false">
      <c r="A1376" s="35" t="str">
        <f aca="false">IF($B1376="","",COUNTA($B$4:$B1376))</f>
        <v/>
      </c>
      <c r="B1376" s="36"/>
      <c r="C1376" s="37"/>
      <c r="D1376" s="37"/>
      <c r="E1376" s="38"/>
      <c r="F1376" s="36"/>
      <c r="G1376" s="39"/>
      <c r="H1376" s="39"/>
      <c r="I1376" s="36"/>
      <c r="J1376" s="36"/>
      <c r="K1376" s="36"/>
      <c r="L1376" s="36"/>
      <c r="M1376" s="40" t="str">
        <f aca="false">IF($F1376="","",$F1376&amp;IF($G1376="",""," - RT "&amp;$G1376&amp;IF($H1376="","","/"&amp;$H1376)))</f>
        <v/>
      </c>
      <c r="N1376" s="36"/>
      <c r="O1376" s="37"/>
      <c r="P1376" s="39"/>
      <c r="Q1376" s="41"/>
      <c r="R1376" s="35" t="str">
        <f aca="true">IF(OR($B1376="",$Q1376=""),"",DATEDIF($Q1376,TODAY(),"Y"))</f>
        <v/>
      </c>
      <c r="S1376" s="40" t="str">
        <f aca="false">IF($R1376="","",INDEX(usia_label,MATCH($R1376,usia_min,1)))</f>
        <v/>
      </c>
      <c r="T1376" s="36"/>
      <c r="U1376" s="41"/>
      <c r="V1376" s="36"/>
      <c r="W1376" s="36"/>
      <c r="X1376" s="40" t="str">
        <f aca="false">IF($M1376="","",$M1376&amp;"#"&amp;COUNTIF($M$4:$M1376,$M1376))</f>
        <v/>
      </c>
      <c r="Y1376" s="40" t="str">
        <f aca="false">IF($B1376="","",IF($C1376="","NIK kosong",IF(LEN($C1376)&lt;&gt;16,"NIK bukan 16 digit",IF(COUNTIF($C$4:$C$2003,$C1376&amp;"*")&gt;1,"NIK ganda",IF(AND($D1376&lt;&gt;"",LEN($D1376)&lt;&gt;16),"No. KK bukan 16 digit",IF(AND($F1376="",$I1376=""),"Alamat kosong",IF($N1376="","Jabatan kosong",IF($O1376="","No. HP kosong",IF(AND($R1376&lt;&gt;"",$R1376&lt;17),"Usia di bawah 17","")))))))))</f>
        <v/>
      </c>
      <c r="Z1376" s="40" t="str">
        <f aca="false">IF($B1376="","",IF(AND(OR(CARI!$C$5="",ISNUMBER(SEARCH(CARI!$C$5,$B1376&amp;" "&amp;$C1376&amp;" "&amp;$D1376&amp;" "&amp;$O1376&amp;" "&amp;$I1376&amp;" "&amp;$F1376&amp;" "&amp;$J1376&amp;" "&amp;$K1376&amp;" "&amp;$L1376&amp;" "&amp;$V1376))),OR(CARI!$C$6="",$F1376=CARI!$C$6),OR(CARI!$C$7="",$G1376=CARI!$C$7),OR(CARI!$C$8="",$T1376=CARI!$C$8)),MAX($Z$3:Z1375)+1,""))</f>
        <v/>
      </c>
      <c r="AA1376" s="40" t="str">
        <f aca="false">IF($Y1376="","",MAX($AA$3:AA1375)+1)</f>
        <v/>
      </c>
      <c r="AB1376" s="40" t="str">
        <f aca="false">IF($F1376="","",$F1376&amp;"#"&amp;COUNTIF($F$4:$F1376,$F1376))</f>
        <v/>
      </c>
      <c r="AC1376" s="40" t="str">
        <f aca="false">IF($B1376="","",IF(AND(OR(CETAK!$J$10="",$F1376=CETAK!$J$10),OR(CETAK!$J$11="",$G1376=CETAK!$J$11),OR(CETAK!$J$12="",$P1376=CETAK!$J$12),OR(CETAK!$J$13="",$N1376=CETAK!$J$13),OR(CETAK!$J$14="",$T1376=CETAK!$J$14)),MAX($AC$3:AC1375)+1,""))</f>
        <v/>
      </c>
      <c r="AD1376" s="40" t="str">
        <f aca="false">IF($B1376="","",IF(AND(OR(ABSENSI!$H$10="",$F1376=ABSENSI!$H$10),OR(ABSENSI!$H$11="",$G1376=ABSENSI!$H$11),OR(ABSENSI!$H$12="",$P1376=ABSENSI!$H$12)),MAX($AD$3:AD1375)+1,""))</f>
        <v/>
      </c>
      <c r="AE1376" s="40" t="str">
        <f aca="false">IF($B1376="","",IF(AND(OR(KARTU!$K$6="",$F1376=KARTU!$K$6),OR(KARTU!$K$7="",$G1376=KARTU!$K$7),OR(KARTU!$K$8="",$P1376=KARTU!$K$8)),MAX($AE$3:AE1375)+1,""))</f>
        <v/>
      </c>
    </row>
    <row r="1377" customFormat="false" ht="15" hidden="false" customHeight="false" outlineLevel="0" collapsed="false">
      <c r="A1377" s="35" t="str">
        <f aca="false">IF($B1377="","",COUNTA($B$4:$B1377))</f>
        <v/>
      </c>
      <c r="B1377" s="36"/>
      <c r="C1377" s="37"/>
      <c r="D1377" s="37"/>
      <c r="E1377" s="38"/>
      <c r="F1377" s="36"/>
      <c r="G1377" s="39"/>
      <c r="H1377" s="39"/>
      <c r="I1377" s="36"/>
      <c r="J1377" s="36"/>
      <c r="K1377" s="36"/>
      <c r="L1377" s="36"/>
      <c r="M1377" s="40" t="str">
        <f aca="false">IF($F1377="","",$F1377&amp;IF($G1377="",""," - RT "&amp;$G1377&amp;IF($H1377="","","/"&amp;$H1377)))</f>
        <v/>
      </c>
      <c r="N1377" s="36"/>
      <c r="O1377" s="37"/>
      <c r="P1377" s="39"/>
      <c r="Q1377" s="41"/>
      <c r="R1377" s="35" t="str">
        <f aca="true">IF(OR($B1377="",$Q1377=""),"",DATEDIF($Q1377,TODAY(),"Y"))</f>
        <v/>
      </c>
      <c r="S1377" s="40" t="str">
        <f aca="false">IF($R1377="","",INDEX(usia_label,MATCH($R1377,usia_min,1)))</f>
        <v/>
      </c>
      <c r="T1377" s="36"/>
      <c r="U1377" s="41"/>
      <c r="V1377" s="36"/>
      <c r="W1377" s="36"/>
      <c r="X1377" s="40" t="str">
        <f aca="false">IF($M1377="","",$M1377&amp;"#"&amp;COUNTIF($M$4:$M1377,$M1377))</f>
        <v/>
      </c>
      <c r="Y1377" s="40" t="str">
        <f aca="false">IF($B1377="","",IF($C1377="","NIK kosong",IF(LEN($C1377)&lt;&gt;16,"NIK bukan 16 digit",IF(COUNTIF($C$4:$C$2003,$C1377&amp;"*")&gt;1,"NIK ganda",IF(AND($D1377&lt;&gt;"",LEN($D1377)&lt;&gt;16),"No. KK bukan 16 digit",IF(AND($F1377="",$I1377=""),"Alamat kosong",IF($N1377="","Jabatan kosong",IF($O1377="","No. HP kosong",IF(AND($R1377&lt;&gt;"",$R1377&lt;17),"Usia di bawah 17","")))))))))</f>
        <v/>
      </c>
      <c r="Z1377" s="40" t="str">
        <f aca="false">IF($B1377="","",IF(AND(OR(CARI!$C$5="",ISNUMBER(SEARCH(CARI!$C$5,$B1377&amp;" "&amp;$C1377&amp;" "&amp;$D1377&amp;" "&amp;$O1377&amp;" "&amp;$I1377&amp;" "&amp;$F1377&amp;" "&amp;$J1377&amp;" "&amp;$K1377&amp;" "&amp;$L1377&amp;" "&amp;$V1377))),OR(CARI!$C$6="",$F1377=CARI!$C$6),OR(CARI!$C$7="",$G1377=CARI!$C$7),OR(CARI!$C$8="",$T1377=CARI!$C$8)),MAX($Z$3:Z1376)+1,""))</f>
        <v/>
      </c>
      <c r="AA1377" s="40" t="str">
        <f aca="false">IF($Y1377="","",MAX($AA$3:AA1376)+1)</f>
        <v/>
      </c>
      <c r="AB1377" s="40" t="str">
        <f aca="false">IF($F1377="","",$F1377&amp;"#"&amp;COUNTIF($F$4:$F1377,$F1377))</f>
        <v/>
      </c>
      <c r="AC1377" s="40" t="str">
        <f aca="false">IF($B1377="","",IF(AND(OR(CETAK!$J$10="",$F1377=CETAK!$J$10),OR(CETAK!$J$11="",$G1377=CETAK!$J$11),OR(CETAK!$J$12="",$P1377=CETAK!$J$12),OR(CETAK!$J$13="",$N1377=CETAK!$J$13),OR(CETAK!$J$14="",$T1377=CETAK!$J$14)),MAX($AC$3:AC1376)+1,""))</f>
        <v/>
      </c>
      <c r="AD1377" s="40" t="str">
        <f aca="false">IF($B1377="","",IF(AND(OR(ABSENSI!$H$10="",$F1377=ABSENSI!$H$10),OR(ABSENSI!$H$11="",$G1377=ABSENSI!$H$11),OR(ABSENSI!$H$12="",$P1377=ABSENSI!$H$12)),MAX($AD$3:AD1376)+1,""))</f>
        <v/>
      </c>
      <c r="AE1377" s="40" t="str">
        <f aca="false">IF($B1377="","",IF(AND(OR(KARTU!$K$6="",$F1377=KARTU!$K$6),OR(KARTU!$K$7="",$G1377=KARTU!$K$7),OR(KARTU!$K$8="",$P1377=KARTU!$K$8)),MAX($AE$3:AE1376)+1,""))</f>
        <v/>
      </c>
    </row>
    <row r="1378" customFormat="false" ht="15" hidden="false" customHeight="false" outlineLevel="0" collapsed="false">
      <c r="A1378" s="35" t="str">
        <f aca="false">IF($B1378="","",COUNTA($B$4:$B1378))</f>
        <v/>
      </c>
      <c r="B1378" s="36"/>
      <c r="C1378" s="37"/>
      <c r="D1378" s="37"/>
      <c r="E1378" s="38"/>
      <c r="F1378" s="36"/>
      <c r="G1378" s="39"/>
      <c r="H1378" s="39"/>
      <c r="I1378" s="36"/>
      <c r="J1378" s="36"/>
      <c r="K1378" s="36"/>
      <c r="L1378" s="36"/>
      <c r="M1378" s="40" t="str">
        <f aca="false">IF($F1378="","",$F1378&amp;IF($G1378="",""," - RT "&amp;$G1378&amp;IF($H1378="","","/"&amp;$H1378)))</f>
        <v/>
      </c>
      <c r="N1378" s="36"/>
      <c r="O1378" s="37"/>
      <c r="P1378" s="39"/>
      <c r="Q1378" s="41"/>
      <c r="R1378" s="35" t="str">
        <f aca="true">IF(OR($B1378="",$Q1378=""),"",DATEDIF($Q1378,TODAY(),"Y"))</f>
        <v/>
      </c>
      <c r="S1378" s="40" t="str">
        <f aca="false">IF($R1378="","",INDEX(usia_label,MATCH($R1378,usia_min,1)))</f>
        <v/>
      </c>
      <c r="T1378" s="36"/>
      <c r="U1378" s="41"/>
      <c r="V1378" s="36"/>
      <c r="W1378" s="36"/>
      <c r="X1378" s="40" t="str">
        <f aca="false">IF($M1378="","",$M1378&amp;"#"&amp;COUNTIF($M$4:$M1378,$M1378))</f>
        <v/>
      </c>
      <c r="Y1378" s="40" t="str">
        <f aca="false">IF($B1378="","",IF($C1378="","NIK kosong",IF(LEN($C1378)&lt;&gt;16,"NIK bukan 16 digit",IF(COUNTIF($C$4:$C$2003,$C1378&amp;"*")&gt;1,"NIK ganda",IF(AND($D1378&lt;&gt;"",LEN($D1378)&lt;&gt;16),"No. KK bukan 16 digit",IF(AND($F1378="",$I1378=""),"Alamat kosong",IF($N1378="","Jabatan kosong",IF($O1378="","No. HP kosong",IF(AND($R1378&lt;&gt;"",$R1378&lt;17),"Usia di bawah 17","")))))))))</f>
        <v/>
      </c>
      <c r="Z1378" s="40" t="str">
        <f aca="false">IF($B1378="","",IF(AND(OR(CARI!$C$5="",ISNUMBER(SEARCH(CARI!$C$5,$B1378&amp;" "&amp;$C1378&amp;" "&amp;$D1378&amp;" "&amp;$O1378&amp;" "&amp;$I1378&amp;" "&amp;$F1378&amp;" "&amp;$J1378&amp;" "&amp;$K1378&amp;" "&amp;$L1378&amp;" "&amp;$V1378))),OR(CARI!$C$6="",$F1378=CARI!$C$6),OR(CARI!$C$7="",$G1378=CARI!$C$7),OR(CARI!$C$8="",$T1378=CARI!$C$8)),MAX($Z$3:Z1377)+1,""))</f>
        <v/>
      </c>
      <c r="AA1378" s="40" t="str">
        <f aca="false">IF($Y1378="","",MAX($AA$3:AA1377)+1)</f>
        <v/>
      </c>
      <c r="AB1378" s="40" t="str">
        <f aca="false">IF($F1378="","",$F1378&amp;"#"&amp;COUNTIF($F$4:$F1378,$F1378))</f>
        <v/>
      </c>
      <c r="AC1378" s="40" t="str">
        <f aca="false">IF($B1378="","",IF(AND(OR(CETAK!$J$10="",$F1378=CETAK!$J$10),OR(CETAK!$J$11="",$G1378=CETAK!$J$11),OR(CETAK!$J$12="",$P1378=CETAK!$J$12),OR(CETAK!$J$13="",$N1378=CETAK!$J$13),OR(CETAK!$J$14="",$T1378=CETAK!$J$14)),MAX($AC$3:AC1377)+1,""))</f>
        <v/>
      </c>
      <c r="AD1378" s="40" t="str">
        <f aca="false">IF($B1378="","",IF(AND(OR(ABSENSI!$H$10="",$F1378=ABSENSI!$H$10),OR(ABSENSI!$H$11="",$G1378=ABSENSI!$H$11),OR(ABSENSI!$H$12="",$P1378=ABSENSI!$H$12)),MAX($AD$3:AD1377)+1,""))</f>
        <v/>
      </c>
      <c r="AE1378" s="40" t="str">
        <f aca="false">IF($B1378="","",IF(AND(OR(KARTU!$K$6="",$F1378=KARTU!$K$6),OR(KARTU!$K$7="",$G1378=KARTU!$K$7),OR(KARTU!$K$8="",$P1378=KARTU!$K$8)),MAX($AE$3:AE1377)+1,""))</f>
        <v/>
      </c>
    </row>
    <row r="1379" customFormat="false" ht="15" hidden="false" customHeight="false" outlineLevel="0" collapsed="false">
      <c r="A1379" s="35" t="str">
        <f aca="false">IF($B1379="","",COUNTA($B$4:$B1379))</f>
        <v/>
      </c>
      <c r="B1379" s="36"/>
      <c r="C1379" s="37"/>
      <c r="D1379" s="37"/>
      <c r="E1379" s="38"/>
      <c r="F1379" s="36"/>
      <c r="G1379" s="39"/>
      <c r="H1379" s="39"/>
      <c r="I1379" s="36"/>
      <c r="J1379" s="36"/>
      <c r="K1379" s="36"/>
      <c r="L1379" s="36"/>
      <c r="M1379" s="40" t="str">
        <f aca="false">IF($F1379="","",$F1379&amp;IF($G1379="",""," - RT "&amp;$G1379&amp;IF($H1379="","","/"&amp;$H1379)))</f>
        <v/>
      </c>
      <c r="N1379" s="36"/>
      <c r="O1379" s="37"/>
      <c r="P1379" s="39"/>
      <c r="Q1379" s="41"/>
      <c r="R1379" s="35" t="str">
        <f aca="true">IF(OR($B1379="",$Q1379=""),"",DATEDIF($Q1379,TODAY(),"Y"))</f>
        <v/>
      </c>
      <c r="S1379" s="40" t="str">
        <f aca="false">IF($R1379="","",INDEX(usia_label,MATCH($R1379,usia_min,1)))</f>
        <v/>
      </c>
      <c r="T1379" s="36"/>
      <c r="U1379" s="41"/>
      <c r="V1379" s="36"/>
      <c r="W1379" s="36"/>
      <c r="X1379" s="40" t="str">
        <f aca="false">IF($M1379="","",$M1379&amp;"#"&amp;COUNTIF($M$4:$M1379,$M1379))</f>
        <v/>
      </c>
      <c r="Y1379" s="40" t="str">
        <f aca="false">IF($B1379="","",IF($C1379="","NIK kosong",IF(LEN($C1379)&lt;&gt;16,"NIK bukan 16 digit",IF(COUNTIF($C$4:$C$2003,$C1379&amp;"*")&gt;1,"NIK ganda",IF(AND($D1379&lt;&gt;"",LEN($D1379)&lt;&gt;16),"No. KK bukan 16 digit",IF(AND($F1379="",$I1379=""),"Alamat kosong",IF($N1379="","Jabatan kosong",IF($O1379="","No. HP kosong",IF(AND($R1379&lt;&gt;"",$R1379&lt;17),"Usia di bawah 17","")))))))))</f>
        <v/>
      </c>
      <c r="Z1379" s="40" t="str">
        <f aca="false">IF($B1379="","",IF(AND(OR(CARI!$C$5="",ISNUMBER(SEARCH(CARI!$C$5,$B1379&amp;" "&amp;$C1379&amp;" "&amp;$D1379&amp;" "&amp;$O1379&amp;" "&amp;$I1379&amp;" "&amp;$F1379&amp;" "&amp;$J1379&amp;" "&amp;$K1379&amp;" "&amp;$L1379&amp;" "&amp;$V1379))),OR(CARI!$C$6="",$F1379=CARI!$C$6),OR(CARI!$C$7="",$G1379=CARI!$C$7),OR(CARI!$C$8="",$T1379=CARI!$C$8)),MAX($Z$3:Z1378)+1,""))</f>
        <v/>
      </c>
      <c r="AA1379" s="40" t="str">
        <f aca="false">IF($Y1379="","",MAX($AA$3:AA1378)+1)</f>
        <v/>
      </c>
      <c r="AB1379" s="40" t="str">
        <f aca="false">IF($F1379="","",$F1379&amp;"#"&amp;COUNTIF($F$4:$F1379,$F1379))</f>
        <v/>
      </c>
      <c r="AC1379" s="40" t="str">
        <f aca="false">IF($B1379="","",IF(AND(OR(CETAK!$J$10="",$F1379=CETAK!$J$10),OR(CETAK!$J$11="",$G1379=CETAK!$J$11),OR(CETAK!$J$12="",$P1379=CETAK!$J$12),OR(CETAK!$J$13="",$N1379=CETAK!$J$13),OR(CETAK!$J$14="",$T1379=CETAK!$J$14)),MAX($AC$3:AC1378)+1,""))</f>
        <v/>
      </c>
      <c r="AD1379" s="40" t="str">
        <f aca="false">IF($B1379="","",IF(AND(OR(ABSENSI!$H$10="",$F1379=ABSENSI!$H$10),OR(ABSENSI!$H$11="",$G1379=ABSENSI!$H$11),OR(ABSENSI!$H$12="",$P1379=ABSENSI!$H$12)),MAX($AD$3:AD1378)+1,""))</f>
        <v/>
      </c>
      <c r="AE1379" s="40" t="str">
        <f aca="false">IF($B1379="","",IF(AND(OR(KARTU!$K$6="",$F1379=KARTU!$K$6),OR(KARTU!$K$7="",$G1379=KARTU!$K$7),OR(KARTU!$K$8="",$P1379=KARTU!$K$8)),MAX($AE$3:AE1378)+1,""))</f>
        <v/>
      </c>
    </row>
    <row r="1380" customFormat="false" ht="15" hidden="false" customHeight="false" outlineLevel="0" collapsed="false">
      <c r="A1380" s="35" t="str">
        <f aca="false">IF($B1380="","",COUNTA($B$4:$B1380))</f>
        <v/>
      </c>
      <c r="B1380" s="36"/>
      <c r="C1380" s="37"/>
      <c r="D1380" s="37"/>
      <c r="E1380" s="38"/>
      <c r="F1380" s="36"/>
      <c r="G1380" s="39"/>
      <c r="H1380" s="39"/>
      <c r="I1380" s="36"/>
      <c r="J1380" s="36"/>
      <c r="K1380" s="36"/>
      <c r="L1380" s="36"/>
      <c r="M1380" s="40" t="str">
        <f aca="false">IF($F1380="","",$F1380&amp;IF($G1380="",""," - RT "&amp;$G1380&amp;IF($H1380="","","/"&amp;$H1380)))</f>
        <v/>
      </c>
      <c r="N1380" s="36"/>
      <c r="O1380" s="37"/>
      <c r="P1380" s="39"/>
      <c r="Q1380" s="41"/>
      <c r="R1380" s="35" t="str">
        <f aca="true">IF(OR($B1380="",$Q1380=""),"",DATEDIF($Q1380,TODAY(),"Y"))</f>
        <v/>
      </c>
      <c r="S1380" s="40" t="str">
        <f aca="false">IF($R1380="","",INDEX(usia_label,MATCH($R1380,usia_min,1)))</f>
        <v/>
      </c>
      <c r="T1380" s="36"/>
      <c r="U1380" s="41"/>
      <c r="V1380" s="36"/>
      <c r="W1380" s="36"/>
      <c r="X1380" s="40" t="str">
        <f aca="false">IF($M1380="","",$M1380&amp;"#"&amp;COUNTIF($M$4:$M1380,$M1380))</f>
        <v/>
      </c>
      <c r="Y1380" s="40" t="str">
        <f aca="false">IF($B1380="","",IF($C1380="","NIK kosong",IF(LEN($C1380)&lt;&gt;16,"NIK bukan 16 digit",IF(COUNTIF($C$4:$C$2003,$C1380&amp;"*")&gt;1,"NIK ganda",IF(AND($D1380&lt;&gt;"",LEN($D1380)&lt;&gt;16),"No. KK bukan 16 digit",IF(AND($F1380="",$I1380=""),"Alamat kosong",IF($N1380="","Jabatan kosong",IF($O1380="","No. HP kosong",IF(AND($R1380&lt;&gt;"",$R1380&lt;17),"Usia di bawah 17","")))))))))</f>
        <v/>
      </c>
      <c r="Z1380" s="40" t="str">
        <f aca="false">IF($B1380="","",IF(AND(OR(CARI!$C$5="",ISNUMBER(SEARCH(CARI!$C$5,$B1380&amp;" "&amp;$C1380&amp;" "&amp;$D1380&amp;" "&amp;$O1380&amp;" "&amp;$I1380&amp;" "&amp;$F1380&amp;" "&amp;$J1380&amp;" "&amp;$K1380&amp;" "&amp;$L1380&amp;" "&amp;$V1380))),OR(CARI!$C$6="",$F1380=CARI!$C$6),OR(CARI!$C$7="",$G1380=CARI!$C$7),OR(CARI!$C$8="",$T1380=CARI!$C$8)),MAX($Z$3:Z1379)+1,""))</f>
        <v/>
      </c>
      <c r="AA1380" s="40" t="str">
        <f aca="false">IF($Y1380="","",MAX($AA$3:AA1379)+1)</f>
        <v/>
      </c>
      <c r="AB1380" s="40" t="str">
        <f aca="false">IF($F1380="","",$F1380&amp;"#"&amp;COUNTIF($F$4:$F1380,$F1380))</f>
        <v/>
      </c>
      <c r="AC1380" s="40" t="str">
        <f aca="false">IF($B1380="","",IF(AND(OR(CETAK!$J$10="",$F1380=CETAK!$J$10),OR(CETAK!$J$11="",$G1380=CETAK!$J$11),OR(CETAK!$J$12="",$P1380=CETAK!$J$12),OR(CETAK!$J$13="",$N1380=CETAK!$J$13),OR(CETAK!$J$14="",$T1380=CETAK!$J$14)),MAX($AC$3:AC1379)+1,""))</f>
        <v/>
      </c>
      <c r="AD1380" s="40" t="str">
        <f aca="false">IF($B1380="","",IF(AND(OR(ABSENSI!$H$10="",$F1380=ABSENSI!$H$10),OR(ABSENSI!$H$11="",$G1380=ABSENSI!$H$11),OR(ABSENSI!$H$12="",$P1380=ABSENSI!$H$12)),MAX($AD$3:AD1379)+1,""))</f>
        <v/>
      </c>
      <c r="AE1380" s="40" t="str">
        <f aca="false">IF($B1380="","",IF(AND(OR(KARTU!$K$6="",$F1380=KARTU!$K$6),OR(KARTU!$K$7="",$G1380=KARTU!$K$7),OR(KARTU!$K$8="",$P1380=KARTU!$K$8)),MAX($AE$3:AE1379)+1,""))</f>
        <v/>
      </c>
    </row>
    <row r="1381" customFormat="false" ht="15" hidden="false" customHeight="false" outlineLevel="0" collapsed="false">
      <c r="A1381" s="35" t="str">
        <f aca="false">IF($B1381="","",COUNTA($B$4:$B1381))</f>
        <v/>
      </c>
      <c r="B1381" s="36"/>
      <c r="C1381" s="37"/>
      <c r="D1381" s="37"/>
      <c r="E1381" s="38"/>
      <c r="F1381" s="36"/>
      <c r="G1381" s="39"/>
      <c r="H1381" s="39"/>
      <c r="I1381" s="36"/>
      <c r="J1381" s="36"/>
      <c r="K1381" s="36"/>
      <c r="L1381" s="36"/>
      <c r="M1381" s="40" t="str">
        <f aca="false">IF($F1381="","",$F1381&amp;IF($G1381="",""," - RT "&amp;$G1381&amp;IF($H1381="","","/"&amp;$H1381)))</f>
        <v/>
      </c>
      <c r="N1381" s="36"/>
      <c r="O1381" s="37"/>
      <c r="P1381" s="39"/>
      <c r="Q1381" s="41"/>
      <c r="R1381" s="35" t="str">
        <f aca="true">IF(OR($B1381="",$Q1381=""),"",DATEDIF($Q1381,TODAY(),"Y"))</f>
        <v/>
      </c>
      <c r="S1381" s="40" t="str">
        <f aca="false">IF($R1381="","",INDEX(usia_label,MATCH($R1381,usia_min,1)))</f>
        <v/>
      </c>
      <c r="T1381" s="36"/>
      <c r="U1381" s="41"/>
      <c r="V1381" s="36"/>
      <c r="W1381" s="36"/>
      <c r="X1381" s="40" t="str">
        <f aca="false">IF($M1381="","",$M1381&amp;"#"&amp;COUNTIF($M$4:$M1381,$M1381))</f>
        <v/>
      </c>
      <c r="Y1381" s="40" t="str">
        <f aca="false">IF($B1381="","",IF($C1381="","NIK kosong",IF(LEN($C1381)&lt;&gt;16,"NIK bukan 16 digit",IF(COUNTIF($C$4:$C$2003,$C1381&amp;"*")&gt;1,"NIK ganda",IF(AND($D1381&lt;&gt;"",LEN($D1381)&lt;&gt;16),"No. KK bukan 16 digit",IF(AND($F1381="",$I1381=""),"Alamat kosong",IF($N1381="","Jabatan kosong",IF($O1381="","No. HP kosong",IF(AND($R1381&lt;&gt;"",$R1381&lt;17),"Usia di bawah 17","")))))))))</f>
        <v/>
      </c>
      <c r="Z1381" s="40" t="str">
        <f aca="false">IF($B1381="","",IF(AND(OR(CARI!$C$5="",ISNUMBER(SEARCH(CARI!$C$5,$B1381&amp;" "&amp;$C1381&amp;" "&amp;$D1381&amp;" "&amp;$O1381&amp;" "&amp;$I1381&amp;" "&amp;$F1381&amp;" "&amp;$J1381&amp;" "&amp;$K1381&amp;" "&amp;$L1381&amp;" "&amp;$V1381))),OR(CARI!$C$6="",$F1381=CARI!$C$6),OR(CARI!$C$7="",$G1381=CARI!$C$7),OR(CARI!$C$8="",$T1381=CARI!$C$8)),MAX($Z$3:Z1380)+1,""))</f>
        <v/>
      </c>
      <c r="AA1381" s="40" t="str">
        <f aca="false">IF($Y1381="","",MAX($AA$3:AA1380)+1)</f>
        <v/>
      </c>
      <c r="AB1381" s="40" t="str">
        <f aca="false">IF($F1381="","",$F1381&amp;"#"&amp;COUNTIF($F$4:$F1381,$F1381))</f>
        <v/>
      </c>
      <c r="AC1381" s="40" t="str">
        <f aca="false">IF($B1381="","",IF(AND(OR(CETAK!$J$10="",$F1381=CETAK!$J$10),OR(CETAK!$J$11="",$G1381=CETAK!$J$11),OR(CETAK!$J$12="",$P1381=CETAK!$J$12),OR(CETAK!$J$13="",$N1381=CETAK!$J$13),OR(CETAK!$J$14="",$T1381=CETAK!$J$14)),MAX($AC$3:AC1380)+1,""))</f>
        <v/>
      </c>
      <c r="AD1381" s="40" t="str">
        <f aca="false">IF($B1381="","",IF(AND(OR(ABSENSI!$H$10="",$F1381=ABSENSI!$H$10),OR(ABSENSI!$H$11="",$G1381=ABSENSI!$H$11),OR(ABSENSI!$H$12="",$P1381=ABSENSI!$H$12)),MAX($AD$3:AD1380)+1,""))</f>
        <v/>
      </c>
      <c r="AE1381" s="40" t="str">
        <f aca="false">IF($B1381="","",IF(AND(OR(KARTU!$K$6="",$F1381=KARTU!$K$6),OR(KARTU!$K$7="",$G1381=KARTU!$K$7),OR(KARTU!$K$8="",$P1381=KARTU!$K$8)),MAX($AE$3:AE1380)+1,""))</f>
        <v/>
      </c>
    </row>
    <row r="1382" customFormat="false" ht="15" hidden="false" customHeight="false" outlineLevel="0" collapsed="false">
      <c r="A1382" s="35" t="str">
        <f aca="false">IF($B1382="","",COUNTA($B$4:$B1382))</f>
        <v/>
      </c>
      <c r="B1382" s="36"/>
      <c r="C1382" s="37"/>
      <c r="D1382" s="37"/>
      <c r="E1382" s="38"/>
      <c r="F1382" s="36"/>
      <c r="G1382" s="39"/>
      <c r="H1382" s="39"/>
      <c r="I1382" s="36"/>
      <c r="J1382" s="36"/>
      <c r="K1382" s="36"/>
      <c r="L1382" s="36"/>
      <c r="M1382" s="40" t="str">
        <f aca="false">IF($F1382="","",$F1382&amp;IF($G1382="",""," - RT "&amp;$G1382&amp;IF($H1382="","","/"&amp;$H1382)))</f>
        <v/>
      </c>
      <c r="N1382" s="36"/>
      <c r="O1382" s="37"/>
      <c r="P1382" s="39"/>
      <c r="Q1382" s="41"/>
      <c r="R1382" s="35" t="str">
        <f aca="true">IF(OR($B1382="",$Q1382=""),"",DATEDIF($Q1382,TODAY(),"Y"))</f>
        <v/>
      </c>
      <c r="S1382" s="40" t="str">
        <f aca="false">IF($R1382="","",INDEX(usia_label,MATCH($R1382,usia_min,1)))</f>
        <v/>
      </c>
      <c r="T1382" s="36"/>
      <c r="U1382" s="41"/>
      <c r="V1382" s="36"/>
      <c r="W1382" s="36"/>
      <c r="X1382" s="40" t="str">
        <f aca="false">IF($M1382="","",$M1382&amp;"#"&amp;COUNTIF($M$4:$M1382,$M1382))</f>
        <v/>
      </c>
      <c r="Y1382" s="40" t="str">
        <f aca="false">IF($B1382="","",IF($C1382="","NIK kosong",IF(LEN($C1382)&lt;&gt;16,"NIK bukan 16 digit",IF(COUNTIF($C$4:$C$2003,$C1382&amp;"*")&gt;1,"NIK ganda",IF(AND($D1382&lt;&gt;"",LEN($D1382)&lt;&gt;16),"No. KK bukan 16 digit",IF(AND($F1382="",$I1382=""),"Alamat kosong",IF($N1382="","Jabatan kosong",IF($O1382="","No. HP kosong",IF(AND($R1382&lt;&gt;"",$R1382&lt;17),"Usia di bawah 17","")))))))))</f>
        <v/>
      </c>
      <c r="Z1382" s="40" t="str">
        <f aca="false">IF($B1382="","",IF(AND(OR(CARI!$C$5="",ISNUMBER(SEARCH(CARI!$C$5,$B1382&amp;" "&amp;$C1382&amp;" "&amp;$D1382&amp;" "&amp;$O1382&amp;" "&amp;$I1382&amp;" "&amp;$F1382&amp;" "&amp;$J1382&amp;" "&amp;$K1382&amp;" "&amp;$L1382&amp;" "&amp;$V1382))),OR(CARI!$C$6="",$F1382=CARI!$C$6),OR(CARI!$C$7="",$G1382=CARI!$C$7),OR(CARI!$C$8="",$T1382=CARI!$C$8)),MAX($Z$3:Z1381)+1,""))</f>
        <v/>
      </c>
      <c r="AA1382" s="40" t="str">
        <f aca="false">IF($Y1382="","",MAX($AA$3:AA1381)+1)</f>
        <v/>
      </c>
      <c r="AB1382" s="40" t="str">
        <f aca="false">IF($F1382="","",$F1382&amp;"#"&amp;COUNTIF($F$4:$F1382,$F1382))</f>
        <v/>
      </c>
      <c r="AC1382" s="40" t="str">
        <f aca="false">IF($B1382="","",IF(AND(OR(CETAK!$J$10="",$F1382=CETAK!$J$10),OR(CETAK!$J$11="",$G1382=CETAK!$J$11),OR(CETAK!$J$12="",$P1382=CETAK!$J$12),OR(CETAK!$J$13="",$N1382=CETAK!$J$13),OR(CETAK!$J$14="",$T1382=CETAK!$J$14)),MAX($AC$3:AC1381)+1,""))</f>
        <v/>
      </c>
      <c r="AD1382" s="40" t="str">
        <f aca="false">IF($B1382="","",IF(AND(OR(ABSENSI!$H$10="",$F1382=ABSENSI!$H$10),OR(ABSENSI!$H$11="",$G1382=ABSENSI!$H$11),OR(ABSENSI!$H$12="",$P1382=ABSENSI!$H$12)),MAX($AD$3:AD1381)+1,""))</f>
        <v/>
      </c>
      <c r="AE1382" s="40" t="str">
        <f aca="false">IF($B1382="","",IF(AND(OR(KARTU!$K$6="",$F1382=KARTU!$K$6),OR(KARTU!$K$7="",$G1382=KARTU!$K$7),OR(KARTU!$K$8="",$P1382=KARTU!$K$8)),MAX($AE$3:AE1381)+1,""))</f>
        <v/>
      </c>
    </row>
    <row r="1383" customFormat="false" ht="15" hidden="false" customHeight="false" outlineLevel="0" collapsed="false">
      <c r="A1383" s="35" t="str">
        <f aca="false">IF($B1383="","",COUNTA($B$4:$B1383))</f>
        <v/>
      </c>
      <c r="B1383" s="36"/>
      <c r="C1383" s="37"/>
      <c r="D1383" s="37"/>
      <c r="E1383" s="38"/>
      <c r="F1383" s="36"/>
      <c r="G1383" s="39"/>
      <c r="H1383" s="39"/>
      <c r="I1383" s="36"/>
      <c r="J1383" s="36"/>
      <c r="K1383" s="36"/>
      <c r="L1383" s="36"/>
      <c r="M1383" s="40" t="str">
        <f aca="false">IF($F1383="","",$F1383&amp;IF($G1383="",""," - RT "&amp;$G1383&amp;IF($H1383="","","/"&amp;$H1383)))</f>
        <v/>
      </c>
      <c r="N1383" s="36"/>
      <c r="O1383" s="37"/>
      <c r="P1383" s="39"/>
      <c r="Q1383" s="41"/>
      <c r="R1383" s="35" t="str">
        <f aca="true">IF(OR($B1383="",$Q1383=""),"",DATEDIF($Q1383,TODAY(),"Y"))</f>
        <v/>
      </c>
      <c r="S1383" s="40" t="str">
        <f aca="false">IF($R1383="","",INDEX(usia_label,MATCH($R1383,usia_min,1)))</f>
        <v/>
      </c>
      <c r="T1383" s="36"/>
      <c r="U1383" s="41"/>
      <c r="V1383" s="36"/>
      <c r="W1383" s="36"/>
      <c r="X1383" s="40" t="str">
        <f aca="false">IF($M1383="","",$M1383&amp;"#"&amp;COUNTIF($M$4:$M1383,$M1383))</f>
        <v/>
      </c>
      <c r="Y1383" s="40" t="str">
        <f aca="false">IF($B1383="","",IF($C1383="","NIK kosong",IF(LEN($C1383)&lt;&gt;16,"NIK bukan 16 digit",IF(COUNTIF($C$4:$C$2003,$C1383&amp;"*")&gt;1,"NIK ganda",IF(AND($D1383&lt;&gt;"",LEN($D1383)&lt;&gt;16),"No. KK bukan 16 digit",IF(AND($F1383="",$I1383=""),"Alamat kosong",IF($N1383="","Jabatan kosong",IF($O1383="","No. HP kosong",IF(AND($R1383&lt;&gt;"",$R1383&lt;17),"Usia di bawah 17","")))))))))</f>
        <v/>
      </c>
      <c r="Z1383" s="40" t="str">
        <f aca="false">IF($B1383="","",IF(AND(OR(CARI!$C$5="",ISNUMBER(SEARCH(CARI!$C$5,$B1383&amp;" "&amp;$C1383&amp;" "&amp;$D1383&amp;" "&amp;$O1383&amp;" "&amp;$I1383&amp;" "&amp;$F1383&amp;" "&amp;$J1383&amp;" "&amp;$K1383&amp;" "&amp;$L1383&amp;" "&amp;$V1383))),OR(CARI!$C$6="",$F1383=CARI!$C$6),OR(CARI!$C$7="",$G1383=CARI!$C$7),OR(CARI!$C$8="",$T1383=CARI!$C$8)),MAX($Z$3:Z1382)+1,""))</f>
        <v/>
      </c>
      <c r="AA1383" s="40" t="str">
        <f aca="false">IF($Y1383="","",MAX($AA$3:AA1382)+1)</f>
        <v/>
      </c>
      <c r="AB1383" s="40" t="str">
        <f aca="false">IF($F1383="","",$F1383&amp;"#"&amp;COUNTIF($F$4:$F1383,$F1383))</f>
        <v/>
      </c>
      <c r="AC1383" s="40" t="str">
        <f aca="false">IF($B1383="","",IF(AND(OR(CETAK!$J$10="",$F1383=CETAK!$J$10),OR(CETAK!$J$11="",$G1383=CETAK!$J$11),OR(CETAK!$J$12="",$P1383=CETAK!$J$12),OR(CETAK!$J$13="",$N1383=CETAK!$J$13),OR(CETAK!$J$14="",$T1383=CETAK!$J$14)),MAX($AC$3:AC1382)+1,""))</f>
        <v/>
      </c>
      <c r="AD1383" s="40" t="str">
        <f aca="false">IF($B1383="","",IF(AND(OR(ABSENSI!$H$10="",$F1383=ABSENSI!$H$10),OR(ABSENSI!$H$11="",$G1383=ABSENSI!$H$11),OR(ABSENSI!$H$12="",$P1383=ABSENSI!$H$12)),MAX($AD$3:AD1382)+1,""))</f>
        <v/>
      </c>
      <c r="AE1383" s="40" t="str">
        <f aca="false">IF($B1383="","",IF(AND(OR(KARTU!$K$6="",$F1383=KARTU!$K$6),OR(KARTU!$K$7="",$G1383=KARTU!$K$7),OR(KARTU!$K$8="",$P1383=KARTU!$K$8)),MAX($AE$3:AE1382)+1,""))</f>
        <v/>
      </c>
    </row>
    <row r="1384" customFormat="false" ht="15" hidden="false" customHeight="false" outlineLevel="0" collapsed="false">
      <c r="A1384" s="35" t="str">
        <f aca="false">IF($B1384="","",COUNTA($B$4:$B1384))</f>
        <v/>
      </c>
      <c r="B1384" s="36"/>
      <c r="C1384" s="37"/>
      <c r="D1384" s="37"/>
      <c r="E1384" s="38"/>
      <c r="F1384" s="36"/>
      <c r="G1384" s="39"/>
      <c r="H1384" s="39"/>
      <c r="I1384" s="36"/>
      <c r="J1384" s="36"/>
      <c r="K1384" s="36"/>
      <c r="L1384" s="36"/>
      <c r="M1384" s="40" t="str">
        <f aca="false">IF($F1384="","",$F1384&amp;IF($G1384="",""," - RT "&amp;$G1384&amp;IF($H1384="","","/"&amp;$H1384)))</f>
        <v/>
      </c>
      <c r="N1384" s="36"/>
      <c r="O1384" s="37"/>
      <c r="P1384" s="39"/>
      <c r="Q1384" s="41"/>
      <c r="R1384" s="35" t="str">
        <f aca="true">IF(OR($B1384="",$Q1384=""),"",DATEDIF($Q1384,TODAY(),"Y"))</f>
        <v/>
      </c>
      <c r="S1384" s="40" t="str">
        <f aca="false">IF($R1384="","",INDEX(usia_label,MATCH($R1384,usia_min,1)))</f>
        <v/>
      </c>
      <c r="T1384" s="36"/>
      <c r="U1384" s="41"/>
      <c r="V1384" s="36"/>
      <c r="W1384" s="36"/>
      <c r="X1384" s="40" t="str">
        <f aca="false">IF($M1384="","",$M1384&amp;"#"&amp;COUNTIF($M$4:$M1384,$M1384))</f>
        <v/>
      </c>
      <c r="Y1384" s="40" t="str">
        <f aca="false">IF($B1384="","",IF($C1384="","NIK kosong",IF(LEN($C1384)&lt;&gt;16,"NIK bukan 16 digit",IF(COUNTIF($C$4:$C$2003,$C1384&amp;"*")&gt;1,"NIK ganda",IF(AND($D1384&lt;&gt;"",LEN($D1384)&lt;&gt;16),"No. KK bukan 16 digit",IF(AND($F1384="",$I1384=""),"Alamat kosong",IF($N1384="","Jabatan kosong",IF($O1384="","No. HP kosong",IF(AND($R1384&lt;&gt;"",$R1384&lt;17),"Usia di bawah 17","")))))))))</f>
        <v/>
      </c>
      <c r="Z1384" s="40" t="str">
        <f aca="false">IF($B1384="","",IF(AND(OR(CARI!$C$5="",ISNUMBER(SEARCH(CARI!$C$5,$B1384&amp;" "&amp;$C1384&amp;" "&amp;$D1384&amp;" "&amp;$O1384&amp;" "&amp;$I1384&amp;" "&amp;$F1384&amp;" "&amp;$J1384&amp;" "&amp;$K1384&amp;" "&amp;$L1384&amp;" "&amp;$V1384))),OR(CARI!$C$6="",$F1384=CARI!$C$6),OR(CARI!$C$7="",$G1384=CARI!$C$7),OR(CARI!$C$8="",$T1384=CARI!$C$8)),MAX($Z$3:Z1383)+1,""))</f>
        <v/>
      </c>
      <c r="AA1384" s="40" t="str">
        <f aca="false">IF($Y1384="","",MAX($AA$3:AA1383)+1)</f>
        <v/>
      </c>
      <c r="AB1384" s="40" t="str">
        <f aca="false">IF($F1384="","",$F1384&amp;"#"&amp;COUNTIF($F$4:$F1384,$F1384))</f>
        <v/>
      </c>
      <c r="AC1384" s="40" t="str">
        <f aca="false">IF($B1384="","",IF(AND(OR(CETAK!$J$10="",$F1384=CETAK!$J$10),OR(CETAK!$J$11="",$G1384=CETAK!$J$11),OR(CETAK!$J$12="",$P1384=CETAK!$J$12),OR(CETAK!$J$13="",$N1384=CETAK!$J$13),OR(CETAK!$J$14="",$T1384=CETAK!$J$14)),MAX($AC$3:AC1383)+1,""))</f>
        <v/>
      </c>
      <c r="AD1384" s="40" t="str">
        <f aca="false">IF($B1384="","",IF(AND(OR(ABSENSI!$H$10="",$F1384=ABSENSI!$H$10),OR(ABSENSI!$H$11="",$G1384=ABSENSI!$H$11),OR(ABSENSI!$H$12="",$P1384=ABSENSI!$H$12)),MAX($AD$3:AD1383)+1,""))</f>
        <v/>
      </c>
      <c r="AE1384" s="40" t="str">
        <f aca="false">IF($B1384="","",IF(AND(OR(KARTU!$K$6="",$F1384=KARTU!$K$6),OR(KARTU!$K$7="",$G1384=KARTU!$K$7),OR(KARTU!$K$8="",$P1384=KARTU!$K$8)),MAX($AE$3:AE1383)+1,""))</f>
        <v/>
      </c>
    </row>
    <row r="1385" customFormat="false" ht="15" hidden="false" customHeight="false" outlineLevel="0" collapsed="false">
      <c r="A1385" s="35" t="str">
        <f aca="false">IF($B1385="","",COUNTA($B$4:$B1385))</f>
        <v/>
      </c>
      <c r="B1385" s="36"/>
      <c r="C1385" s="37"/>
      <c r="D1385" s="37"/>
      <c r="E1385" s="38"/>
      <c r="F1385" s="36"/>
      <c r="G1385" s="39"/>
      <c r="H1385" s="39"/>
      <c r="I1385" s="36"/>
      <c r="J1385" s="36"/>
      <c r="K1385" s="36"/>
      <c r="L1385" s="36"/>
      <c r="M1385" s="40" t="str">
        <f aca="false">IF($F1385="","",$F1385&amp;IF($G1385="",""," - RT "&amp;$G1385&amp;IF($H1385="","","/"&amp;$H1385)))</f>
        <v/>
      </c>
      <c r="N1385" s="36"/>
      <c r="O1385" s="37"/>
      <c r="P1385" s="39"/>
      <c r="Q1385" s="41"/>
      <c r="R1385" s="35" t="str">
        <f aca="true">IF(OR($B1385="",$Q1385=""),"",DATEDIF($Q1385,TODAY(),"Y"))</f>
        <v/>
      </c>
      <c r="S1385" s="40" t="str">
        <f aca="false">IF($R1385="","",INDEX(usia_label,MATCH($R1385,usia_min,1)))</f>
        <v/>
      </c>
      <c r="T1385" s="36"/>
      <c r="U1385" s="41"/>
      <c r="V1385" s="36"/>
      <c r="W1385" s="36"/>
      <c r="X1385" s="40" t="str">
        <f aca="false">IF($M1385="","",$M1385&amp;"#"&amp;COUNTIF($M$4:$M1385,$M1385))</f>
        <v/>
      </c>
      <c r="Y1385" s="40" t="str">
        <f aca="false">IF($B1385="","",IF($C1385="","NIK kosong",IF(LEN($C1385)&lt;&gt;16,"NIK bukan 16 digit",IF(COUNTIF($C$4:$C$2003,$C1385&amp;"*")&gt;1,"NIK ganda",IF(AND($D1385&lt;&gt;"",LEN($D1385)&lt;&gt;16),"No. KK bukan 16 digit",IF(AND($F1385="",$I1385=""),"Alamat kosong",IF($N1385="","Jabatan kosong",IF($O1385="","No. HP kosong",IF(AND($R1385&lt;&gt;"",$R1385&lt;17),"Usia di bawah 17","")))))))))</f>
        <v/>
      </c>
      <c r="Z1385" s="40" t="str">
        <f aca="false">IF($B1385="","",IF(AND(OR(CARI!$C$5="",ISNUMBER(SEARCH(CARI!$C$5,$B1385&amp;" "&amp;$C1385&amp;" "&amp;$D1385&amp;" "&amp;$O1385&amp;" "&amp;$I1385&amp;" "&amp;$F1385&amp;" "&amp;$J1385&amp;" "&amp;$K1385&amp;" "&amp;$L1385&amp;" "&amp;$V1385))),OR(CARI!$C$6="",$F1385=CARI!$C$6),OR(CARI!$C$7="",$G1385=CARI!$C$7),OR(CARI!$C$8="",$T1385=CARI!$C$8)),MAX($Z$3:Z1384)+1,""))</f>
        <v/>
      </c>
      <c r="AA1385" s="40" t="str">
        <f aca="false">IF($Y1385="","",MAX($AA$3:AA1384)+1)</f>
        <v/>
      </c>
      <c r="AB1385" s="40" t="str">
        <f aca="false">IF($F1385="","",$F1385&amp;"#"&amp;COUNTIF($F$4:$F1385,$F1385))</f>
        <v/>
      </c>
      <c r="AC1385" s="40" t="str">
        <f aca="false">IF($B1385="","",IF(AND(OR(CETAK!$J$10="",$F1385=CETAK!$J$10),OR(CETAK!$J$11="",$G1385=CETAK!$J$11),OR(CETAK!$J$12="",$P1385=CETAK!$J$12),OR(CETAK!$J$13="",$N1385=CETAK!$J$13),OR(CETAK!$J$14="",$T1385=CETAK!$J$14)),MAX($AC$3:AC1384)+1,""))</f>
        <v/>
      </c>
      <c r="AD1385" s="40" t="str">
        <f aca="false">IF($B1385="","",IF(AND(OR(ABSENSI!$H$10="",$F1385=ABSENSI!$H$10),OR(ABSENSI!$H$11="",$G1385=ABSENSI!$H$11),OR(ABSENSI!$H$12="",$P1385=ABSENSI!$H$12)),MAX($AD$3:AD1384)+1,""))</f>
        <v/>
      </c>
      <c r="AE1385" s="40" t="str">
        <f aca="false">IF($B1385="","",IF(AND(OR(KARTU!$K$6="",$F1385=KARTU!$K$6),OR(KARTU!$K$7="",$G1385=KARTU!$K$7),OR(KARTU!$K$8="",$P1385=KARTU!$K$8)),MAX($AE$3:AE1384)+1,""))</f>
        <v/>
      </c>
    </row>
    <row r="1386" customFormat="false" ht="15" hidden="false" customHeight="false" outlineLevel="0" collapsed="false">
      <c r="A1386" s="35" t="str">
        <f aca="false">IF($B1386="","",COUNTA($B$4:$B1386))</f>
        <v/>
      </c>
      <c r="B1386" s="36"/>
      <c r="C1386" s="37"/>
      <c r="D1386" s="37"/>
      <c r="E1386" s="38"/>
      <c r="F1386" s="36"/>
      <c r="G1386" s="39"/>
      <c r="H1386" s="39"/>
      <c r="I1386" s="36"/>
      <c r="J1386" s="36"/>
      <c r="K1386" s="36"/>
      <c r="L1386" s="36"/>
      <c r="M1386" s="40" t="str">
        <f aca="false">IF($F1386="","",$F1386&amp;IF($G1386="",""," - RT "&amp;$G1386&amp;IF($H1386="","","/"&amp;$H1386)))</f>
        <v/>
      </c>
      <c r="N1386" s="36"/>
      <c r="O1386" s="37"/>
      <c r="P1386" s="39"/>
      <c r="Q1386" s="41"/>
      <c r="R1386" s="35" t="str">
        <f aca="true">IF(OR($B1386="",$Q1386=""),"",DATEDIF($Q1386,TODAY(),"Y"))</f>
        <v/>
      </c>
      <c r="S1386" s="40" t="str">
        <f aca="false">IF($R1386="","",INDEX(usia_label,MATCH($R1386,usia_min,1)))</f>
        <v/>
      </c>
      <c r="T1386" s="36"/>
      <c r="U1386" s="41"/>
      <c r="V1386" s="36"/>
      <c r="W1386" s="36"/>
      <c r="X1386" s="40" t="str">
        <f aca="false">IF($M1386="","",$M1386&amp;"#"&amp;COUNTIF($M$4:$M1386,$M1386))</f>
        <v/>
      </c>
      <c r="Y1386" s="40" t="str">
        <f aca="false">IF($B1386="","",IF($C1386="","NIK kosong",IF(LEN($C1386)&lt;&gt;16,"NIK bukan 16 digit",IF(COUNTIF($C$4:$C$2003,$C1386&amp;"*")&gt;1,"NIK ganda",IF(AND($D1386&lt;&gt;"",LEN($D1386)&lt;&gt;16),"No. KK bukan 16 digit",IF(AND($F1386="",$I1386=""),"Alamat kosong",IF($N1386="","Jabatan kosong",IF($O1386="","No. HP kosong",IF(AND($R1386&lt;&gt;"",$R1386&lt;17),"Usia di bawah 17","")))))))))</f>
        <v/>
      </c>
      <c r="Z1386" s="40" t="str">
        <f aca="false">IF($B1386="","",IF(AND(OR(CARI!$C$5="",ISNUMBER(SEARCH(CARI!$C$5,$B1386&amp;" "&amp;$C1386&amp;" "&amp;$D1386&amp;" "&amp;$O1386&amp;" "&amp;$I1386&amp;" "&amp;$F1386&amp;" "&amp;$J1386&amp;" "&amp;$K1386&amp;" "&amp;$L1386&amp;" "&amp;$V1386))),OR(CARI!$C$6="",$F1386=CARI!$C$6),OR(CARI!$C$7="",$G1386=CARI!$C$7),OR(CARI!$C$8="",$T1386=CARI!$C$8)),MAX($Z$3:Z1385)+1,""))</f>
        <v/>
      </c>
      <c r="AA1386" s="40" t="str">
        <f aca="false">IF($Y1386="","",MAX($AA$3:AA1385)+1)</f>
        <v/>
      </c>
      <c r="AB1386" s="40" t="str">
        <f aca="false">IF($F1386="","",$F1386&amp;"#"&amp;COUNTIF($F$4:$F1386,$F1386))</f>
        <v/>
      </c>
      <c r="AC1386" s="40" t="str">
        <f aca="false">IF($B1386="","",IF(AND(OR(CETAK!$J$10="",$F1386=CETAK!$J$10),OR(CETAK!$J$11="",$G1386=CETAK!$J$11),OR(CETAK!$J$12="",$P1386=CETAK!$J$12),OR(CETAK!$J$13="",$N1386=CETAK!$J$13),OR(CETAK!$J$14="",$T1386=CETAK!$J$14)),MAX($AC$3:AC1385)+1,""))</f>
        <v/>
      </c>
      <c r="AD1386" s="40" t="str">
        <f aca="false">IF($B1386="","",IF(AND(OR(ABSENSI!$H$10="",$F1386=ABSENSI!$H$10),OR(ABSENSI!$H$11="",$G1386=ABSENSI!$H$11),OR(ABSENSI!$H$12="",$P1386=ABSENSI!$H$12)),MAX($AD$3:AD1385)+1,""))</f>
        <v/>
      </c>
      <c r="AE1386" s="40" t="str">
        <f aca="false">IF($B1386="","",IF(AND(OR(KARTU!$K$6="",$F1386=KARTU!$K$6),OR(KARTU!$K$7="",$G1386=KARTU!$K$7),OR(KARTU!$K$8="",$P1386=KARTU!$K$8)),MAX($AE$3:AE1385)+1,""))</f>
        <v/>
      </c>
    </row>
    <row r="1387" customFormat="false" ht="15" hidden="false" customHeight="false" outlineLevel="0" collapsed="false">
      <c r="A1387" s="35" t="str">
        <f aca="false">IF($B1387="","",COUNTA($B$4:$B1387))</f>
        <v/>
      </c>
      <c r="B1387" s="36"/>
      <c r="C1387" s="37"/>
      <c r="D1387" s="37"/>
      <c r="E1387" s="38"/>
      <c r="F1387" s="36"/>
      <c r="G1387" s="39"/>
      <c r="H1387" s="39"/>
      <c r="I1387" s="36"/>
      <c r="J1387" s="36"/>
      <c r="K1387" s="36"/>
      <c r="L1387" s="36"/>
      <c r="M1387" s="40" t="str">
        <f aca="false">IF($F1387="","",$F1387&amp;IF($G1387="",""," - RT "&amp;$G1387&amp;IF($H1387="","","/"&amp;$H1387)))</f>
        <v/>
      </c>
      <c r="N1387" s="36"/>
      <c r="O1387" s="37"/>
      <c r="P1387" s="39"/>
      <c r="Q1387" s="41"/>
      <c r="R1387" s="35" t="str">
        <f aca="true">IF(OR($B1387="",$Q1387=""),"",DATEDIF($Q1387,TODAY(),"Y"))</f>
        <v/>
      </c>
      <c r="S1387" s="40" t="str">
        <f aca="false">IF($R1387="","",INDEX(usia_label,MATCH($R1387,usia_min,1)))</f>
        <v/>
      </c>
      <c r="T1387" s="36"/>
      <c r="U1387" s="41"/>
      <c r="V1387" s="36"/>
      <c r="W1387" s="36"/>
      <c r="X1387" s="40" t="str">
        <f aca="false">IF($M1387="","",$M1387&amp;"#"&amp;COUNTIF($M$4:$M1387,$M1387))</f>
        <v/>
      </c>
      <c r="Y1387" s="40" t="str">
        <f aca="false">IF($B1387="","",IF($C1387="","NIK kosong",IF(LEN($C1387)&lt;&gt;16,"NIK bukan 16 digit",IF(COUNTIF($C$4:$C$2003,$C1387&amp;"*")&gt;1,"NIK ganda",IF(AND($D1387&lt;&gt;"",LEN($D1387)&lt;&gt;16),"No. KK bukan 16 digit",IF(AND($F1387="",$I1387=""),"Alamat kosong",IF($N1387="","Jabatan kosong",IF($O1387="","No. HP kosong",IF(AND($R1387&lt;&gt;"",$R1387&lt;17),"Usia di bawah 17","")))))))))</f>
        <v/>
      </c>
      <c r="Z1387" s="40" t="str">
        <f aca="false">IF($B1387="","",IF(AND(OR(CARI!$C$5="",ISNUMBER(SEARCH(CARI!$C$5,$B1387&amp;" "&amp;$C1387&amp;" "&amp;$D1387&amp;" "&amp;$O1387&amp;" "&amp;$I1387&amp;" "&amp;$F1387&amp;" "&amp;$J1387&amp;" "&amp;$K1387&amp;" "&amp;$L1387&amp;" "&amp;$V1387))),OR(CARI!$C$6="",$F1387=CARI!$C$6),OR(CARI!$C$7="",$G1387=CARI!$C$7),OR(CARI!$C$8="",$T1387=CARI!$C$8)),MAX($Z$3:Z1386)+1,""))</f>
        <v/>
      </c>
      <c r="AA1387" s="40" t="str">
        <f aca="false">IF($Y1387="","",MAX($AA$3:AA1386)+1)</f>
        <v/>
      </c>
      <c r="AB1387" s="40" t="str">
        <f aca="false">IF($F1387="","",$F1387&amp;"#"&amp;COUNTIF($F$4:$F1387,$F1387))</f>
        <v/>
      </c>
      <c r="AC1387" s="40" t="str">
        <f aca="false">IF($B1387="","",IF(AND(OR(CETAK!$J$10="",$F1387=CETAK!$J$10),OR(CETAK!$J$11="",$G1387=CETAK!$J$11),OR(CETAK!$J$12="",$P1387=CETAK!$J$12),OR(CETAK!$J$13="",$N1387=CETAK!$J$13),OR(CETAK!$J$14="",$T1387=CETAK!$J$14)),MAX($AC$3:AC1386)+1,""))</f>
        <v/>
      </c>
      <c r="AD1387" s="40" t="str">
        <f aca="false">IF($B1387="","",IF(AND(OR(ABSENSI!$H$10="",$F1387=ABSENSI!$H$10),OR(ABSENSI!$H$11="",$G1387=ABSENSI!$H$11),OR(ABSENSI!$H$12="",$P1387=ABSENSI!$H$12)),MAX($AD$3:AD1386)+1,""))</f>
        <v/>
      </c>
      <c r="AE1387" s="40" t="str">
        <f aca="false">IF($B1387="","",IF(AND(OR(KARTU!$K$6="",$F1387=KARTU!$K$6),OR(KARTU!$K$7="",$G1387=KARTU!$K$7),OR(KARTU!$K$8="",$P1387=KARTU!$K$8)),MAX($AE$3:AE1386)+1,""))</f>
        <v/>
      </c>
    </row>
    <row r="1388" customFormat="false" ht="15" hidden="false" customHeight="false" outlineLevel="0" collapsed="false">
      <c r="A1388" s="35" t="str">
        <f aca="false">IF($B1388="","",COUNTA($B$4:$B1388))</f>
        <v/>
      </c>
      <c r="B1388" s="36"/>
      <c r="C1388" s="37"/>
      <c r="D1388" s="37"/>
      <c r="E1388" s="38"/>
      <c r="F1388" s="36"/>
      <c r="G1388" s="39"/>
      <c r="H1388" s="39"/>
      <c r="I1388" s="36"/>
      <c r="J1388" s="36"/>
      <c r="K1388" s="36"/>
      <c r="L1388" s="36"/>
      <c r="M1388" s="40" t="str">
        <f aca="false">IF($F1388="","",$F1388&amp;IF($G1388="",""," - RT "&amp;$G1388&amp;IF($H1388="","","/"&amp;$H1388)))</f>
        <v/>
      </c>
      <c r="N1388" s="36"/>
      <c r="O1388" s="37"/>
      <c r="P1388" s="39"/>
      <c r="Q1388" s="41"/>
      <c r="R1388" s="35" t="str">
        <f aca="true">IF(OR($B1388="",$Q1388=""),"",DATEDIF($Q1388,TODAY(),"Y"))</f>
        <v/>
      </c>
      <c r="S1388" s="40" t="str">
        <f aca="false">IF($R1388="","",INDEX(usia_label,MATCH($R1388,usia_min,1)))</f>
        <v/>
      </c>
      <c r="T1388" s="36"/>
      <c r="U1388" s="41"/>
      <c r="V1388" s="36"/>
      <c r="W1388" s="36"/>
      <c r="X1388" s="40" t="str">
        <f aca="false">IF($M1388="","",$M1388&amp;"#"&amp;COUNTIF($M$4:$M1388,$M1388))</f>
        <v/>
      </c>
      <c r="Y1388" s="40" t="str">
        <f aca="false">IF($B1388="","",IF($C1388="","NIK kosong",IF(LEN($C1388)&lt;&gt;16,"NIK bukan 16 digit",IF(COUNTIF($C$4:$C$2003,$C1388&amp;"*")&gt;1,"NIK ganda",IF(AND($D1388&lt;&gt;"",LEN($D1388)&lt;&gt;16),"No. KK bukan 16 digit",IF(AND($F1388="",$I1388=""),"Alamat kosong",IF($N1388="","Jabatan kosong",IF($O1388="","No. HP kosong",IF(AND($R1388&lt;&gt;"",$R1388&lt;17),"Usia di bawah 17","")))))))))</f>
        <v/>
      </c>
      <c r="Z1388" s="40" t="str">
        <f aca="false">IF($B1388="","",IF(AND(OR(CARI!$C$5="",ISNUMBER(SEARCH(CARI!$C$5,$B1388&amp;" "&amp;$C1388&amp;" "&amp;$D1388&amp;" "&amp;$O1388&amp;" "&amp;$I1388&amp;" "&amp;$F1388&amp;" "&amp;$J1388&amp;" "&amp;$K1388&amp;" "&amp;$L1388&amp;" "&amp;$V1388))),OR(CARI!$C$6="",$F1388=CARI!$C$6),OR(CARI!$C$7="",$G1388=CARI!$C$7),OR(CARI!$C$8="",$T1388=CARI!$C$8)),MAX($Z$3:Z1387)+1,""))</f>
        <v/>
      </c>
      <c r="AA1388" s="40" t="str">
        <f aca="false">IF($Y1388="","",MAX($AA$3:AA1387)+1)</f>
        <v/>
      </c>
      <c r="AB1388" s="40" t="str">
        <f aca="false">IF($F1388="","",$F1388&amp;"#"&amp;COUNTIF($F$4:$F1388,$F1388))</f>
        <v/>
      </c>
      <c r="AC1388" s="40" t="str">
        <f aca="false">IF($B1388="","",IF(AND(OR(CETAK!$J$10="",$F1388=CETAK!$J$10),OR(CETAK!$J$11="",$G1388=CETAK!$J$11),OR(CETAK!$J$12="",$P1388=CETAK!$J$12),OR(CETAK!$J$13="",$N1388=CETAK!$J$13),OR(CETAK!$J$14="",$T1388=CETAK!$J$14)),MAX($AC$3:AC1387)+1,""))</f>
        <v/>
      </c>
      <c r="AD1388" s="40" t="str">
        <f aca="false">IF($B1388="","",IF(AND(OR(ABSENSI!$H$10="",$F1388=ABSENSI!$H$10),OR(ABSENSI!$H$11="",$G1388=ABSENSI!$H$11),OR(ABSENSI!$H$12="",$P1388=ABSENSI!$H$12)),MAX($AD$3:AD1387)+1,""))</f>
        <v/>
      </c>
      <c r="AE1388" s="40" t="str">
        <f aca="false">IF($B1388="","",IF(AND(OR(KARTU!$K$6="",$F1388=KARTU!$K$6),OR(KARTU!$K$7="",$G1388=KARTU!$K$7),OR(KARTU!$K$8="",$P1388=KARTU!$K$8)),MAX($AE$3:AE1387)+1,""))</f>
        <v/>
      </c>
    </row>
    <row r="1389" customFormat="false" ht="15" hidden="false" customHeight="false" outlineLevel="0" collapsed="false">
      <c r="A1389" s="35" t="str">
        <f aca="false">IF($B1389="","",COUNTA($B$4:$B1389))</f>
        <v/>
      </c>
      <c r="B1389" s="36"/>
      <c r="C1389" s="37"/>
      <c r="D1389" s="37"/>
      <c r="E1389" s="38"/>
      <c r="F1389" s="36"/>
      <c r="G1389" s="39"/>
      <c r="H1389" s="39"/>
      <c r="I1389" s="36"/>
      <c r="J1389" s="36"/>
      <c r="K1389" s="36"/>
      <c r="L1389" s="36"/>
      <c r="M1389" s="40" t="str">
        <f aca="false">IF($F1389="","",$F1389&amp;IF($G1389="",""," - RT "&amp;$G1389&amp;IF($H1389="","","/"&amp;$H1389)))</f>
        <v/>
      </c>
      <c r="N1389" s="36"/>
      <c r="O1389" s="37"/>
      <c r="P1389" s="39"/>
      <c r="Q1389" s="41"/>
      <c r="R1389" s="35" t="str">
        <f aca="true">IF(OR($B1389="",$Q1389=""),"",DATEDIF($Q1389,TODAY(),"Y"))</f>
        <v/>
      </c>
      <c r="S1389" s="40" t="str">
        <f aca="false">IF($R1389="","",INDEX(usia_label,MATCH($R1389,usia_min,1)))</f>
        <v/>
      </c>
      <c r="T1389" s="36"/>
      <c r="U1389" s="41"/>
      <c r="V1389" s="36"/>
      <c r="W1389" s="36"/>
      <c r="X1389" s="40" t="str">
        <f aca="false">IF($M1389="","",$M1389&amp;"#"&amp;COUNTIF($M$4:$M1389,$M1389))</f>
        <v/>
      </c>
      <c r="Y1389" s="40" t="str">
        <f aca="false">IF($B1389="","",IF($C1389="","NIK kosong",IF(LEN($C1389)&lt;&gt;16,"NIK bukan 16 digit",IF(COUNTIF($C$4:$C$2003,$C1389&amp;"*")&gt;1,"NIK ganda",IF(AND($D1389&lt;&gt;"",LEN($D1389)&lt;&gt;16),"No. KK bukan 16 digit",IF(AND($F1389="",$I1389=""),"Alamat kosong",IF($N1389="","Jabatan kosong",IF($O1389="","No. HP kosong",IF(AND($R1389&lt;&gt;"",$R1389&lt;17),"Usia di bawah 17","")))))))))</f>
        <v/>
      </c>
      <c r="Z1389" s="40" t="str">
        <f aca="false">IF($B1389="","",IF(AND(OR(CARI!$C$5="",ISNUMBER(SEARCH(CARI!$C$5,$B1389&amp;" "&amp;$C1389&amp;" "&amp;$D1389&amp;" "&amp;$O1389&amp;" "&amp;$I1389&amp;" "&amp;$F1389&amp;" "&amp;$J1389&amp;" "&amp;$K1389&amp;" "&amp;$L1389&amp;" "&amp;$V1389))),OR(CARI!$C$6="",$F1389=CARI!$C$6),OR(CARI!$C$7="",$G1389=CARI!$C$7),OR(CARI!$C$8="",$T1389=CARI!$C$8)),MAX($Z$3:Z1388)+1,""))</f>
        <v/>
      </c>
      <c r="AA1389" s="40" t="str">
        <f aca="false">IF($Y1389="","",MAX($AA$3:AA1388)+1)</f>
        <v/>
      </c>
      <c r="AB1389" s="40" t="str">
        <f aca="false">IF($F1389="","",$F1389&amp;"#"&amp;COUNTIF($F$4:$F1389,$F1389))</f>
        <v/>
      </c>
      <c r="AC1389" s="40" t="str">
        <f aca="false">IF($B1389="","",IF(AND(OR(CETAK!$J$10="",$F1389=CETAK!$J$10),OR(CETAK!$J$11="",$G1389=CETAK!$J$11),OR(CETAK!$J$12="",$P1389=CETAK!$J$12),OR(CETAK!$J$13="",$N1389=CETAK!$J$13),OR(CETAK!$J$14="",$T1389=CETAK!$J$14)),MAX($AC$3:AC1388)+1,""))</f>
        <v/>
      </c>
      <c r="AD1389" s="40" t="str">
        <f aca="false">IF($B1389="","",IF(AND(OR(ABSENSI!$H$10="",$F1389=ABSENSI!$H$10),OR(ABSENSI!$H$11="",$G1389=ABSENSI!$H$11),OR(ABSENSI!$H$12="",$P1389=ABSENSI!$H$12)),MAX($AD$3:AD1388)+1,""))</f>
        <v/>
      </c>
      <c r="AE1389" s="40" t="str">
        <f aca="false">IF($B1389="","",IF(AND(OR(KARTU!$K$6="",$F1389=KARTU!$K$6),OR(KARTU!$K$7="",$G1389=KARTU!$K$7),OR(KARTU!$K$8="",$P1389=KARTU!$K$8)),MAX($AE$3:AE1388)+1,""))</f>
        <v/>
      </c>
    </row>
    <row r="1390" customFormat="false" ht="15" hidden="false" customHeight="false" outlineLevel="0" collapsed="false">
      <c r="A1390" s="35" t="str">
        <f aca="false">IF($B1390="","",COUNTA($B$4:$B1390))</f>
        <v/>
      </c>
      <c r="B1390" s="36"/>
      <c r="C1390" s="37"/>
      <c r="D1390" s="37"/>
      <c r="E1390" s="38"/>
      <c r="F1390" s="36"/>
      <c r="G1390" s="39"/>
      <c r="H1390" s="39"/>
      <c r="I1390" s="36"/>
      <c r="J1390" s="36"/>
      <c r="K1390" s="36"/>
      <c r="L1390" s="36"/>
      <c r="M1390" s="40" t="str">
        <f aca="false">IF($F1390="","",$F1390&amp;IF($G1390="",""," - RT "&amp;$G1390&amp;IF($H1390="","","/"&amp;$H1390)))</f>
        <v/>
      </c>
      <c r="N1390" s="36"/>
      <c r="O1390" s="37"/>
      <c r="P1390" s="39"/>
      <c r="Q1390" s="41"/>
      <c r="R1390" s="35" t="str">
        <f aca="true">IF(OR($B1390="",$Q1390=""),"",DATEDIF($Q1390,TODAY(),"Y"))</f>
        <v/>
      </c>
      <c r="S1390" s="40" t="str">
        <f aca="false">IF($R1390="","",INDEX(usia_label,MATCH($R1390,usia_min,1)))</f>
        <v/>
      </c>
      <c r="T1390" s="36"/>
      <c r="U1390" s="41"/>
      <c r="V1390" s="36"/>
      <c r="W1390" s="36"/>
      <c r="X1390" s="40" t="str">
        <f aca="false">IF($M1390="","",$M1390&amp;"#"&amp;COUNTIF($M$4:$M1390,$M1390))</f>
        <v/>
      </c>
      <c r="Y1390" s="40" t="str">
        <f aca="false">IF($B1390="","",IF($C1390="","NIK kosong",IF(LEN($C1390)&lt;&gt;16,"NIK bukan 16 digit",IF(COUNTIF($C$4:$C$2003,$C1390&amp;"*")&gt;1,"NIK ganda",IF(AND($D1390&lt;&gt;"",LEN($D1390)&lt;&gt;16),"No. KK bukan 16 digit",IF(AND($F1390="",$I1390=""),"Alamat kosong",IF($N1390="","Jabatan kosong",IF($O1390="","No. HP kosong",IF(AND($R1390&lt;&gt;"",$R1390&lt;17),"Usia di bawah 17","")))))))))</f>
        <v/>
      </c>
      <c r="Z1390" s="40" t="str">
        <f aca="false">IF($B1390="","",IF(AND(OR(CARI!$C$5="",ISNUMBER(SEARCH(CARI!$C$5,$B1390&amp;" "&amp;$C1390&amp;" "&amp;$D1390&amp;" "&amp;$O1390&amp;" "&amp;$I1390&amp;" "&amp;$F1390&amp;" "&amp;$J1390&amp;" "&amp;$K1390&amp;" "&amp;$L1390&amp;" "&amp;$V1390))),OR(CARI!$C$6="",$F1390=CARI!$C$6),OR(CARI!$C$7="",$G1390=CARI!$C$7),OR(CARI!$C$8="",$T1390=CARI!$C$8)),MAX($Z$3:Z1389)+1,""))</f>
        <v/>
      </c>
      <c r="AA1390" s="40" t="str">
        <f aca="false">IF($Y1390="","",MAX($AA$3:AA1389)+1)</f>
        <v/>
      </c>
      <c r="AB1390" s="40" t="str">
        <f aca="false">IF($F1390="","",$F1390&amp;"#"&amp;COUNTIF($F$4:$F1390,$F1390))</f>
        <v/>
      </c>
      <c r="AC1390" s="40" t="str">
        <f aca="false">IF($B1390="","",IF(AND(OR(CETAK!$J$10="",$F1390=CETAK!$J$10),OR(CETAK!$J$11="",$G1390=CETAK!$J$11),OR(CETAK!$J$12="",$P1390=CETAK!$J$12),OR(CETAK!$J$13="",$N1390=CETAK!$J$13),OR(CETAK!$J$14="",$T1390=CETAK!$J$14)),MAX($AC$3:AC1389)+1,""))</f>
        <v/>
      </c>
      <c r="AD1390" s="40" t="str">
        <f aca="false">IF($B1390="","",IF(AND(OR(ABSENSI!$H$10="",$F1390=ABSENSI!$H$10),OR(ABSENSI!$H$11="",$G1390=ABSENSI!$H$11),OR(ABSENSI!$H$12="",$P1390=ABSENSI!$H$12)),MAX($AD$3:AD1389)+1,""))</f>
        <v/>
      </c>
      <c r="AE1390" s="40" t="str">
        <f aca="false">IF($B1390="","",IF(AND(OR(KARTU!$K$6="",$F1390=KARTU!$K$6),OR(KARTU!$K$7="",$G1390=KARTU!$K$7),OR(KARTU!$K$8="",$P1390=KARTU!$K$8)),MAX($AE$3:AE1389)+1,""))</f>
        <v/>
      </c>
    </row>
    <row r="1391" customFormat="false" ht="15" hidden="false" customHeight="false" outlineLevel="0" collapsed="false">
      <c r="A1391" s="35" t="str">
        <f aca="false">IF($B1391="","",COUNTA($B$4:$B1391))</f>
        <v/>
      </c>
      <c r="B1391" s="36"/>
      <c r="C1391" s="37"/>
      <c r="D1391" s="37"/>
      <c r="E1391" s="38"/>
      <c r="F1391" s="36"/>
      <c r="G1391" s="39"/>
      <c r="H1391" s="39"/>
      <c r="I1391" s="36"/>
      <c r="J1391" s="36"/>
      <c r="K1391" s="36"/>
      <c r="L1391" s="36"/>
      <c r="M1391" s="40" t="str">
        <f aca="false">IF($F1391="","",$F1391&amp;IF($G1391="",""," - RT "&amp;$G1391&amp;IF($H1391="","","/"&amp;$H1391)))</f>
        <v/>
      </c>
      <c r="N1391" s="36"/>
      <c r="O1391" s="37"/>
      <c r="P1391" s="39"/>
      <c r="Q1391" s="41"/>
      <c r="R1391" s="35" t="str">
        <f aca="true">IF(OR($B1391="",$Q1391=""),"",DATEDIF($Q1391,TODAY(),"Y"))</f>
        <v/>
      </c>
      <c r="S1391" s="40" t="str">
        <f aca="false">IF($R1391="","",INDEX(usia_label,MATCH($R1391,usia_min,1)))</f>
        <v/>
      </c>
      <c r="T1391" s="36"/>
      <c r="U1391" s="41"/>
      <c r="V1391" s="36"/>
      <c r="W1391" s="36"/>
      <c r="X1391" s="40" t="str">
        <f aca="false">IF($M1391="","",$M1391&amp;"#"&amp;COUNTIF($M$4:$M1391,$M1391))</f>
        <v/>
      </c>
      <c r="Y1391" s="40" t="str">
        <f aca="false">IF($B1391="","",IF($C1391="","NIK kosong",IF(LEN($C1391)&lt;&gt;16,"NIK bukan 16 digit",IF(COUNTIF($C$4:$C$2003,$C1391&amp;"*")&gt;1,"NIK ganda",IF(AND($D1391&lt;&gt;"",LEN($D1391)&lt;&gt;16),"No. KK bukan 16 digit",IF(AND($F1391="",$I1391=""),"Alamat kosong",IF($N1391="","Jabatan kosong",IF($O1391="","No. HP kosong",IF(AND($R1391&lt;&gt;"",$R1391&lt;17),"Usia di bawah 17","")))))))))</f>
        <v/>
      </c>
      <c r="Z1391" s="40" t="str">
        <f aca="false">IF($B1391="","",IF(AND(OR(CARI!$C$5="",ISNUMBER(SEARCH(CARI!$C$5,$B1391&amp;" "&amp;$C1391&amp;" "&amp;$D1391&amp;" "&amp;$O1391&amp;" "&amp;$I1391&amp;" "&amp;$F1391&amp;" "&amp;$J1391&amp;" "&amp;$K1391&amp;" "&amp;$L1391&amp;" "&amp;$V1391))),OR(CARI!$C$6="",$F1391=CARI!$C$6),OR(CARI!$C$7="",$G1391=CARI!$C$7),OR(CARI!$C$8="",$T1391=CARI!$C$8)),MAX($Z$3:Z1390)+1,""))</f>
        <v/>
      </c>
      <c r="AA1391" s="40" t="str">
        <f aca="false">IF($Y1391="","",MAX($AA$3:AA1390)+1)</f>
        <v/>
      </c>
      <c r="AB1391" s="40" t="str">
        <f aca="false">IF($F1391="","",$F1391&amp;"#"&amp;COUNTIF($F$4:$F1391,$F1391))</f>
        <v/>
      </c>
      <c r="AC1391" s="40" t="str">
        <f aca="false">IF($B1391="","",IF(AND(OR(CETAK!$J$10="",$F1391=CETAK!$J$10),OR(CETAK!$J$11="",$G1391=CETAK!$J$11),OR(CETAK!$J$12="",$P1391=CETAK!$J$12),OR(CETAK!$J$13="",$N1391=CETAK!$J$13),OR(CETAK!$J$14="",$T1391=CETAK!$J$14)),MAX($AC$3:AC1390)+1,""))</f>
        <v/>
      </c>
      <c r="AD1391" s="40" t="str">
        <f aca="false">IF($B1391="","",IF(AND(OR(ABSENSI!$H$10="",$F1391=ABSENSI!$H$10),OR(ABSENSI!$H$11="",$G1391=ABSENSI!$H$11),OR(ABSENSI!$H$12="",$P1391=ABSENSI!$H$12)),MAX($AD$3:AD1390)+1,""))</f>
        <v/>
      </c>
      <c r="AE1391" s="40" t="str">
        <f aca="false">IF($B1391="","",IF(AND(OR(KARTU!$K$6="",$F1391=KARTU!$K$6),OR(KARTU!$K$7="",$G1391=KARTU!$K$7),OR(KARTU!$K$8="",$P1391=KARTU!$K$8)),MAX($AE$3:AE1390)+1,""))</f>
        <v/>
      </c>
    </row>
    <row r="1392" customFormat="false" ht="15" hidden="false" customHeight="false" outlineLevel="0" collapsed="false">
      <c r="A1392" s="35" t="str">
        <f aca="false">IF($B1392="","",COUNTA($B$4:$B1392))</f>
        <v/>
      </c>
      <c r="B1392" s="36"/>
      <c r="C1392" s="37"/>
      <c r="D1392" s="37"/>
      <c r="E1392" s="38"/>
      <c r="F1392" s="36"/>
      <c r="G1392" s="39"/>
      <c r="H1392" s="39"/>
      <c r="I1392" s="36"/>
      <c r="J1392" s="36"/>
      <c r="K1392" s="36"/>
      <c r="L1392" s="36"/>
      <c r="M1392" s="40" t="str">
        <f aca="false">IF($F1392="","",$F1392&amp;IF($G1392="",""," - RT "&amp;$G1392&amp;IF($H1392="","","/"&amp;$H1392)))</f>
        <v/>
      </c>
      <c r="N1392" s="36"/>
      <c r="O1392" s="37"/>
      <c r="P1392" s="39"/>
      <c r="Q1392" s="41"/>
      <c r="R1392" s="35" t="str">
        <f aca="true">IF(OR($B1392="",$Q1392=""),"",DATEDIF($Q1392,TODAY(),"Y"))</f>
        <v/>
      </c>
      <c r="S1392" s="40" t="str">
        <f aca="false">IF($R1392="","",INDEX(usia_label,MATCH($R1392,usia_min,1)))</f>
        <v/>
      </c>
      <c r="T1392" s="36"/>
      <c r="U1392" s="41"/>
      <c r="V1392" s="36"/>
      <c r="W1392" s="36"/>
      <c r="X1392" s="40" t="str">
        <f aca="false">IF($M1392="","",$M1392&amp;"#"&amp;COUNTIF($M$4:$M1392,$M1392))</f>
        <v/>
      </c>
      <c r="Y1392" s="40" t="str">
        <f aca="false">IF($B1392="","",IF($C1392="","NIK kosong",IF(LEN($C1392)&lt;&gt;16,"NIK bukan 16 digit",IF(COUNTIF($C$4:$C$2003,$C1392&amp;"*")&gt;1,"NIK ganda",IF(AND($D1392&lt;&gt;"",LEN($D1392)&lt;&gt;16),"No. KK bukan 16 digit",IF(AND($F1392="",$I1392=""),"Alamat kosong",IF($N1392="","Jabatan kosong",IF($O1392="","No. HP kosong",IF(AND($R1392&lt;&gt;"",$R1392&lt;17),"Usia di bawah 17","")))))))))</f>
        <v/>
      </c>
      <c r="Z1392" s="40" t="str">
        <f aca="false">IF($B1392="","",IF(AND(OR(CARI!$C$5="",ISNUMBER(SEARCH(CARI!$C$5,$B1392&amp;" "&amp;$C1392&amp;" "&amp;$D1392&amp;" "&amp;$O1392&amp;" "&amp;$I1392&amp;" "&amp;$F1392&amp;" "&amp;$J1392&amp;" "&amp;$K1392&amp;" "&amp;$L1392&amp;" "&amp;$V1392))),OR(CARI!$C$6="",$F1392=CARI!$C$6),OR(CARI!$C$7="",$G1392=CARI!$C$7),OR(CARI!$C$8="",$T1392=CARI!$C$8)),MAX($Z$3:Z1391)+1,""))</f>
        <v/>
      </c>
      <c r="AA1392" s="40" t="str">
        <f aca="false">IF($Y1392="","",MAX($AA$3:AA1391)+1)</f>
        <v/>
      </c>
      <c r="AB1392" s="40" t="str">
        <f aca="false">IF($F1392="","",$F1392&amp;"#"&amp;COUNTIF($F$4:$F1392,$F1392))</f>
        <v/>
      </c>
      <c r="AC1392" s="40" t="str">
        <f aca="false">IF($B1392="","",IF(AND(OR(CETAK!$J$10="",$F1392=CETAK!$J$10),OR(CETAK!$J$11="",$G1392=CETAK!$J$11),OR(CETAK!$J$12="",$P1392=CETAK!$J$12),OR(CETAK!$J$13="",$N1392=CETAK!$J$13),OR(CETAK!$J$14="",$T1392=CETAK!$J$14)),MAX($AC$3:AC1391)+1,""))</f>
        <v/>
      </c>
      <c r="AD1392" s="40" t="str">
        <f aca="false">IF($B1392="","",IF(AND(OR(ABSENSI!$H$10="",$F1392=ABSENSI!$H$10),OR(ABSENSI!$H$11="",$G1392=ABSENSI!$H$11),OR(ABSENSI!$H$12="",$P1392=ABSENSI!$H$12)),MAX($AD$3:AD1391)+1,""))</f>
        <v/>
      </c>
      <c r="AE1392" s="40" t="str">
        <f aca="false">IF($B1392="","",IF(AND(OR(KARTU!$K$6="",$F1392=KARTU!$K$6),OR(KARTU!$K$7="",$G1392=KARTU!$K$7),OR(KARTU!$K$8="",$P1392=KARTU!$K$8)),MAX($AE$3:AE1391)+1,""))</f>
        <v/>
      </c>
    </row>
    <row r="1393" customFormat="false" ht="15" hidden="false" customHeight="false" outlineLevel="0" collapsed="false">
      <c r="A1393" s="35" t="str">
        <f aca="false">IF($B1393="","",COUNTA($B$4:$B1393))</f>
        <v/>
      </c>
      <c r="B1393" s="36"/>
      <c r="C1393" s="37"/>
      <c r="D1393" s="37"/>
      <c r="E1393" s="38"/>
      <c r="F1393" s="36"/>
      <c r="G1393" s="39"/>
      <c r="H1393" s="39"/>
      <c r="I1393" s="36"/>
      <c r="J1393" s="36"/>
      <c r="K1393" s="36"/>
      <c r="L1393" s="36"/>
      <c r="M1393" s="40" t="str">
        <f aca="false">IF($F1393="","",$F1393&amp;IF($G1393="",""," - RT "&amp;$G1393&amp;IF($H1393="","","/"&amp;$H1393)))</f>
        <v/>
      </c>
      <c r="N1393" s="36"/>
      <c r="O1393" s="37"/>
      <c r="P1393" s="39"/>
      <c r="Q1393" s="41"/>
      <c r="R1393" s="35" t="str">
        <f aca="true">IF(OR($B1393="",$Q1393=""),"",DATEDIF($Q1393,TODAY(),"Y"))</f>
        <v/>
      </c>
      <c r="S1393" s="40" t="str">
        <f aca="false">IF($R1393="","",INDEX(usia_label,MATCH($R1393,usia_min,1)))</f>
        <v/>
      </c>
      <c r="T1393" s="36"/>
      <c r="U1393" s="41"/>
      <c r="V1393" s="36"/>
      <c r="W1393" s="36"/>
      <c r="X1393" s="40" t="str">
        <f aca="false">IF($M1393="","",$M1393&amp;"#"&amp;COUNTIF($M$4:$M1393,$M1393))</f>
        <v/>
      </c>
      <c r="Y1393" s="40" t="str">
        <f aca="false">IF($B1393="","",IF($C1393="","NIK kosong",IF(LEN($C1393)&lt;&gt;16,"NIK bukan 16 digit",IF(COUNTIF($C$4:$C$2003,$C1393&amp;"*")&gt;1,"NIK ganda",IF(AND($D1393&lt;&gt;"",LEN($D1393)&lt;&gt;16),"No. KK bukan 16 digit",IF(AND($F1393="",$I1393=""),"Alamat kosong",IF($N1393="","Jabatan kosong",IF($O1393="","No. HP kosong",IF(AND($R1393&lt;&gt;"",$R1393&lt;17),"Usia di bawah 17","")))))))))</f>
        <v/>
      </c>
      <c r="Z1393" s="40" t="str">
        <f aca="false">IF($B1393="","",IF(AND(OR(CARI!$C$5="",ISNUMBER(SEARCH(CARI!$C$5,$B1393&amp;" "&amp;$C1393&amp;" "&amp;$D1393&amp;" "&amp;$O1393&amp;" "&amp;$I1393&amp;" "&amp;$F1393&amp;" "&amp;$J1393&amp;" "&amp;$K1393&amp;" "&amp;$L1393&amp;" "&amp;$V1393))),OR(CARI!$C$6="",$F1393=CARI!$C$6),OR(CARI!$C$7="",$G1393=CARI!$C$7),OR(CARI!$C$8="",$T1393=CARI!$C$8)),MAX($Z$3:Z1392)+1,""))</f>
        <v/>
      </c>
      <c r="AA1393" s="40" t="str">
        <f aca="false">IF($Y1393="","",MAX($AA$3:AA1392)+1)</f>
        <v/>
      </c>
      <c r="AB1393" s="40" t="str">
        <f aca="false">IF($F1393="","",$F1393&amp;"#"&amp;COUNTIF($F$4:$F1393,$F1393))</f>
        <v/>
      </c>
      <c r="AC1393" s="40" t="str">
        <f aca="false">IF($B1393="","",IF(AND(OR(CETAK!$J$10="",$F1393=CETAK!$J$10),OR(CETAK!$J$11="",$G1393=CETAK!$J$11),OR(CETAK!$J$12="",$P1393=CETAK!$J$12),OR(CETAK!$J$13="",$N1393=CETAK!$J$13),OR(CETAK!$J$14="",$T1393=CETAK!$J$14)),MAX($AC$3:AC1392)+1,""))</f>
        <v/>
      </c>
      <c r="AD1393" s="40" t="str">
        <f aca="false">IF($B1393="","",IF(AND(OR(ABSENSI!$H$10="",$F1393=ABSENSI!$H$10),OR(ABSENSI!$H$11="",$G1393=ABSENSI!$H$11),OR(ABSENSI!$H$12="",$P1393=ABSENSI!$H$12)),MAX($AD$3:AD1392)+1,""))</f>
        <v/>
      </c>
      <c r="AE1393" s="40" t="str">
        <f aca="false">IF($B1393="","",IF(AND(OR(KARTU!$K$6="",$F1393=KARTU!$K$6),OR(KARTU!$K$7="",$G1393=KARTU!$K$7),OR(KARTU!$K$8="",$P1393=KARTU!$K$8)),MAX($AE$3:AE1392)+1,""))</f>
        <v/>
      </c>
    </row>
    <row r="1394" customFormat="false" ht="15" hidden="false" customHeight="false" outlineLevel="0" collapsed="false">
      <c r="A1394" s="35" t="str">
        <f aca="false">IF($B1394="","",COUNTA($B$4:$B1394))</f>
        <v/>
      </c>
      <c r="B1394" s="36"/>
      <c r="C1394" s="37"/>
      <c r="D1394" s="37"/>
      <c r="E1394" s="38"/>
      <c r="F1394" s="36"/>
      <c r="G1394" s="39"/>
      <c r="H1394" s="39"/>
      <c r="I1394" s="36"/>
      <c r="J1394" s="36"/>
      <c r="K1394" s="36"/>
      <c r="L1394" s="36"/>
      <c r="M1394" s="40" t="str">
        <f aca="false">IF($F1394="","",$F1394&amp;IF($G1394="",""," - RT "&amp;$G1394&amp;IF($H1394="","","/"&amp;$H1394)))</f>
        <v/>
      </c>
      <c r="N1394" s="36"/>
      <c r="O1394" s="37"/>
      <c r="P1394" s="39"/>
      <c r="Q1394" s="41"/>
      <c r="R1394" s="35" t="str">
        <f aca="true">IF(OR($B1394="",$Q1394=""),"",DATEDIF($Q1394,TODAY(),"Y"))</f>
        <v/>
      </c>
      <c r="S1394" s="40" t="str">
        <f aca="false">IF($R1394="","",INDEX(usia_label,MATCH($R1394,usia_min,1)))</f>
        <v/>
      </c>
      <c r="T1394" s="36"/>
      <c r="U1394" s="41"/>
      <c r="V1394" s="36"/>
      <c r="W1394" s="36"/>
      <c r="X1394" s="40" t="str">
        <f aca="false">IF($M1394="","",$M1394&amp;"#"&amp;COUNTIF($M$4:$M1394,$M1394))</f>
        <v/>
      </c>
      <c r="Y1394" s="40" t="str">
        <f aca="false">IF($B1394="","",IF($C1394="","NIK kosong",IF(LEN($C1394)&lt;&gt;16,"NIK bukan 16 digit",IF(COUNTIF($C$4:$C$2003,$C1394&amp;"*")&gt;1,"NIK ganda",IF(AND($D1394&lt;&gt;"",LEN($D1394)&lt;&gt;16),"No. KK bukan 16 digit",IF(AND($F1394="",$I1394=""),"Alamat kosong",IF($N1394="","Jabatan kosong",IF($O1394="","No. HP kosong",IF(AND($R1394&lt;&gt;"",$R1394&lt;17),"Usia di bawah 17","")))))))))</f>
        <v/>
      </c>
      <c r="Z1394" s="40" t="str">
        <f aca="false">IF($B1394="","",IF(AND(OR(CARI!$C$5="",ISNUMBER(SEARCH(CARI!$C$5,$B1394&amp;" "&amp;$C1394&amp;" "&amp;$D1394&amp;" "&amp;$O1394&amp;" "&amp;$I1394&amp;" "&amp;$F1394&amp;" "&amp;$J1394&amp;" "&amp;$K1394&amp;" "&amp;$L1394&amp;" "&amp;$V1394))),OR(CARI!$C$6="",$F1394=CARI!$C$6),OR(CARI!$C$7="",$G1394=CARI!$C$7),OR(CARI!$C$8="",$T1394=CARI!$C$8)),MAX($Z$3:Z1393)+1,""))</f>
        <v/>
      </c>
      <c r="AA1394" s="40" t="str">
        <f aca="false">IF($Y1394="","",MAX($AA$3:AA1393)+1)</f>
        <v/>
      </c>
      <c r="AB1394" s="40" t="str">
        <f aca="false">IF($F1394="","",$F1394&amp;"#"&amp;COUNTIF($F$4:$F1394,$F1394))</f>
        <v/>
      </c>
      <c r="AC1394" s="40" t="str">
        <f aca="false">IF($B1394="","",IF(AND(OR(CETAK!$J$10="",$F1394=CETAK!$J$10),OR(CETAK!$J$11="",$G1394=CETAK!$J$11),OR(CETAK!$J$12="",$P1394=CETAK!$J$12),OR(CETAK!$J$13="",$N1394=CETAK!$J$13),OR(CETAK!$J$14="",$T1394=CETAK!$J$14)),MAX($AC$3:AC1393)+1,""))</f>
        <v/>
      </c>
      <c r="AD1394" s="40" t="str">
        <f aca="false">IF($B1394="","",IF(AND(OR(ABSENSI!$H$10="",$F1394=ABSENSI!$H$10),OR(ABSENSI!$H$11="",$G1394=ABSENSI!$H$11),OR(ABSENSI!$H$12="",$P1394=ABSENSI!$H$12)),MAX($AD$3:AD1393)+1,""))</f>
        <v/>
      </c>
      <c r="AE1394" s="40" t="str">
        <f aca="false">IF($B1394="","",IF(AND(OR(KARTU!$K$6="",$F1394=KARTU!$K$6),OR(KARTU!$K$7="",$G1394=KARTU!$K$7),OR(KARTU!$K$8="",$P1394=KARTU!$K$8)),MAX($AE$3:AE1393)+1,""))</f>
        <v/>
      </c>
    </row>
    <row r="1395" customFormat="false" ht="15" hidden="false" customHeight="false" outlineLevel="0" collapsed="false">
      <c r="A1395" s="35" t="str">
        <f aca="false">IF($B1395="","",COUNTA($B$4:$B1395))</f>
        <v/>
      </c>
      <c r="B1395" s="36"/>
      <c r="C1395" s="37"/>
      <c r="D1395" s="37"/>
      <c r="E1395" s="38"/>
      <c r="F1395" s="36"/>
      <c r="G1395" s="39"/>
      <c r="H1395" s="39"/>
      <c r="I1395" s="36"/>
      <c r="J1395" s="36"/>
      <c r="K1395" s="36"/>
      <c r="L1395" s="36"/>
      <c r="M1395" s="40" t="str">
        <f aca="false">IF($F1395="","",$F1395&amp;IF($G1395="",""," - RT "&amp;$G1395&amp;IF($H1395="","","/"&amp;$H1395)))</f>
        <v/>
      </c>
      <c r="N1395" s="36"/>
      <c r="O1395" s="37"/>
      <c r="P1395" s="39"/>
      <c r="Q1395" s="41"/>
      <c r="R1395" s="35" t="str">
        <f aca="true">IF(OR($B1395="",$Q1395=""),"",DATEDIF($Q1395,TODAY(),"Y"))</f>
        <v/>
      </c>
      <c r="S1395" s="40" t="str">
        <f aca="false">IF($R1395="","",INDEX(usia_label,MATCH($R1395,usia_min,1)))</f>
        <v/>
      </c>
      <c r="T1395" s="36"/>
      <c r="U1395" s="41"/>
      <c r="V1395" s="36"/>
      <c r="W1395" s="36"/>
      <c r="X1395" s="40" t="str">
        <f aca="false">IF($M1395="","",$M1395&amp;"#"&amp;COUNTIF($M$4:$M1395,$M1395))</f>
        <v/>
      </c>
      <c r="Y1395" s="40" t="str">
        <f aca="false">IF($B1395="","",IF($C1395="","NIK kosong",IF(LEN($C1395)&lt;&gt;16,"NIK bukan 16 digit",IF(COUNTIF($C$4:$C$2003,$C1395&amp;"*")&gt;1,"NIK ganda",IF(AND($D1395&lt;&gt;"",LEN($D1395)&lt;&gt;16),"No. KK bukan 16 digit",IF(AND($F1395="",$I1395=""),"Alamat kosong",IF($N1395="","Jabatan kosong",IF($O1395="","No. HP kosong",IF(AND($R1395&lt;&gt;"",$R1395&lt;17),"Usia di bawah 17","")))))))))</f>
        <v/>
      </c>
      <c r="Z1395" s="40" t="str">
        <f aca="false">IF($B1395="","",IF(AND(OR(CARI!$C$5="",ISNUMBER(SEARCH(CARI!$C$5,$B1395&amp;" "&amp;$C1395&amp;" "&amp;$D1395&amp;" "&amp;$O1395&amp;" "&amp;$I1395&amp;" "&amp;$F1395&amp;" "&amp;$J1395&amp;" "&amp;$K1395&amp;" "&amp;$L1395&amp;" "&amp;$V1395))),OR(CARI!$C$6="",$F1395=CARI!$C$6),OR(CARI!$C$7="",$G1395=CARI!$C$7),OR(CARI!$C$8="",$T1395=CARI!$C$8)),MAX($Z$3:Z1394)+1,""))</f>
        <v/>
      </c>
      <c r="AA1395" s="40" t="str">
        <f aca="false">IF($Y1395="","",MAX($AA$3:AA1394)+1)</f>
        <v/>
      </c>
      <c r="AB1395" s="40" t="str">
        <f aca="false">IF($F1395="","",$F1395&amp;"#"&amp;COUNTIF($F$4:$F1395,$F1395))</f>
        <v/>
      </c>
      <c r="AC1395" s="40" t="str">
        <f aca="false">IF($B1395="","",IF(AND(OR(CETAK!$J$10="",$F1395=CETAK!$J$10),OR(CETAK!$J$11="",$G1395=CETAK!$J$11),OR(CETAK!$J$12="",$P1395=CETAK!$J$12),OR(CETAK!$J$13="",$N1395=CETAK!$J$13),OR(CETAK!$J$14="",$T1395=CETAK!$J$14)),MAX($AC$3:AC1394)+1,""))</f>
        <v/>
      </c>
      <c r="AD1395" s="40" t="str">
        <f aca="false">IF($B1395="","",IF(AND(OR(ABSENSI!$H$10="",$F1395=ABSENSI!$H$10),OR(ABSENSI!$H$11="",$G1395=ABSENSI!$H$11),OR(ABSENSI!$H$12="",$P1395=ABSENSI!$H$12)),MAX($AD$3:AD1394)+1,""))</f>
        <v/>
      </c>
      <c r="AE1395" s="40" t="str">
        <f aca="false">IF($B1395="","",IF(AND(OR(KARTU!$K$6="",$F1395=KARTU!$K$6),OR(KARTU!$K$7="",$G1395=KARTU!$K$7),OR(KARTU!$K$8="",$P1395=KARTU!$K$8)),MAX($AE$3:AE1394)+1,""))</f>
        <v/>
      </c>
    </row>
    <row r="1396" customFormat="false" ht="15" hidden="false" customHeight="false" outlineLevel="0" collapsed="false">
      <c r="A1396" s="35" t="str">
        <f aca="false">IF($B1396="","",COUNTA($B$4:$B1396))</f>
        <v/>
      </c>
      <c r="B1396" s="36"/>
      <c r="C1396" s="37"/>
      <c r="D1396" s="37"/>
      <c r="E1396" s="38"/>
      <c r="F1396" s="36"/>
      <c r="G1396" s="39"/>
      <c r="H1396" s="39"/>
      <c r="I1396" s="36"/>
      <c r="J1396" s="36"/>
      <c r="K1396" s="36"/>
      <c r="L1396" s="36"/>
      <c r="M1396" s="40" t="str">
        <f aca="false">IF($F1396="","",$F1396&amp;IF($G1396="",""," - RT "&amp;$G1396&amp;IF($H1396="","","/"&amp;$H1396)))</f>
        <v/>
      </c>
      <c r="N1396" s="36"/>
      <c r="O1396" s="37"/>
      <c r="P1396" s="39"/>
      <c r="Q1396" s="41"/>
      <c r="R1396" s="35" t="str">
        <f aca="true">IF(OR($B1396="",$Q1396=""),"",DATEDIF($Q1396,TODAY(),"Y"))</f>
        <v/>
      </c>
      <c r="S1396" s="40" t="str">
        <f aca="false">IF($R1396="","",INDEX(usia_label,MATCH($R1396,usia_min,1)))</f>
        <v/>
      </c>
      <c r="T1396" s="36"/>
      <c r="U1396" s="41"/>
      <c r="V1396" s="36"/>
      <c r="W1396" s="36"/>
      <c r="X1396" s="40" t="str">
        <f aca="false">IF($M1396="","",$M1396&amp;"#"&amp;COUNTIF($M$4:$M1396,$M1396))</f>
        <v/>
      </c>
      <c r="Y1396" s="40" t="str">
        <f aca="false">IF($B1396="","",IF($C1396="","NIK kosong",IF(LEN($C1396)&lt;&gt;16,"NIK bukan 16 digit",IF(COUNTIF($C$4:$C$2003,$C1396&amp;"*")&gt;1,"NIK ganda",IF(AND($D1396&lt;&gt;"",LEN($D1396)&lt;&gt;16),"No. KK bukan 16 digit",IF(AND($F1396="",$I1396=""),"Alamat kosong",IF($N1396="","Jabatan kosong",IF($O1396="","No. HP kosong",IF(AND($R1396&lt;&gt;"",$R1396&lt;17),"Usia di bawah 17","")))))))))</f>
        <v/>
      </c>
      <c r="Z1396" s="40" t="str">
        <f aca="false">IF($B1396="","",IF(AND(OR(CARI!$C$5="",ISNUMBER(SEARCH(CARI!$C$5,$B1396&amp;" "&amp;$C1396&amp;" "&amp;$D1396&amp;" "&amp;$O1396&amp;" "&amp;$I1396&amp;" "&amp;$F1396&amp;" "&amp;$J1396&amp;" "&amp;$K1396&amp;" "&amp;$L1396&amp;" "&amp;$V1396))),OR(CARI!$C$6="",$F1396=CARI!$C$6),OR(CARI!$C$7="",$G1396=CARI!$C$7),OR(CARI!$C$8="",$T1396=CARI!$C$8)),MAX($Z$3:Z1395)+1,""))</f>
        <v/>
      </c>
      <c r="AA1396" s="40" t="str">
        <f aca="false">IF($Y1396="","",MAX($AA$3:AA1395)+1)</f>
        <v/>
      </c>
      <c r="AB1396" s="40" t="str">
        <f aca="false">IF($F1396="","",$F1396&amp;"#"&amp;COUNTIF($F$4:$F1396,$F1396))</f>
        <v/>
      </c>
      <c r="AC1396" s="40" t="str">
        <f aca="false">IF($B1396="","",IF(AND(OR(CETAK!$J$10="",$F1396=CETAK!$J$10),OR(CETAK!$J$11="",$G1396=CETAK!$J$11),OR(CETAK!$J$12="",$P1396=CETAK!$J$12),OR(CETAK!$J$13="",$N1396=CETAK!$J$13),OR(CETAK!$J$14="",$T1396=CETAK!$J$14)),MAX($AC$3:AC1395)+1,""))</f>
        <v/>
      </c>
      <c r="AD1396" s="40" t="str">
        <f aca="false">IF($B1396="","",IF(AND(OR(ABSENSI!$H$10="",$F1396=ABSENSI!$H$10),OR(ABSENSI!$H$11="",$G1396=ABSENSI!$H$11),OR(ABSENSI!$H$12="",$P1396=ABSENSI!$H$12)),MAX($AD$3:AD1395)+1,""))</f>
        <v/>
      </c>
      <c r="AE1396" s="40" t="str">
        <f aca="false">IF($B1396="","",IF(AND(OR(KARTU!$K$6="",$F1396=KARTU!$K$6),OR(KARTU!$K$7="",$G1396=KARTU!$K$7),OR(KARTU!$K$8="",$P1396=KARTU!$K$8)),MAX($AE$3:AE1395)+1,""))</f>
        <v/>
      </c>
    </row>
    <row r="1397" customFormat="false" ht="15" hidden="false" customHeight="false" outlineLevel="0" collapsed="false">
      <c r="A1397" s="35" t="str">
        <f aca="false">IF($B1397="","",COUNTA($B$4:$B1397))</f>
        <v/>
      </c>
      <c r="B1397" s="36"/>
      <c r="C1397" s="37"/>
      <c r="D1397" s="37"/>
      <c r="E1397" s="38"/>
      <c r="F1397" s="36"/>
      <c r="G1397" s="39"/>
      <c r="H1397" s="39"/>
      <c r="I1397" s="36"/>
      <c r="J1397" s="36"/>
      <c r="K1397" s="36"/>
      <c r="L1397" s="36"/>
      <c r="M1397" s="40" t="str">
        <f aca="false">IF($F1397="","",$F1397&amp;IF($G1397="",""," - RT "&amp;$G1397&amp;IF($H1397="","","/"&amp;$H1397)))</f>
        <v/>
      </c>
      <c r="N1397" s="36"/>
      <c r="O1397" s="37"/>
      <c r="P1397" s="39"/>
      <c r="Q1397" s="41"/>
      <c r="R1397" s="35" t="str">
        <f aca="true">IF(OR($B1397="",$Q1397=""),"",DATEDIF($Q1397,TODAY(),"Y"))</f>
        <v/>
      </c>
      <c r="S1397" s="40" t="str">
        <f aca="false">IF($R1397="","",INDEX(usia_label,MATCH($R1397,usia_min,1)))</f>
        <v/>
      </c>
      <c r="T1397" s="36"/>
      <c r="U1397" s="41"/>
      <c r="V1397" s="36"/>
      <c r="W1397" s="36"/>
      <c r="X1397" s="40" t="str">
        <f aca="false">IF($M1397="","",$M1397&amp;"#"&amp;COUNTIF($M$4:$M1397,$M1397))</f>
        <v/>
      </c>
      <c r="Y1397" s="40" t="str">
        <f aca="false">IF($B1397="","",IF($C1397="","NIK kosong",IF(LEN($C1397)&lt;&gt;16,"NIK bukan 16 digit",IF(COUNTIF($C$4:$C$2003,$C1397&amp;"*")&gt;1,"NIK ganda",IF(AND($D1397&lt;&gt;"",LEN($D1397)&lt;&gt;16),"No. KK bukan 16 digit",IF(AND($F1397="",$I1397=""),"Alamat kosong",IF($N1397="","Jabatan kosong",IF($O1397="","No. HP kosong",IF(AND($R1397&lt;&gt;"",$R1397&lt;17),"Usia di bawah 17","")))))))))</f>
        <v/>
      </c>
      <c r="Z1397" s="40" t="str">
        <f aca="false">IF($B1397="","",IF(AND(OR(CARI!$C$5="",ISNUMBER(SEARCH(CARI!$C$5,$B1397&amp;" "&amp;$C1397&amp;" "&amp;$D1397&amp;" "&amp;$O1397&amp;" "&amp;$I1397&amp;" "&amp;$F1397&amp;" "&amp;$J1397&amp;" "&amp;$K1397&amp;" "&amp;$L1397&amp;" "&amp;$V1397))),OR(CARI!$C$6="",$F1397=CARI!$C$6),OR(CARI!$C$7="",$G1397=CARI!$C$7),OR(CARI!$C$8="",$T1397=CARI!$C$8)),MAX($Z$3:Z1396)+1,""))</f>
        <v/>
      </c>
      <c r="AA1397" s="40" t="str">
        <f aca="false">IF($Y1397="","",MAX($AA$3:AA1396)+1)</f>
        <v/>
      </c>
      <c r="AB1397" s="40" t="str">
        <f aca="false">IF($F1397="","",$F1397&amp;"#"&amp;COUNTIF($F$4:$F1397,$F1397))</f>
        <v/>
      </c>
      <c r="AC1397" s="40" t="str">
        <f aca="false">IF($B1397="","",IF(AND(OR(CETAK!$J$10="",$F1397=CETAK!$J$10),OR(CETAK!$J$11="",$G1397=CETAK!$J$11),OR(CETAK!$J$12="",$P1397=CETAK!$J$12),OR(CETAK!$J$13="",$N1397=CETAK!$J$13),OR(CETAK!$J$14="",$T1397=CETAK!$J$14)),MAX($AC$3:AC1396)+1,""))</f>
        <v/>
      </c>
      <c r="AD1397" s="40" t="str">
        <f aca="false">IF($B1397="","",IF(AND(OR(ABSENSI!$H$10="",$F1397=ABSENSI!$H$10),OR(ABSENSI!$H$11="",$G1397=ABSENSI!$H$11),OR(ABSENSI!$H$12="",$P1397=ABSENSI!$H$12)),MAX($AD$3:AD1396)+1,""))</f>
        <v/>
      </c>
      <c r="AE1397" s="40" t="str">
        <f aca="false">IF($B1397="","",IF(AND(OR(KARTU!$K$6="",$F1397=KARTU!$K$6),OR(KARTU!$K$7="",$G1397=KARTU!$K$7),OR(KARTU!$K$8="",$P1397=KARTU!$K$8)),MAX($AE$3:AE1396)+1,""))</f>
        <v/>
      </c>
    </row>
    <row r="1398" customFormat="false" ht="15" hidden="false" customHeight="false" outlineLevel="0" collapsed="false">
      <c r="A1398" s="35" t="str">
        <f aca="false">IF($B1398="","",COUNTA($B$4:$B1398))</f>
        <v/>
      </c>
      <c r="B1398" s="36"/>
      <c r="C1398" s="37"/>
      <c r="D1398" s="37"/>
      <c r="E1398" s="38"/>
      <c r="F1398" s="36"/>
      <c r="G1398" s="39"/>
      <c r="H1398" s="39"/>
      <c r="I1398" s="36"/>
      <c r="J1398" s="36"/>
      <c r="K1398" s="36"/>
      <c r="L1398" s="36"/>
      <c r="M1398" s="40" t="str">
        <f aca="false">IF($F1398="","",$F1398&amp;IF($G1398="",""," - RT "&amp;$G1398&amp;IF($H1398="","","/"&amp;$H1398)))</f>
        <v/>
      </c>
      <c r="N1398" s="36"/>
      <c r="O1398" s="37"/>
      <c r="P1398" s="39"/>
      <c r="Q1398" s="41"/>
      <c r="R1398" s="35" t="str">
        <f aca="true">IF(OR($B1398="",$Q1398=""),"",DATEDIF($Q1398,TODAY(),"Y"))</f>
        <v/>
      </c>
      <c r="S1398" s="40" t="str">
        <f aca="false">IF($R1398="","",INDEX(usia_label,MATCH($R1398,usia_min,1)))</f>
        <v/>
      </c>
      <c r="T1398" s="36"/>
      <c r="U1398" s="41"/>
      <c r="V1398" s="36"/>
      <c r="W1398" s="36"/>
      <c r="X1398" s="40" t="str">
        <f aca="false">IF($M1398="","",$M1398&amp;"#"&amp;COUNTIF($M$4:$M1398,$M1398))</f>
        <v/>
      </c>
      <c r="Y1398" s="40" t="str">
        <f aca="false">IF($B1398="","",IF($C1398="","NIK kosong",IF(LEN($C1398)&lt;&gt;16,"NIK bukan 16 digit",IF(COUNTIF($C$4:$C$2003,$C1398&amp;"*")&gt;1,"NIK ganda",IF(AND($D1398&lt;&gt;"",LEN($D1398)&lt;&gt;16),"No. KK bukan 16 digit",IF(AND($F1398="",$I1398=""),"Alamat kosong",IF($N1398="","Jabatan kosong",IF($O1398="","No. HP kosong",IF(AND($R1398&lt;&gt;"",$R1398&lt;17),"Usia di bawah 17","")))))))))</f>
        <v/>
      </c>
      <c r="Z1398" s="40" t="str">
        <f aca="false">IF($B1398="","",IF(AND(OR(CARI!$C$5="",ISNUMBER(SEARCH(CARI!$C$5,$B1398&amp;" "&amp;$C1398&amp;" "&amp;$D1398&amp;" "&amp;$O1398&amp;" "&amp;$I1398&amp;" "&amp;$F1398&amp;" "&amp;$J1398&amp;" "&amp;$K1398&amp;" "&amp;$L1398&amp;" "&amp;$V1398))),OR(CARI!$C$6="",$F1398=CARI!$C$6),OR(CARI!$C$7="",$G1398=CARI!$C$7),OR(CARI!$C$8="",$T1398=CARI!$C$8)),MAX($Z$3:Z1397)+1,""))</f>
        <v/>
      </c>
      <c r="AA1398" s="40" t="str">
        <f aca="false">IF($Y1398="","",MAX($AA$3:AA1397)+1)</f>
        <v/>
      </c>
      <c r="AB1398" s="40" t="str">
        <f aca="false">IF($F1398="","",$F1398&amp;"#"&amp;COUNTIF($F$4:$F1398,$F1398))</f>
        <v/>
      </c>
      <c r="AC1398" s="40" t="str">
        <f aca="false">IF($B1398="","",IF(AND(OR(CETAK!$J$10="",$F1398=CETAK!$J$10),OR(CETAK!$J$11="",$G1398=CETAK!$J$11),OR(CETAK!$J$12="",$P1398=CETAK!$J$12),OR(CETAK!$J$13="",$N1398=CETAK!$J$13),OR(CETAK!$J$14="",$T1398=CETAK!$J$14)),MAX($AC$3:AC1397)+1,""))</f>
        <v/>
      </c>
      <c r="AD1398" s="40" t="str">
        <f aca="false">IF($B1398="","",IF(AND(OR(ABSENSI!$H$10="",$F1398=ABSENSI!$H$10),OR(ABSENSI!$H$11="",$G1398=ABSENSI!$H$11),OR(ABSENSI!$H$12="",$P1398=ABSENSI!$H$12)),MAX($AD$3:AD1397)+1,""))</f>
        <v/>
      </c>
      <c r="AE1398" s="40" t="str">
        <f aca="false">IF($B1398="","",IF(AND(OR(KARTU!$K$6="",$F1398=KARTU!$K$6),OR(KARTU!$K$7="",$G1398=KARTU!$K$7),OR(KARTU!$K$8="",$P1398=KARTU!$K$8)),MAX($AE$3:AE1397)+1,""))</f>
        <v/>
      </c>
    </row>
    <row r="1399" customFormat="false" ht="15" hidden="false" customHeight="false" outlineLevel="0" collapsed="false">
      <c r="A1399" s="35" t="str">
        <f aca="false">IF($B1399="","",COUNTA($B$4:$B1399))</f>
        <v/>
      </c>
      <c r="B1399" s="36"/>
      <c r="C1399" s="37"/>
      <c r="D1399" s="37"/>
      <c r="E1399" s="38"/>
      <c r="F1399" s="36"/>
      <c r="G1399" s="39"/>
      <c r="H1399" s="39"/>
      <c r="I1399" s="36"/>
      <c r="J1399" s="36"/>
      <c r="K1399" s="36"/>
      <c r="L1399" s="36"/>
      <c r="M1399" s="40" t="str">
        <f aca="false">IF($F1399="","",$F1399&amp;IF($G1399="",""," - RT "&amp;$G1399&amp;IF($H1399="","","/"&amp;$H1399)))</f>
        <v/>
      </c>
      <c r="N1399" s="36"/>
      <c r="O1399" s="37"/>
      <c r="P1399" s="39"/>
      <c r="Q1399" s="41"/>
      <c r="R1399" s="35" t="str">
        <f aca="true">IF(OR($B1399="",$Q1399=""),"",DATEDIF($Q1399,TODAY(),"Y"))</f>
        <v/>
      </c>
      <c r="S1399" s="40" t="str">
        <f aca="false">IF($R1399="","",INDEX(usia_label,MATCH($R1399,usia_min,1)))</f>
        <v/>
      </c>
      <c r="T1399" s="36"/>
      <c r="U1399" s="41"/>
      <c r="V1399" s="36"/>
      <c r="W1399" s="36"/>
      <c r="X1399" s="40" t="str">
        <f aca="false">IF($M1399="","",$M1399&amp;"#"&amp;COUNTIF($M$4:$M1399,$M1399))</f>
        <v/>
      </c>
      <c r="Y1399" s="40" t="str">
        <f aca="false">IF($B1399="","",IF($C1399="","NIK kosong",IF(LEN($C1399)&lt;&gt;16,"NIK bukan 16 digit",IF(COUNTIF($C$4:$C$2003,$C1399&amp;"*")&gt;1,"NIK ganda",IF(AND($D1399&lt;&gt;"",LEN($D1399)&lt;&gt;16),"No. KK bukan 16 digit",IF(AND($F1399="",$I1399=""),"Alamat kosong",IF($N1399="","Jabatan kosong",IF($O1399="","No. HP kosong",IF(AND($R1399&lt;&gt;"",$R1399&lt;17),"Usia di bawah 17","")))))))))</f>
        <v/>
      </c>
      <c r="Z1399" s="40" t="str">
        <f aca="false">IF($B1399="","",IF(AND(OR(CARI!$C$5="",ISNUMBER(SEARCH(CARI!$C$5,$B1399&amp;" "&amp;$C1399&amp;" "&amp;$D1399&amp;" "&amp;$O1399&amp;" "&amp;$I1399&amp;" "&amp;$F1399&amp;" "&amp;$J1399&amp;" "&amp;$K1399&amp;" "&amp;$L1399&amp;" "&amp;$V1399))),OR(CARI!$C$6="",$F1399=CARI!$C$6),OR(CARI!$C$7="",$G1399=CARI!$C$7),OR(CARI!$C$8="",$T1399=CARI!$C$8)),MAX($Z$3:Z1398)+1,""))</f>
        <v/>
      </c>
      <c r="AA1399" s="40" t="str">
        <f aca="false">IF($Y1399="","",MAX($AA$3:AA1398)+1)</f>
        <v/>
      </c>
      <c r="AB1399" s="40" t="str">
        <f aca="false">IF($F1399="","",$F1399&amp;"#"&amp;COUNTIF($F$4:$F1399,$F1399))</f>
        <v/>
      </c>
      <c r="AC1399" s="40" t="str">
        <f aca="false">IF($B1399="","",IF(AND(OR(CETAK!$J$10="",$F1399=CETAK!$J$10),OR(CETAK!$J$11="",$G1399=CETAK!$J$11),OR(CETAK!$J$12="",$P1399=CETAK!$J$12),OR(CETAK!$J$13="",$N1399=CETAK!$J$13),OR(CETAK!$J$14="",$T1399=CETAK!$J$14)),MAX($AC$3:AC1398)+1,""))</f>
        <v/>
      </c>
      <c r="AD1399" s="40" t="str">
        <f aca="false">IF($B1399="","",IF(AND(OR(ABSENSI!$H$10="",$F1399=ABSENSI!$H$10),OR(ABSENSI!$H$11="",$G1399=ABSENSI!$H$11),OR(ABSENSI!$H$12="",$P1399=ABSENSI!$H$12)),MAX($AD$3:AD1398)+1,""))</f>
        <v/>
      </c>
      <c r="AE1399" s="40" t="str">
        <f aca="false">IF($B1399="","",IF(AND(OR(KARTU!$K$6="",$F1399=KARTU!$K$6),OR(KARTU!$K$7="",$G1399=KARTU!$K$7),OR(KARTU!$K$8="",$P1399=KARTU!$K$8)),MAX($AE$3:AE1398)+1,""))</f>
        <v/>
      </c>
    </row>
    <row r="1400" customFormat="false" ht="15" hidden="false" customHeight="false" outlineLevel="0" collapsed="false">
      <c r="A1400" s="35" t="str">
        <f aca="false">IF($B1400="","",COUNTA($B$4:$B1400))</f>
        <v/>
      </c>
      <c r="B1400" s="36"/>
      <c r="C1400" s="37"/>
      <c r="D1400" s="37"/>
      <c r="E1400" s="38"/>
      <c r="F1400" s="36"/>
      <c r="G1400" s="39"/>
      <c r="H1400" s="39"/>
      <c r="I1400" s="36"/>
      <c r="J1400" s="36"/>
      <c r="K1400" s="36"/>
      <c r="L1400" s="36"/>
      <c r="M1400" s="40" t="str">
        <f aca="false">IF($F1400="","",$F1400&amp;IF($G1400="",""," - RT "&amp;$G1400&amp;IF($H1400="","","/"&amp;$H1400)))</f>
        <v/>
      </c>
      <c r="N1400" s="36"/>
      <c r="O1400" s="37"/>
      <c r="P1400" s="39"/>
      <c r="Q1400" s="41"/>
      <c r="R1400" s="35" t="str">
        <f aca="true">IF(OR($B1400="",$Q1400=""),"",DATEDIF($Q1400,TODAY(),"Y"))</f>
        <v/>
      </c>
      <c r="S1400" s="40" t="str">
        <f aca="false">IF($R1400="","",INDEX(usia_label,MATCH($R1400,usia_min,1)))</f>
        <v/>
      </c>
      <c r="T1400" s="36"/>
      <c r="U1400" s="41"/>
      <c r="V1400" s="36"/>
      <c r="W1400" s="36"/>
      <c r="X1400" s="40" t="str">
        <f aca="false">IF($M1400="","",$M1400&amp;"#"&amp;COUNTIF($M$4:$M1400,$M1400))</f>
        <v/>
      </c>
      <c r="Y1400" s="40" t="str">
        <f aca="false">IF($B1400="","",IF($C1400="","NIK kosong",IF(LEN($C1400)&lt;&gt;16,"NIK bukan 16 digit",IF(COUNTIF($C$4:$C$2003,$C1400&amp;"*")&gt;1,"NIK ganda",IF(AND($D1400&lt;&gt;"",LEN($D1400)&lt;&gt;16),"No. KK bukan 16 digit",IF(AND($F1400="",$I1400=""),"Alamat kosong",IF($N1400="","Jabatan kosong",IF($O1400="","No. HP kosong",IF(AND($R1400&lt;&gt;"",$R1400&lt;17),"Usia di bawah 17","")))))))))</f>
        <v/>
      </c>
      <c r="Z1400" s="40" t="str">
        <f aca="false">IF($B1400="","",IF(AND(OR(CARI!$C$5="",ISNUMBER(SEARCH(CARI!$C$5,$B1400&amp;" "&amp;$C1400&amp;" "&amp;$D1400&amp;" "&amp;$O1400&amp;" "&amp;$I1400&amp;" "&amp;$F1400&amp;" "&amp;$J1400&amp;" "&amp;$K1400&amp;" "&amp;$L1400&amp;" "&amp;$V1400))),OR(CARI!$C$6="",$F1400=CARI!$C$6),OR(CARI!$C$7="",$G1400=CARI!$C$7),OR(CARI!$C$8="",$T1400=CARI!$C$8)),MAX($Z$3:Z1399)+1,""))</f>
        <v/>
      </c>
      <c r="AA1400" s="40" t="str">
        <f aca="false">IF($Y1400="","",MAX($AA$3:AA1399)+1)</f>
        <v/>
      </c>
      <c r="AB1400" s="40" t="str">
        <f aca="false">IF($F1400="","",$F1400&amp;"#"&amp;COUNTIF($F$4:$F1400,$F1400))</f>
        <v/>
      </c>
      <c r="AC1400" s="40" t="str">
        <f aca="false">IF($B1400="","",IF(AND(OR(CETAK!$J$10="",$F1400=CETAK!$J$10),OR(CETAK!$J$11="",$G1400=CETAK!$J$11),OR(CETAK!$J$12="",$P1400=CETAK!$J$12),OR(CETAK!$J$13="",$N1400=CETAK!$J$13),OR(CETAK!$J$14="",$T1400=CETAK!$J$14)),MAX($AC$3:AC1399)+1,""))</f>
        <v/>
      </c>
      <c r="AD1400" s="40" t="str">
        <f aca="false">IF($B1400="","",IF(AND(OR(ABSENSI!$H$10="",$F1400=ABSENSI!$H$10),OR(ABSENSI!$H$11="",$G1400=ABSENSI!$H$11),OR(ABSENSI!$H$12="",$P1400=ABSENSI!$H$12)),MAX($AD$3:AD1399)+1,""))</f>
        <v/>
      </c>
      <c r="AE1400" s="40" t="str">
        <f aca="false">IF($B1400="","",IF(AND(OR(KARTU!$K$6="",$F1400=KARTU!$K$6),OR(KARTU!$K$7="",$G1400=KARTU!$K$7),OR(KARTU!$K$8="",$P1400=KARTU!$K$8)),MAX($AE$3:AE1399)+1,""))</f>
        <v/>
      </c>
    </row>
    <row r="1401" customFormat="false" ht="15" hidden="false" customHeight="false" outlineLevel="0" collapsed="false">
      <c r="A1401" s="35" t="str">
        <f aca="false">IF($B1401="","",COUNTA($B$4:$B1401))</f>
        <v/>
      </c>
      <c r="B1401" s="36"/>
      <c r="C1401" s="37"/>
      <c r="D1401" s="37"/>
      <c r="E1401" s="38"/>
      <c r="F1401" s="36"/>
      <c r="G1401" s="39"/>
      <c r="H1401" s="39"/>
      <c r="I1401" s="36"/>
      <c r="J1401" s="36"/>
      <c r="K1401" s="36"/>
      <c r="L1401" s="36"/>
      <c r="M1401" s="40" t="str">
        <f aca="false">IF($F1401="","",$F1401&amp;IF($G1401="",""," - RT "&amp;$G1401&amp;IF($H1401="","","/"&amp;$H1401)))</f>
        <v/>
      </c>
      <c r="N1401" s="36"/>
      <c r="O1401" s="37"/>
      <c r="P1401" s="39"/>
      <c r="Q1401" s="41"/>
      <c r="R1401" s="35" t="str">
        <f aca="true">IF(OR($B1401="",$Q1401=""),"",DATEDIF($Q1401,TODAY(),"Y"))</f>
        <v/>
      </c>
      <c r="S1401" s="40" t="str">
        <f aca="false">IF($R1401="","",INDEX(usia_label,MATCH($R1401,usia_min,1)))</f>
        <v/>
      </c>
      <c r="T1401" s="36"/>
      <c r="U1401" s="41"/>
      <c r="V1401" s="36"/>
      <c r="W1401" s="36"/>
      <c r="X1401" s="40" t="str">
        <f aca="false">IF($M1401="","",$M1401&amp;"#"&amp;COUNTIF($M$4:$M1401,$M1401))</f>
        <v/>
      </c>
      <c r="Y1401" s="40" t="str">
        <f aca="false">IF($B1401="","",IF($C1401="","NIK kosong",IF(LEN($C1401)&lt;&gt;16,"NIK bukan 16 digit",IF(COUNTIF($C$4:$C$2003,$C1401&amp;"*")&gt;1,"NIK ganda",IF(AND($D1401&lt;&gt;"",LEN($D1401)&lt;&gt;16),"No. KK bukan 16 digit",IF(AND($F1401="",$I1401=""),"Alamat kosong",IF($N1401="","Jabatan kosong",IF($O1401="","No. HP kosong",IF(AND($R1401&lt;&gt;"",$R1401&lt;17),"Usia di bawah 17","")))))))))</f>
        <v/>
      </c>
      <c r="Z1401" s="40" t="str">
        <f aca="false">IF($B1401="","",IF(AND(OR(CARI!$C$5="",ISNUMBER(SEARCH(CARI!$C$5,$B1401&amp;" "&amp;$C1401&amp;" "&amp;$D1401&amp;" "&amp;$O1401&amp;" "&amp;$I1401&amp;" "&amp;$F1401&amp;" "&amp;$J1401&amp;" "&amp;$K1401&amp;" "&amp;$L1401&amp;" "&amp;$V1401))),OR(CARI!$C$6="",$F1401=CARI!$C$6),OR(CARI!$C$7="",$G1401=CARI!$C$7),OR(CARI!$C$8="",$T1401=CARI!$C$8)),MAX($Z$3:Z1400)+1,""))</f>
        <v/>
      </c>
      <c r="AA1401" s="40" t="str">
        <f aca="false">IF($Y1401="","",MAX($AA$3:AA1400)+1)</f>
        <v/>
      </c>
      <c r="AB1401" s="40" t="str">
        <f aca="false">IF($F1401="","",$F1401&amp;"#"&amp;COUNTIF($F$4:$F1401,$F1401))</f>
        <v/>
      </c>
      <c r="AC1401" s="40" t="str">
        <f aca="false">IF($B1401="","",IF(AND(OR(CETAK!$J$10="",$F1401=CETAK!$J$10),OR(CETAK!$J$11="",$G1401=CETAK!$J$11),OR(CETAK!$J$12="",$P1401=CETAK!$J$12),OR(CETAK!$J$13="",$N1401=CETAK!$J$13),OR(CETAK!$J$14="",$T1401=CETAK!$J$14)),MAX($AC$3:AC1400)+1,""))</f>
        <v/>
      </c>
      <c r="AD1401" s="40" t="str">
        <f aca="false">IF($B1401="","",IF(AND(OR(ABSENSI!$H$10="",$F1401=ABSENSI!$H$10),OR(ABSENSI!$H$11="",$G1401=ABSENSI!$H$11),OR(ABSENSI!$H$12="",$P1401=ABSENSI!$H$12)),MAX($AD$3:AD1400)+1,""))</f>
        <v/>
      </c>
      <c r="AE1401" s="40" t="str">
        <f aca="false">IF($B1401="","",IF(AND(OR(KARTU!$K$6="",$F1401=KARTU!$K$6),OR(KARTU!$K$7="",$G1401=KARTU!$K$7),OR(KARTU!$K$8="",$P1401=KARTU!$K$8)),MAX($AE$3:AE1400)+1,""))</f>
        <v/>
      </c>
    </row>
    <row r="1402" customFormat="false" ht="15" hidden="false" customHeight="false" outlineLevel="0" collapsed="false">
      <c r="A1402" s="35" t="str">
        <f aca="false">IF($B1402="","",COUNTA($B$4:$B1402))</f>
        <v/>
      </c>
      <c r="B1402" s="36"/>
      <c r="C1402" s="37"/>
      <c r="D1402" s="37"/>
      <c r="E1402" s="38"/>
      <c r="F1402" s="36"/>
      <c r="G1402" s="39"/>
      <c r="H1402" s="39"/>
      <c r="I1402" s="36"/>
      <c r="J1402" s="36"/>
      <c r="K1402" s="36"/>
      <c r="L1402" s="36"/>
      <c r="M1402" s="40" t="str">
        <f aca="false">IF($F1402="","",$F1402&amp;IF($G1402="",""," - RT "&amp;$G1402&amp;IF($H1402="","","/"&amp;$H1402)))</f>
        <v/>
      </c>
      <c r="N1402" s="36"/>
      <c r="O1402" s="37"/>
      <c r="P1402" s="39"/>
      <c r="Q1402" s="41"/>
      <c r="R1402" s="35" t="str">
        <f aca="true">IF(OR($B1402="",$Q1402=""),"",DATEDIF($Q1402,TODAY(),"Y"))</f>
        <v/>
      </c>
      <c r="S1402" s="40" t="str">
        <f aca="false">IF($R1402="","",INDEX(usia_label,MATCH($R1402,usia_min,1)))</f>
        <v/>
      </c>
      <c r="T1402" s="36"/>
      <c r="U1402" s="41"/>
      <c r="V1402" s="36"/>
      <c r="W1402" s="36"/>
      <c r="X1402" s="40" t="str">
        <f aca="false">IF($M1402="","",$M1402&amp;"#"&amp;COUNTIF($M$4:$M1402,$M1402))</f>
        <v/>
      </c>
      <c r="Y1402" s="40" t="str">
        <f aca="false">IF($B1402="","",IF($C1402="","NIK kosong",IF(LEN($C1402)&lt;&gt;16,"NIK bukan 16 digit",IF(COUNTIF($C$4:$C$2003,$C1402&amp;"*")&gt;1,"NIK ganda",IF(AND($D1402&lt;&gt;"",LEN($D1402)&lt;&gt;16),"No. KK bukan 16 digit",IF(AND($F1402="",$I1402=""),"Alamat kosong",IF($N1402="","Jabatan kosong",IF($O1402="","No. HP kosong",IF(AND($R1402&lt;&gt;"",$R1402&lt;17),"Usia di bawah 17","")))))))))</f>
        <v/>
      </c>
      <c r="Z1402" s="40" t="str">
        <f aca="false">IF($B1402="","",IF(AND(OR(CARI!$C$5="",ISNUMBER(SEARCH(CARI!$C$5,$B1402&amp;" "&amp;$C1402&amp;" "&amp;$D1402&amp;" "&amp;$O1402&amp;" "&amp;$I1402&amp;" "&amp;$F1402&amp;" "&amp;$J1402&amp;" "&amp;$K1402&amp;" "&amp;$L1402&amp;" "&amp;$V1402))),OR(CARI!$C$6="",$F1402=CARI!$C$6),OR(CARI!$C$7="",$G1402=CARI!$C$7),OR(CARI!$C$8="",$T1402=CARI!$C$8)),MAX($Z$3:Z1401)+1,""))</f>
        <v/>
      </c>
      <c r="AA1402" s="40" t="str">
        <f aca="false">IF($Y1402="","",MAX($AA$3:AA1401)+1)</f>
        <v/>
      </c>
      <c r="AB1402" s="40" t="str">
        <f aca="false">IF($F1402="","",$F1402&amp;"#"&amp;COUNTIF($F$4:$F1402,$F1402))</f>
        <v/>
      </c>
      <c r="AC1402" s="40" t="str">
        <f aca="false">IF($B1402="","",IF(AND(OR(CETAK!$J$10="",$F1402=CETAK!$J$10),OR(CETAK!$J$11="",$G1402=CETAK!$J$11),OR(CETAK!$J$12="",$P1402=CETAK!$J$12),OR(CETAK!$J$13="",$N1402=CETAK!$J$13),OR(CETAK!$J$14="",$T1402=CETAK!$J$14)),MAX($AC$3:AC1401)+1,""))</f>
        <v/>
      </c>
      <c r="AD1402" s="40" t="str">
        <f aca="false">IF($B1402="","",IF(AND(OR(ABSENSI!$H$10="",$F1402=ABSENSI!$H$10),OR(ABSENSI!$H$11="",$G1402=ABSENSI!$H$11),OR(ABSENSI!$H$12="",$P1402=ABSENSI!$H$12)),MAX($AD$3:AD1401)+1,""))</f>
        <v/>
      </c>
      <c r="AE1402" s="40" t="str">
        <f aca="false">IF($B1402="","",IF(AND(OR(KARTU!$K$6="",$F1402=KARTU!$K$6),OR(KARTU!$K$7="",$G1402=KARTU!$K$7),OR(KARTU!$K$8="",$P1402=KARTU!$K$8)),MAX($AE$3:AE1401)+1,""))</f>
        <v/>
      </c>
    </row>
    <row r="1403" customFormat="false" ht="15" hidden="false" customHeight="false" outlineLevel="0" collapsed="false">
      <c r="A1403" s="35" t="str">
        <f aca="false">IF($B1403="","",COUNTA($B$4:$B1403))</f>
        <v/>
      </c>
      <c r="B1403" s="36"/>
      <c r="C1403" s="37"/>
      <c r="D1403" s="37"/>
      <c r="E1403" s="38"/>
      <c r="F1403" s="36"/>
      <c r="G1403" s="39"/>
      <c r="H1403" s="39"/>
      <c r="I1403" s="36"/>
      <c r="J1403" s="36"/>
      <c r="K1403" s="36"/>
      <c r="L1403" s="36"/>
      <c r="M1403" s="40" t="str">
        <f aca="false">IF($F1403="","",$F1403&amp;IF($G1403="",""," - RT "&amp;$G1403&amp;IF($H1403="","","/"&amp;$H1403)))</f>
        <v/>
      </c>
      <c r="N1403" s="36"/>
      <c r="O1403" s="37"/>
      <c r="P1403" s="39"/>
      <c r="Q1403" s="41"/>
      <c r="R1403" s="35" t="str">
        <f aca="true">IF(OR($B1403="",$Q1403=""),"",DATEDIF($Q1403,TODAY(),"Y"))</f>
        <v/>
      </c>
      <c r="S1403" s="40" t="str">
        <f aca="false">IF($R1403="","",INDEX(usia_label,MATCH($R1403,usia_min,1)))</f>
        <v/>
      </c>
      <c r="T1403" s="36"/>
      <c r="U1403" s="41"/>
      <c r="V1403" s="36"/>
      <c r="W1403" s="36"/>
      <c r="X1403" s="40" t="str">
        <f aca="false">IF($M1403="","",$M1403&amp;"#"&amp;COUNTIF($M$4:$M1403,$M1403))</f>
        <v/>
      </c>
      <c r="Y1403" s="40" t="str">
        <f aca="false">IF($B1403="","",IF($C1403="","NIK kosong",IF(LEN($C1403)&lt;&gt;16,"NIK bukan 16 digit",IF(COUNTIF($C$4:$C$2003,$C1403&amp;"*")&gt;1,"NIK ganda",IF(AND($D1403&lt;&gt;"",LEN($D1403)&lt;&gt;16),"No. KK bukan 16 digit",IF(AND($F1403="",$I1403=""),"Alamat kosong",IF($N1403="","Jabatan kosong",IF($O1403="","No. HP kosong",IF(AND($R1403&lt;&gt;"",$R1403&lt;17),"Usia di bawah 17","")))))))))</f>
        <v/>
      </c>
      <c r="Z1403" s="40" t="str">
        <f aca="false">IF($B1403="","",IF(AND(OR(CARI!$C$5="",ISNUMBER(SEARCH(CARI!$C$5,$B1403&amp;" "&amp;$C1403&amp;" "&amp;$D1403&amp;" "&amp;$O1403&amp;" "&amp;$I1403&amp;" "&amp;$F1403&amp;" "&amp;$J1403&amp;" "&amp;$K1403&amp;" "&amp;$L1403&amp;" "&amp;$V1403))),OR(CARI!$C$6="",$F1403=CARI!$C$6),OR(CARI!$C$7="",$G1403=CARI!$C$7),OR(CARI!$C$8="",$T1403=CARI!$C$8)),MAX($Z$3:Z1402)+1,""))</f>
        <v/>
      </c>
      <c r="AA1403" s="40" t="str">
        <f aca="false">IF($Y1403="","",MAX($AA$3:AA1402)+1)</f>
        <v/>
      </c>
      <c r="AB1403" s="40" t="str">
        <f aca="false">IF($F1403="","",$F1403&amp;"#"&amp;COUNTIF($F$4:$F1403,$F1403))</f>
        <v/>
      </c>
      <c r="AC1403" s="40" t="str">
        <f aca="false">IF($B1403="","",IF(AND(OR(CETAK!$J$10="",$F1403=CETAK!$J$10),OR(CETAK!$J$11="",$G1403=CETAK!$J$11),OR(CETAK!$J$12="",$P1403=CETAK!$J$12),OR(CETAK!$J$13="",$N1403=CETAK!$J$13),OR(CETAK!$J$14="",$T1403=CETAK!$J$14)),MAX($AC$3:AC1402)+1,""))</f>
        <v/>
      </c>
      <c r="AD1403" s="40" t="str">
        <f aca="false">IF($B1403="","",IF(AND(OR(ABSENSI!$H$10="",$F1403=ABSENSI!$H$10),OR(ABSENSI!$H$11="",$G1403=ABSENSI!$H$11),OR(ABSENSI!$H$12="",$P1403=ABSENSI!$H$12)),MAX($AD$3:AD1402)+1,""))</f>
        <v/>
      </c>
      <c r="AE1403" s="40" t="str">
        <f aca="false">IF($B1403="","",IF(AND(OR(KARTU!$K$6="",$F1403=KARTU!$K$6),OR(KARTU!$K$7="",$G1403=KARTU!$K$7),OR(KARTU!$K$8="",$P1403=KARTU!$K$8)),MAX($AE$3:AE1402)+1,""))</f>
        <v/>
      </c>
    </row>
    <row r="1404" customFormat="false" ht="15" hidden="false" customHeight="false" outlineLevel="0" collapsed="false">
      <c r="A1404" s="35" t="str">
        <f aca="false">IF($B1404="","",COUNTA($B$4:$B1404))</f>
        <v/>
      </c>
      <c r="B1404" s="36"/>
      <c r="C1404" s="37"/>
      <c r="D1404" s="37"/>
      <c r="E1404" s="38"/>
      <c r="F1404" s="36"/>
      <c r="G1404" s="39"/>
      <c r="H1404" s="39"/>
      <c r="I1404" s="36"/>
      <c r="J1404" s="36"/>
      <c r="K1404" s="36"/>
      <c r="L1404" s="36"/>
      <c r="M1404" s="40" t="str">
        <f aca="false">IF($F1404="","",$F1404&amp;IF($G1404="",""," - RT "&amp;$G1404&amp;IF($H1404="","","/"&amp;$H1404)))</f>
        <v/>
      </c>
      <c r="N1404" s="36"/>
      <c r="O1404" s="37"/>
      <c r="P1404" s="39"/>
      <c r="Q1404" s="41"/>
      <c r="R1404" s="35" t="str">
        <f aca="true">IF(OR($B1404="",$Q1404=""),"",DATEDIF($Q1404,TODAY(),"Y"))</f>
        <v/>
      </c>
      <c r="S1404" s="40" t="str">
        <f aca="false">IF($R1404="","",INDEX(usia_label,MATCH($R1404,usia_min,1)))</f>
        <v/>
      </c>
      <c r="T1404" s="36"/>
      <c r="U1404" s="41"/>
      <c r="V1404" s="36"/>
      <c r="W1404" s="36"/>
      <c r="X1404" s="40" t="str">
        <f aca="false">IF($M1404="","",$M1404&amp;"#"&amp;COUNTIF($M$4:$M1404,$M1404))</f>
        <v/>
      </c>
      <c r="Y1404" s="40" t="str">
        <f aca="false">IF($B1404="","",IF($C1404="","NIK kosong",IF(LEN($C1404)&lt;&gt;16,"NIK bukan 16 digit",IF(COUNTIF($C$4:$C$2003,$C1404&amp;"*")&gt;1,"NIK ganda",IF(AND($D1404&lt;&gt;"",LEN($D1404)&lt;&gt;16),"No. KK bukan 16 digit",IF(AND($F1404="",$I1404=""),"Alamat kosong",IF($N1404="","Jabatan kosong",IF($O1404="","No. HP kosong",IF(AND($R1404&lt;&gt;"",$R1404&lt;17),"Usia di bawah 17","")))))))))</f>
        <v/>
      </c>
      <c r="Z1404" s="40" t="str">
        <f aca="false">IF($B1404="","",IF(AND(OR(CARI!$C$5="",ISNUMBER(SEARCH(CARI!$C$5,$B1404&amp;" "&amp;$C1404&amp;" "&amp;$D1404&amp;" "&amp;$O1404&amp;" "&amp;$I1404&amp;" "&amp;$F1404&amp;" "&amp;$J1404&amp;" "&amp;$K1404&amp;" "&amp;$L1404&amp;" "&amp;$V1404))),OR(CARI!$C$6="",$F1404=CARI!$C$6),OR(CARI!$C$7="",$G1404=CARI!$C$7),OR(CARI!$C$8="",$T1404=CARI!$C$8)),MAX($Z$3:Z1403)+1,""))</f>
        <v/>
      </c>
      <c r="AA1404" s="40" t="str">
        <f aca="false">IF($Y1404="","",MAX($AA$3:AA1403)+1)</f>
        <v/>
      </c>
      <c r="AB1404" s="40" t="str">
        <f aca="false">IF($F1404="","",$F1404&amp;"#"&amp;COUNTIF($F$4:$F1404,$F1404))</f>
        <v/>
      </c>
      <c r="AC1404" s="40" t="str">
        <f aca="false">IF($B1404="","",IF(AND(OR(CETAK!$J$10="",$F1404=CETAK!$J$10),OR(CETAK!$J$11="",$G1404=CETAK!$J$11),OR(CETAK!$J$12="",$P1404=CETAK!$J$12),OR(CETAK!$J$13="",$N1404=CETAK!$J$13),OR(CETAK!$J$14="",$T1404=CETAK!$J$14)),MAX($AC$3:AC1403)+1,""))</f>
        <v/>
      </c>
      <c r="AD1404" s="40" t="str">
        <f aca="false">IF($B1404="","",IF(AND(OR(ABSENSI!$H$10="",$F1404=ABSENSI!$H$10),OR(ABSENSI!$H$11="",$G1404=ABSENSI!$H$11),OR(ABSENSI!$H$12="",$P1404=ABSENSI!$H$12)),MAX($AD$3:AD1403)+1,""))</f>
        <v/>
      </c>
      <c r="AE1404" s="40" t="str">
        <f aca="false">IF($B1404="","",IF(AND(OR(KARTU!$K$6="",$F1404=KARTU!$K$6),OR(KARTU!$K$7="",$G1404=KARTU!$K$7),OR(KARTU!$K$8="",$P1404=KARTU!$K$8)),MAX($AE$3:AE1403)+1,""))</f>
        <v/>
      </c>
    </row>
    <row r="1405" customFormat="false" ht="15" hidden="false" customHeight="false" outlineLevel="0" collapsed="false">
      <c r="A1405" s="35" t="str">
        <f aca="false">IF($B1405="","",COUNTA($B$4:$B1405))</f>
        <v/>
      </c>
      <c r="B1405" s="36"/>
      <c r="C1405" s="37"/>
      <c r="D1405" s="37"/>
      <c r="E1405" s="38"/>
      <c r="F1405" s="36"/>
      <c r="G1405" s="39"/>
      <c r="H1405" s="39"/>
      <c r="I1405" s="36"/>
      <c r="J1405" s="36"/>
      <c r="K1405" s="36"/>
      <c r="L1405" s="36"/>
      <c r="M1405" s="40" t="str">
        <f aca="false">IF($F1405="","",$F1405&amp;IF($G1405="",""," - RT "&amp;$G1405&amp;IF($H1405="","","/"&amp;$H1405)))</f>
        <v/>
      </c>
      <c r="N1405" s="36"/>
      <c r="O1405" s="37"/>
      <c r="P1405" s="39"/>
      <c r="Q1405" s="41"/>
      <c r="R1405" s="35" t="str">
        <f aca="true">IF(OR($B1405="",$Q1405=""),"",DATEDIF($Q1405,TODAY(),"Y"))</f>
        <v/>
      </c>
      <c r="S1405" s="40" t="str">
        <f aca="false">IF($R1405="","",INDEX(usia_label,MATCH($R1405,usia_min,1)))</f>
        <v/>
      </c>
      <c r="T1405" s="36"/>
      <c r="U1405" s="41"/>
      <c r="V1405" s="36"/>
      <c r="W1405" s="36"/>
      <c r="X1405" s="40" t="str">
        <f aca="false">IF($M1405="","",$M1405&amp;"#"&amp;COUNTIF($M$4:$M1405,$M1405))</f>
        <v/>
      </c>
      <c r="Y1405" s="40" t="str">
        <f aca="false">IF($B1405="","",IF($C1405="","NIK kosong",IF(LEN($C1405)&lt;&gt;16,"NIK bukan 16 digit",IF(COUNTIF($C$4:$C$2003,$C1405&amp;"*")&gt;1,"NIK ganda",IF(AND($D1405&lt;&gt;"",LEN($D1405)&lt;&gt;16),"No. KK bukan 16 digit",IF(AND($F1405="",$I1405=""),"Alamat kosong",IF($N1405="","Jabatan kosong",IF($O1405="","No. HP kosong",IF(AND($R1405&lt;&gt;"",$R1405&lt;17),"Usia di bawah 17","")))))))))</f>
        <v/>
      </c>
      <c r="Z1405" s="40" t="str">
        <f aca="false">IF($B1405="","",IF(AND(OR(CARI!$C$5="",ISNUMBER(SEARCH(CARI!$C$5,$B1405&amp;" "&amp;$C1405&amp;" "&amp;$D1405&amp;" "&amp;$O1405&amp;" "&amp;$I1405&amp;" "&amp;$F1405&amp;" "&amp;$J1405&amp;" "&amp;$K1405&amp;" "&amp;$L1405&amp;" "&amp;$V1405))),OR(CARI!$C$6="",$F1405=CARI!$C$6),OR(CARI!$C$7="",$G1405=CARI!$C$7),OR(CARI!$C$8="",$T1405=CARI!$C$8)),MAX($Z$3:Z1404)+1,""))</f>
        <v/>
      </c>
      <c r="AA1405" s="40" t="str">
        <f aca="false">IF($Y1405="","",MAX($AA$3:AA1404)+1)</f>
        <v/>
      </c>
      <c r="AB1405" s="40" t="str">
        <f aca="false">IF($F1405="","",$F1405&amp;"#"&amp;COUNTIF($F$4:$F1405,$F1405))</f>
        <v/>
      </c>
      <c r="AC1405" s="40" t="str">
        <f aca="false">IF($B1405="","",IF(AND(OR(CETAK!$J$10="",$F1405=CETAK!$J$10),OR(CETAK!$J$11="",$G1405=CETAK!$J$11),OR(CETAK!$J$12="",$P1405=CETAK!$J$12),OR(CETAK!$J$13="",$N1405=CETAK!$J$13),OR(CETAK!$J$14="",$T1405=CETAK!$J$14)),MAX($AC$3:AC1404)+1,""))</f>
        <v/>
      </c>
      <c r="AD1405" s="40" t="str">
        <f aca="false">IF($B1405="","",IF(AND(OR(ABSENSI!$H$10="",$F1405=ABSENSI!$H$10),OR(ABSENSI!$H$11="",$G1405=ABSENSI!$H$11),OR(ABSENSI!$H$12="",$P1405=ABSENSI!$H$12)),MAX($AD$3:AD1404)+1,""))</f>
        <v/>
      </c>
      <c r="AE1405" s="40" t="str">
        <f aca="false">IF($B1405="","",IF(AND(OR(KARTU!$K$6="",$F1405=KARTU!$K$6),OR(KARTU!$K$7="",$G1405=KARTU!$K$7),OR(KARTU!$K$8="",$P1405=KARTU!$K$8)),MAX($AE$3:AE1404)+1,""))</f>
        <v/>
      </c>
    </row>
    <row r="1406" customFormat="false" ht="15" hidden="false" customHeight="false" outlineLevel="0" collapsed="false">
      <c r="A1406" s="35" t="str">
        <f aca="false">IF($B1406="","",COUNTA($B$4:$B1406))</f>
        <v/>
      </c>
      <c r="B1406" s="36"/>
      <c r="C1406" s="37"/>
      <c r="D1406" s="37"/>
      <c r="E1406" s="38"/>
      <c r="F1406" s="36"/>
      <c r="G1406" s="39"/>
      <c r="H1406" s="39"/>
      <c r="I1406" s="36"/>
      <c r="J1406" s="36"/>
      <c r="K1406" s="36"/>
      <c r="L1406" s="36"/>
      <c r="M1406" s="40" t="str">
        <f aca="false">IF($F1406="","",$F1406&amp;IF($G1406="",""," - RT "&amp;$G1406&amp;IF($H1406="","","/"&amp;$H1406)))</f>
        <v/>
      </c>
      <c r="N1406" s="36"/>
      <c r="O1406" s="37"/>
      <c r="P1406" s="39"/>
      <c r="Q1406" s="41"/>
      <c r="R1406" s="35" t="str">
        <f aca="true">IF(OR($B1406="",$Q1406=""),"",DATEDIF($Q1406,TODAY(),"Y"))</f>
        <v/>
      </c>
      <c r="S1406" s="40" t="str">
        <f aca="false">IF($R1406="","",INDEX(usia_label,MATCH($R1406,usia_min,1)))</f>
        <v/>
      </c>
      <c r="T1406" s="36"/>
      <c r="U1406" s="41"/>
      <c r="V1406" s="36"/>
      <c r="W1406" s="36"/>
      <c r="X1406" s="40" t="str">
        <f aca="false">IF($M1406="","",$M1406&amp;"#"&amp;COUNTIF($M$4:$M1406,$M1406))</f>
        <v/>
      </c>
      <c r="Y1406" s="40" t="str">
        <f aca="false">IF($B1406="","",IF($C1406="","NIK kosong",IF(LEN($C1406)&lt;&gt;16,"NIK bukan 16 digit",IF(COUNTIF($C$4:$C$2003,$C1406&amp;"*")&gt;1,"NIK ganda",IF(AND($D1406&lt;&gt;"",LEN($D1406)&lt;&gt;16),"No. KK bukan 16 digit",IF(AND($F1406="",$I1406=""),"Alamat kosong",IF($N1406="","Jabatan kosong",IF($O1406="","No. HP kosong",IF(AND($R1406&lt;&gt;"",$R1406&lt;17),"Usia di bawah 17","")))))))))</f>
        <v/>
      </c>
      <c r="Z1406" s="40" t="str">
        <f aca="false">IF($B1406="","",IF(AND(OR(CARI!$C$5="",ISNUMBER(SEARCH(CARI!$C$5,$B1406&amp;" "&amp;$C1406&amp;" "&amp;$D1406&amp;" "&amp;$O1406&amp;" "&amp;$I1406&amp;" "&amp;$F1406&amp;" "&amp;$J1406&amp;" "&amp;$K1406&amp;" "&amp;$L1406&amp;" "&amp;$V1406))),OR(CARI!$C$6="",$F1406=CARI!$C$6),OR(CARI!$C$7="",$G1406=CARI!$C$7),OR(CARI!$C$8="",$T1406=CARI!$C$8)),MAX($Z$3:Z1405)+1,""))</f>
        <v/>
      </c>
      <c r="AA1406" s="40" t="str">
        <f aca="false">IF($Y1406="","",MAX($AA$3:AA1405)+1)</f>
        <v/>
      </c>
      <c r="AB1406" s="40" t="str">
        <f aca="false">IF($F1406="","",$F1406&amp;"#"&amp;COUNTIF($F$4:$F1406,$F1406))</f>
        <v/>
      </c>
      <c r="AC1406" s="40" t="str">
        <f aca="false">IF($B1406="","",IF(AND(OR(CETAK!$J$10="",$F1406=CETAK!$J$10),OR(CETAK!$J$11="",$G1406=CETAK!$J$11),OR(CETAK!$J$12="",$P1406=CETAK!$J$12),OR(CETAK!$J$13="",$N1406=CETAK!$J$13),OR(CETAK!$J$14="",$T1406=CETAK!$J$14)),MAX($AC$3:AC1405)+1,""))</f>
        <v/>
      </c>
      <c r="AD1406" s="40" t="str">
        <f aca="false">IF($B1406="","",IF(AND(OR(ABSENSI!$H$10="",$F1406=ABSENSI!$H$10),OR(ABSENSI!$H$11="",$G1406=ABSENSI!$H$11),OR(ABSENSI!$H$12="",$P1406=ABSENSI!$H$12)),MAX($AD$3:AD1405)+1,""))</f>
        <v/>
      </c>
      <c r="AE1406" s="40" t="str">
        <f aca="false">IF($B1406="","",IF(AND(OR(KARTU!$K$6="",$F1406=KARTU!$K$6),OR(KARTU!$K$7="",$G1406=KARTU!$K$7),OR(KARTU!$K$8="",$P1406=KARTU!$K$8)),MAX($AE$3:AE1405)+1,""))</f>
        <v/>
      </c>
    </row>
    <row r="1407" customFormat="false" ht="15" hidden="false" customHeight="false" outlineLevel="0" collapsed="false">
      <c r="A1407" s="35" t="str">
        <f aca="false">IF($B1407="","",COUNTA($B$4:$B1407))</f>
        <v/>
      </c>
      <c r="B1407" s="36"/>
      <c r="C1407" s="37"/>
      <c r="D1407" s="37"/>
      <c r="E1407" s="38"/>
      <c r="F1407" s="36"/>
      <c r="G1407" s="39"/>
      <c r="H1407" s="39"/>
      <c r="I1407" s="36"/>
      <c r="J1407" s="36"/>
      <c r="K1407" s="36"/>
      <c r="L1407" s="36"/>
      <c r="M1407" s="40" t="str">
        <f aca="false">IF($F1407="","",$F1407&amp;IF($G1407="",""," - RT "&amp;$G1407&amp;IF($H1407="","","/"&amp;$H1407)))</f>
        <v/>
      </c>
      <c r="N1407" s="36"/>
      <c r="O1407" s="37"/>
      <c r="P1407" s="39"/>
      <c r="Q1407" s="41"/>
      <c r="R1407" s="35" t="str">
        <f aca="true">IF(OR($B1407="",$Q1407=""),"",DATEDIF($Q1407,TODAY(),"Y"))</f>
        <v/>
      </c>
      <c r="S1407" s="40" t="str">
        <f aca="false">IF($R1407="","",INDEX(usia_label,MATCH($R1407,usia_min,1)))</f>
        <v/>
      </c>
      <c r="T1407" s="36"/>
      <c r="U1407" s="41"/>
      <c r="V1407" s="36"/>
      <c r="W1407" s="36"/>
      <c r="X1407" s="40" t="str">
        <f aca="false">IF($M1407="","",$M1407&amp;"#"&amp;COUNTIF($M$4:$M1407,$M1407))</f>
        <v/>
      </c>
      <c r="Y1407" s="40" t="str">
        <f aca="false">IF($B1407="","",IF($C1407="","NIK kosong",IF(LEN($C1407)&lt;&gt;16,"NIK bukan 16 digit",IF(COUNTIF($C$4:$C$2003,$C1407&amp;"*")&gt;1,"NIK ganda",IF(AND($D1407&lt;&gt;"",LEN($D1407)&lt;&gt;16),"No. KK bukan 16 digit",IF(AND($F1407="",$I1407=""),"Alamat kosong",IF($N1407="","Jabatan kosong",IF($O1407="","No. HP kosong",IF(AND($R1407&lt;&gt;"",$R1407&lt;17),"Usia di bawah 17","")))))))))</f>
        <v/>
      </c>
      <c r="Z1407" s="40" t="str">
        <f aca="false">IF($B1407="","",IF(AND(OR(CARI!$C$5="",ISNUMBER(SEARCH(CARI!$C$5,$B1407&amp;" "&amp;$C1407&amp;" "&amp;$D1407&amp;" "&amp;$O1407&amp;" "&amp;$I1407&amp;" "&amp;$F1407&amp;" "&amp;$J1407&amp;" "&amp;$K1407&amp;" "&amp;$L1407&amp;" "&amp;$V1407))),OR(CARI!$C$6="",$F1407=CARI!$C$6),OR(CARI!$C$7="",$G1407=CARI!$C$7),OR(CARI!$C$8="",$T1407=CARI!$C$8)),MAX($Z$3:Z1406)+1,""))</f>
        <v/>
      </c>
      <c r="AA1407" s="40" t="str">
        <f aca="false">IF($Y1407="","",MAX($AA$3:AA1406)+1)</f>
        <v/>
      </c>
      <c r="AB1407" s="40" t="str">
        <f aca="false">IF($F1407="","",$F1407&amp;"#"&amp;COUNTIF($F$4:$F1407,$F1407))</f>
        <v/>
      </c>
      <c r="AC1407" s="40" t="str">
        <f aca="false">IF($B1407="","",IF(AND(OR(CETAK!$J$10="",$F1407=CETAK!$J$10),OR(CETAK!$J$11="",$G1407=CETAK!$J$11),OR(CETAK!$J$12="",$P1407=CETAK!$J$12),OR(CETAK!$J$13="",$N1407=CETAK!$J$13),OR(CETAK!$J$14="",$T1407=CETAK!$J$14)),MAX($AC$3:AC1406)+1,""))</f>
        <v/>
      </c>
      <c r="AD1407" s="40" t="str">
        <f aca="false">IF($B1407="","",IF(AND(OR(ABSENSI!$H$10="",$F1407=ABSENSI!$H$10),OR(ABSENSI!$H$11="",$G1407=ABSENSI!$H$11),OR(ABSENSI!$H$12="",$P1407=ABSENSI!$H$12)),MAX($AD$3:AD1406)+1,""))</f>
        <v/>
      </c>
      <c r="AE1407" s="40" t="str">
        <f aca="false">IF($B1407="","",IF(AND(OR(KARTU!$K$6="",$F1407=KARTU!$K$6),OR(KARTU!$K$7="",$G1407=KARTU!$K$7),OR(KARTU!$K$8="",$P1407=KARTU!$K$8)),MAX($AE$3:AE1406)+1,""))</f>
        <v/>
      </c>
    </row>
    <row r="1408" customFormat="false" ht="15" hidden="false" customHeight="false" outlineLevel="0" collapsed="false">
      <c r="A1408" s="35" t="str">
        <f aca="false">IF($B1408="","",COUNTA($B$4:$B1408))</f>
        <v/>
      </c>
      <c r="B1408" s="36"/>
      <c r="C1408" s="37"/>
      <c r="D1408" s="37"/>
      <c r="E1408" s="38"/>
      <c r="F1408" s="36"/>
      <c r="G1408" s="39"/>
      <c r="H1408" s="39"/>
      <c r="I1408" s="36"/>
      <c r="J1408" s="36"/>
      <c r="K1408" s="36"/>
      <c r="L1408" s="36"/>
      <c r="M1408" s="40" t="str">
        <f aca="false">IF($F1408="","",$F1408&amp;IF($G1408="",""," - RT "&amp;$G1408&amp;IF($H1408="","","/"&amp;$H1408)))</f>
        <v/>
      </c>
      <c r="N1408" s="36"/>
      <c r="O1408" s="37"/>
      <c r="P1408" s="39"/>
      <c r="Q1408" s="41"/>
      <c r="R1408" s="35" t="str">
        <f aca="true">IF(OR($B1408="",$Q1408=""),"",DATEDIF($Q1408,TODAY(),"Y"))</f>
        <v/>
      </c>
      <c r="S1408" s="40" t="str">
        <f aca="false">IF($R1408="","",INDEX(usia_label,MATCH($R1408,usia_min,1)))</f>
        <v/>
      </c>
      <c r="T1408" s="36"/>
      <c r="U1408" s="41"/>
      <c r="V1408" s="36"/>
      <c r="W1408" s="36"/>
      <c r="X1408" s="40" t="str">
        <f aca="false">IF($M1408="","",$M1408&amp;"#"&amp;COUNTIF($M$4:$M1408,$M1408))</f>
        <v/>
      </c>
      <c r="Y1408" s="40" t="str">
        <f aca="false">IF($B1408="","",IF($C1408="","NIK kosong",IF(LEN($C1408)&lt;&gt;16,"NIK bukan 16 digit",IF(COUNTIF($C$4:$C$2003,$C1408&amp;"*")&gt;1,"NIK ganda",IF(AND($D1408&lt;&gt;"",LEN($D1408)&lt;&gt;16),"No. KK bukan 16 digit",IF(AND($F1408="",$I1408=""),"Alamat kosong",IF($N1408="","Jabatan kosong",IF($O1408="","No. HP kosong",IF(AND($R1408&lt;&gt;"",$R1408&lt;17),"Usia di bawah 17","")))))))))</f>
        <v/>
      </c>
      <c r="Z1408" s="40" t="str">
        <f aca="false">IF($B1408="","",IF(AND(OR(CARI!$C$5="",ISNUMBER(SEARCH(CARI!$C$5,$B1408&amp;" "&amp;$C1408&amp;" "&amp;$D1408&amp;" "&amp;$O1408&amp;" "&amp;$I1408&amp;" "&amp;$F1408&amp;" "&amp;$J1408&amp;" "&amp;$K1408&amp;" "&amp;$L1408&amp;" "&amp;$V1408))),OR(CARI!$C$6="",$F1408=CARI!$C$6),OR(CARI!$C$7="",$G1408=CARI!$C$7),OR(CARI!$C$8="",$T1408=CARI!$C$8)),MAX($Z$3:Z1407)+1,""))</f>
        <v/>
      </c>
      <c r="AA1408" s="40" t="str">
        <f aca="false">IF($Y1408="","",MAX($AA$3:AA1407)+1)</f>
        <v/>
      </c>
      <c r="AB1408" s="40" t="str">
        <f aca="false">IF($F1408="","",$F1408&amp;"#"&amp;COUNTIF($F$4:$F1408,$F1408))</f>
        <v/>
      </c>
      <c r="AC1408" s="40" t="str">
        <f aca="false">IF($B1408="","",IF(AND(OR(CETAK!$J$10="",$F1408=CETAK!$J$10),OR(CETAK!$J$11="",$G1408=CETAK!$J$11),OR(CETAK!$J$12="",$P1408=CETAK!$J$12),OR(CETAK!$J$13="",$N1408=CETAK!$J$13),OR(CETAK!$J$14="",$T1408=CETAK!$J$14)),MAX($AC$3:AC1407)+1,""))</f>
        <v/>
      </c>
      <c r="AD1408" s="40" t="str">
        <f aca="false">IF($B1408="","",IF(AND(OR(ABSENSI!$H$10="",$F1408=ABSENSI!$H$10),OR(ABSENSI!$H$11="",$G1408=ABSENSI!$H$11),OR(ABSENSI!$H$12="",$P1408=ABSENSI!$H$12)),MAX($AD$3:AD1407)+1,""))</f>
        <v/>
      </c>
      <c r="AE1408" s="40" t="str">
        <f aca="false">IF($B1408="","",IF(AND(OR(KARTU!$K$6="",$F1408=KARTU!$K$6),OR(KARTU!$K$7="",$G1408=KARTU!$K$7),OR(KARTU!$K$8="",$P1408=KARTU!$K$8)),MAX($AE$3:AE1407)+1,""))</f>
        <v/>
      </c>
    </row>
    <row r="1409" customFormat="false" ht="15" hidden="false" customHeight="false" outlineLevel="0" collapsed="false">
      <c r="A1409" s="35" t="str">
        <f aca="false">IF($B1409="","",COUNTA($B$4:$B1409))</f>
        <v/>
      </c>
      <c r="B1409" s="36"/>
      <c r="C1409" s="37"/>
      <c r="D1409" s="37"/>
      <c r="E1409" s="38"/>
      <c r="F1409" s="36"/>
      <c r="G1409" s="39"/>
      <c r="H1409" s="39"/>
      <c r="I1409" s="36"/>
      <c r="J1409" s="36"/>
      <c r="K1409" s="36"/>
      <c r="L1409" s="36"/>
      <c r="M1409" s="40" t="str">
        <f aca="false">IF($F1409="","",$F1409&amp;IF($G1409="",""," - RT "&amp;$G1409&amp;IF($H1409="","","/"&amp;$H1409)))</f>
        <v/>
      </c>
      <c r="N1409" s="36"/>
      <c r="O1409" s="37"/>
      <c r="P1409" s="39"/>
      <c r="Q1409" s="41"/>
      <c r="R1409" s="35" t="str">
        <f aca="true">IF(OR($B1409="",$Q1409=""),"",DATEDIF($Q1409,TODAY(),"Y"))</f>
        <v/>
      </c>
      <c r="S1409" s="40" t="str">
        <f aca="false">IF($R1409="","",INDEX(usia_label,MATCH($R1409,usia_min,1)))</f>
        <v/>
      </c>
      <c r="T1409" s="36"/>
      <c r="U1409" s="41"/>
      <c r="V1409" s="36"/>
      <c r="W1409" s="36"/>
      <c r="X1409" s="40" t="str">
        <f aca="false">IF($M1409="","",$M1409&amp;"#"&amp;COUNTIF($M$4:$M1409,$M1409))</f>
        <v/>
      </c>
      <c r="Y1409" s="40" t="str">
        <f aca="false">IF($B1409="","",IF($C1409="","NIK kosong",IF(LEN($C1409)&lt;&gt;16,"NIK bukan 16 digit",IF(COUNTIF($C$4:$C$2003,$C1409&amp;"*")&gt;1,"NIK ganda",IF(AND($D1409&lt;&gt;"",LEN($D1409)&lt;&gt;16),"No. KK bukan 16 digit",IF(AND($F1409="",$I1409=""),"Alamat kosong",IF($N1409="","Jabatan kosong",IF($O1409="","No. HP kosong",IF(AND($R1409&lt;&gt;"",$R1409&lt;17),"Usia di bawah 17","")))))))))</f>
        <v/>
      </c>
      <c r="Z1409" s="40" t="str">
        <f aca="false">IF($B1409="","",IF(AND(OR(CARI!$C$5="",ISNUMBER(SEARCH(CARI!$C$5,$B1409&amp;" "&amp;$C1409&amp;" "&amp;$D1409&amp;" "&amp;$O1409&amp;" "&amp;$I1409&amp;" "&amp;$F1409&amp;" "&amp;$J1409&amp;" "&amp;$K1409&amp;" "&amp;$L1409&amp;" "&amp;$V1409))),OR(CARI!$C$6="",$F1409=CARI!$C$6),OR(CARI!$C$7="",$G1409=CARI!$C$7),OR(CARI!$C$8="",$T1409=CARI!$C$8)),MAX($Z$3:Z1408)+1,""))</f>
        <v/>
      </c>
      <c r="AA1409" s="40" t="str">
        <f aca="false">IF($Y1409="","",MAX($AA$3:AA1408)+1)</f>
        <v/>
      </c>
      <c r="AB1409" s="40" t="str">
        <f aca="false">IF($F1409="","",$F1409&amp;"#"&amp;COUNTIF($F$4:$F1409,$F1409))</f>
        <v/>
      </c>
      <c r="AC1409" s="40" t="str">
        <f aca="false">IF($B1409="","",IF(AND(OR(CETAK!$J$10="",$F1409=CETAK!$J$10),OR(CETAK!$J$11="",$G1409=CETAK!$J$11),OR(CETAK!$J$12="",$P1409=CETAK!$J$12),OR(CETAK!$J$13="",$N1409=CETAK!$J$13),OR(CETAK!$J$14="",$T1409=CETAK!$J$14)),MAX($AC$3:AC1408)+1,""))</f>
        <v/>
      </c>
      <c r="AD1409" s="40" t="str">
        <f aca="false">IF($B1409="","",IF(AND(OR(ABSENSI!$H$10="",$F1409=ABSENSI!$H$10),OR(ABSENSI!$H$11="",$G1409=ABSENSI!$H$11),OR(ABSENSI!$H$12="",$P1409=ABSENSI!$H$12)),MAX($AD$3:AD1408)+1,""))</f>
        <v/>
      </c>
      <c r="AE1409" s="40" t="str">
        <f aca="false">IF($B1409="","",IF(AND(OR(KARTU!$K$6="",$F1409=KARTU!$K$6),OR(KARTU!$K$7="",$G1409=KARTU!$K$7),OR(KARTU!$K$8="",$P1409=KARTU!$K$8)),MAX($AE$3:AE1408)+1,""))</f>
        <v/>
      </c>
    </row>
    <row r="1410" customFormat="false" ht="15" hidden="false" customHeight="false" outlineLevel="0" collapsed="false">
      <c r="A1410" s="35" t="str">
        <f aca="false">IF($B1410="","",COUNTA($B$4:$B1410))</f>
        <v/>
      </c>
      <c r="B1410" s="36"/>
      <c r="C1410" s="37"/>
      <c r="D1410" s="37"/>
      <c r="E1410" s="38"/>
      <c r="F1410" s="36"/>
      <c r="G1410" s="39"/>
      <c r="H1410" s="39"/>
      <c r="I1410" s="36"/>
      <c r="J1410" s="36"/>
      <c r="K1410" s="36"/>
      <c r="L1410" s="36"/>
      <c r="M1410" s="40" t="str">
        <f aca="false">IF($F1410="","",$F1410&amp;IF($G1410="",""," - RT "&amp;$G1410&amp;IF($H1410="","","/"&amp;$H1410)))</f>
        <v/>
      </c>
      <c r="N1410" s="36"/>
      <c r="O1410" s="37"/>
      <c r="P1410" s="39"/>
      <c r="Q1410" s="41"/>
      <c r="R1410" s="35" t="str">
        <f aca="true">IF(OR($B1410="",$Q1410=""),"",DATEDIF($Q1410,TODAY(),"Y"))</f>
        <v/>
      </c>
      <c r="S1410" s="40" t="str">
        <f aca="false">IF($R1410="","",INDEX(usia_label,MATCH($R1410,usia_min,1)))</f>
        <v/>
      </c>
      <c r="T1410" s="36"/>
      <c r="U1410" s="41"/>
      <c r="V1410" s="36"/>
      <c r="W1410" s="36"/>
      <c r="X1410" s="40" t="str">
        <f aca="false">IF($M1410="","",$M1410&amp;"#"&amp;COUNTIF($M$4:$M1410,$M1410))</f>
        <v/>
      </c>
      <c r="Y1410" s="40" t="str">
        <f aca="false">IF($B1410="","",IF($C1410="","NIK kosong",IF(LEN($C1410)&lt;&gt;16,"NIK bukan 16 digit",IF(COUNTIF($C$4:$C$2003,$C1410&amp;"*")&gt;1,"NIK ganda",IF(AND($D1410&lt;&gt;"",LEN($D1410)&lt;&gt;16),"No. KK bukan 16 digit",IF(AND($F1410="",$I1410=""),"Alamat kosong",IF($N1410="","Jabatan kosong",IF($O1410="","No. HP kosong",IF(AND($R1410&lt;&gt;"",$R1410&lt;17),"Usia di bawah 17","")))))))))</f>
        <v/>
      </c>
      <c r="Z1410" s="40" t="str">
        <f aca="false">IF($B1410="","",IF(AND(OR(CARI!$C$5="",ISNUMBER(SEARCH(CARI!$C$5,$B1410&amp;" "&amp;$C1410&amp;" "&amp;$D1410&amp;" "&amp;$O1410&amp;" "&amp;$I1410&amp;" "&amp;$F1410&amp;" "&amp;$J1410&amp;" "&amp;$K1410&amp;" "&amp;$L1410&amp;" "&amp;$V1410))),OR(CARI!$C$6="",$F1410=CARI!$C$6),OR(CARI!$C$7="",$G1410=CARI!$C$7),OR(CARI!$C$8="",$T1410=CARI!$C$8)),MAX($Z$3:Z1409)+1,""))</f>
        <v/>
      </c>
      <c r="AA1410" s="40" t="str">
        <f aca="false">IF($Y1410="","",MAX($AA$3:AA1409)+1)</f>
        <v/>
      </c>
      <c r="AB1410" s="40" t="str">
        <f aca="false">IF($F1410="","",$F1410&amp;"#"&amp;COUNTIF($F$4:$F1410,$F1410))</f>
        <v/>
      </c>
      <c r="AC1410" s="40" t="str">
        <f aca="false">IF($B1410="","",IF(AND(OR(CETAK!$J$10="",$F1410=CETAK!$J$10),OR(CETAK!$J$11="",$G1410=CETAK!$J$11),OR(CETAK!$J$12="",$P1410=CETAK!$J$12),OR(CETAK!$J$13="",$N1410=CETAK!$J$13),OR(CETAK!$J$14="",$T1410=CETAK!$J$14)),MAX($AC$3:AC1409)+1,""))</f>
        <v/>
      </c>
      <c r="AD1410" s="40" t="str">
        <f aca="false">IF($B1410="","",IF(AND(OR(ABSENSI!$H$10="",$F1410=ABSENSI!$H$10),OR(ABSENSI!$H$11="",$G1410=ABSENSI!$H$11),OR(ABSENSI!$H$12="",$P1410=ABSENSI!$H$12)),MAX($AD$3:AD1409)+1,""))</f>
        <v/>
      </c>
      <c r="AE1410" s="40" t="str">
        <f aca="false">IF($B1410="","",IF(AND(OR(KARTU!$K$6="",$F1410=KARTU!$K$6),OR(KARTU!$K$7="",$G1410=KARTU!$K$7),OR(KARTU!$K$8="",$P1410=KARTU!$K$8)),MAX($AE$3:AE1409)+1,""))</f>
        <v/>
      </c>
    </row>
    <row r="1411" customFormat="false" ht="15" hidden="false" customHeight="false" outlineLevel="0" collapsed="false">
      <c r="A1411" s="35" t="str">
        <f aca="false">IF($B1411="","",COUNTA($B$4:$B1411))</f>
        <v/>
      </c>
      <c r="B1411" s="36"/>
      <c r="C1411" s="37"/>
      <c r="D1411" s="37"/>
      <c r="E1411" s="38"/>
      <c r="F1411" s="36"/>
      <c r="G1411" s="39"/>
      <c r="H1411" s="39"/>
      <c r="I1411" s="36"/>
      <c r="J1411" s="36"/>
      <c r="K1411" s="36"/>
      <c r="L1411" s="36"/>
      <c r="M1411" s="40" t="str">
        <f aca="false">IF($F1411="","",$F1411&amp;IF($G1411="",""," - RT "&amp;$G1411&amp;IF($H1411="","","/"&amp;$H1411)))</f>
        <v/>
      </c>
      <c r="N1411" s="36"/>
      <c r="O1411" s="37"/>
      <c r="P1411" s="39"/>
      <c r="Q1411" s="41"/>
      <c r="R1411" s="35" t="str">
        <f aca="true">IF(OR($B1411="",$Q1411=""),"",DATEDIF($Q1411,TODAY(),"Y"))</f>
        <v/>
      </c>
      <c r="S1411" s="40" t="str">
        <f aca="false">IF($R1411="","",INDEX(usia_label,MATCH($R1411,usia_min,1)))</f>
        <v/>
      </c>
      <c r="T1411" s="36"/>
      <c r="U1411" s="41"/>
      <c r="V1411" s="36"/>
      <c r="W1411" s="36"/>
      <c r="X1411" s="40" t="str">
        <f aca="false">IF($M1411="","",$M1411&amp;"#"&amp;COUNTIF($M$4:$M1411,$M1411))</f>
        <v/>
      </c>
      <c r="Y1411" s="40" t="str">
        <f aca="false">IF($B1411="","",IF($C1411="","NIK kosong",IF(LEN($C1411)&lt;&gt;16,"NIK bukan 16 digit",IF(COUNTIF($C$4:$C$2003,$C1411&amp;"*")&gt;1,"NIK ganda",IF(AND($D1411&lt;&gt;"",LEN($D1411)&lt;&gt;16),"No. KK bukan 16 digit",IF(AND($F1411="",$I1411=""),"Alamat kosong",IF($N1411="","Jabatan kosong",IF($O1411="","No. HP kosong",IF(AND($R1411&lt;&gt;"",$R1411&lt;17),"Usia di bawah 17","")))))))))</f>
        <v/>
      </c>
      <c r="Z1411" s="40" t="str">
        <f aca="false">IF($B1411="","",IF(AND(OR(CARI!$C$5="",ISNUMBER(SEARCH(CARI!$C$5,$B1411&amp;" "&amp;$C1411&amp;" "&amp;$D1411&amp;" "&amp;$O1411&amp;" "&amp;$I1411&amp;" "&amp;$F1411&amp;" "&amp;$J1411&amp;" "&amp;$K1411&amp;" "&amp;$L1411&amp;" "&amp;$V1411))),OR(CARI!$C$6="",$F1411=CARI!$C$6),OR(CARI!$C$7="",$G1411=CARI!$C$7),OR(CARI!$C$8="",$T1411=CARI!$C$8)),MAX($Z$3:Z1410)+1,""))</f>
        <v/>
      </c>
      <c r="AA1411" s="40" t="str">
        <f aca="false">IF($Y1411="","",MAX($AA$3:AA1410)+1)</f>
        <v/>
      </c>
      <c r="AB1411" s="40" t="str">
        <f aca="false">IF($F1411="","",$F1411&amp;"#"&amp;COUNTIF($F$4:$F1411,$F1411))</f>
        <v/>
      </c>
      <c r="AC1411" s="40" t="str">
        <f aca="false">IF($B1411="","",IF(AND(OR(CETAK!$J$10="",$F1411=CETAK!$J$10),OR(CETAK!$J$11="",$G1411=CETAK!$J$11),OR(CETAK!$J$12="",$P1411=CETAK!$J$12),OR(CETAK!$J$13="",$N1411=CETAK!$J$13),OR(CETAK!$J$14="",$T1411=CETAK!$J$14)),MAX($AC$3:AC1410)+1,""))</f>
        <v/>
      </c>
      <c r="AD1411" s="40" t="str">
        <f aca="false">IF($B1411="","",IF(AND(OR(ABSENSI!$H$10="",$F1411=ABSENSI!$H$10),OR(ABSENSI!$H$11="",$G1411=ABSENSI!$H$11),OR(ABSENSI!$H$12="",$P1411=ABSENSI!$H$12)),MAX($AD$3:AD1410)+1,""))</f>
        <v/>
      </c>
      <c r="AE1411" s="40" t="str">
        <f aca="false">IF($B1411="","",IF(AND(OR(KARTU!$K$6="",$F1411=KARTU!$K$6),OR(KARTU!$K$7="",$G1411=KARTU!$K$7),OR(KARTU!$K$8="",$P1411=KARTU!$K$8)),MAX($AE$3:AE1410)+1,""))</f>
        <v/>
      </c>
    </row>
    <row r="1412" customFormat="false" ht="15" hidden="false" customHeight="false" outlineLevel="0" collapsed="false">
      <c r="A1412" s="35" t="str">
        <f aca="false">IF($B1412="","",COUNTA($B$4:$B1412))</f>
        <v/>
      </c>
      <c r="B1412" s="36"/>
      <c r="C1412" s="37"/>
      <c r="D1412" s="37"/>
      <c r="E1412" s="38"/>
      <c r="F1412" s="36"/>
      <c r="G1412" s="39"/>
      <c r="H1412" s="39"/>
      <c r="I1412" s="36"/>
      <c r="J1412" s="36"/>
      <c r="K1412" s="36"/>
      <c r="L1412" s="36"/>
      <c r="M1412" s="40" t="str">
        <f aca="false">IF($F1412="","",$F1412&amp;IF($G1412="",""," - RT "&amp;$G1412&amp;IF($H1412="","","/"&amp;$H1412)))</f>
        <v/>
      </c>
      <c r="N1412" s="36"/>
      <c r="O1412" s="37"/>
      <c r="P1412" s="39"/>
      <c r="Q1412" s="41"/>
      <c r="R1412" s="35" t="str">
        <f aca="true">IF(OR($B1412="",$Q1412=""),"",DATEDIF($Q1412,TODAY(),"Y"))</f>
        <v/>
      </c>
      <c r="S1412" s="40" t="str">
        <f aca="false">IF($R1412="","",INDEX(usia_label,MATCH($R1412,usia_min,1)))</f>
        <v/>
      </c>
      <c r="T1412" s="36"/>
      <c r="U1412" s="41"/>
      <c r="V1412" s="36"/>
      <c r="W1412" s="36"/>
      <c r="X1412" s="40" t="str">
        <f aca="false">IF($M1412="","",$M1412&amp;"#"&amp;COUNTIF($M$4:$M1412,$M1412))</f>
        <v/>
      </c>
      <c r="Y1412" s="40" t="str">
        <f aca="false">IF($B1412="","",IF($C1412="","NIK kosong",IF(LEN($C1412)&lt;&gt;16,"NIK bukan 16 digit",IF(COUNTIF($C$4:$C$2003,$C1412&amp;"*")&gt;1,"NIK ganda",IF(AND($D1412&lt;&gt;"",LEN($D1412)&lt;&gt;16),"No. KK bukan 16 digit",IF(AND($F1412="",$I1412=""),"Alamat kosong",IF($N1412="","Jabatan kosong",IF($O1412="","No. HP kosong",IF(AND($R1412&lt;&gt;"",$R1412&lt;17),"Usia di bawah 17","")))))))))</f>
        <v/>
      </c>
      <c r="Z1412" s="40" t="str">
        <f aca="false">IF($B1412="","",IF(AND(OR(CARI!$C$5="",ISNUMBER(SEARCH(CARI!$C$5,$B1412&amp;" "&amp;$C1412&amp;" "&amp;$D1412&amp;" "&amp;$O1412&amp;" "&amp;$I1412&amp;" "&amp;$F1412&amp;" "&amp;$J1412&amp;" "&amp;$K1412&amp;" "&amp;$L1412&amp;" "&amp;$V1412))),OR(CARI!$C$6="",$F1412=CARI!$C$6),OR(CARI!$C$7="",$G1412=CARI!$C$7),OR(CARI!$C$8="",$T1412=CARI!$C$8)),MAX($Z$3:Z1411)+1,""))</f>
        <v/>
      </c>
      <c r="AA1412" s="40" t="str">
        <f aca="false">IF($Y1412="","",MAX($AA$3:AA1411)+1)</f>
        <v/>
      </c>
      <c r="AB1412" s="40" t="str">
        <f aca="false">IF($F1412="","",$F1412&amp;"#"&amp;COUNTIF($F$4:$F1412,$F1412))</f>
        <v/>
      </c>
      <c r="AC1412" s="40" t="str">
        <f aca="false">IF($B1412="","",IF(AND(OR(CETAK!$J$10="",$F1412=CETAK!$J$10),OR(CETAK!$J$11="",$G1412=CETAK!$J$11),OR(CETAK!$J$12="",$P1412=CETAK!$J$12),OR(CETAK!$J$13="",$N1412=CETAK!$J$13),OR(CETAK!$J$14="",$T1412=CETAK!$J$14)),MAX($AC$3:AC1411)+1,""))</f>
        <v/>
      </c>
      <c r="AD1412" s="40" t="str">
        <f aca="false">IF($B1412="","",IF(AND(OR(ABSENSI!$H$10="",$F1412=ABSENSI!$H$10),OR(ABSENSI!$H$11="",$G1412=ABSENSI!$H$11),OR(ABSENSI!$H$12="",$P1412=ABSENSI!$H$12)),MAX($AD$3:AD1411)+1,""))</f>
        <v/>
      </c>
      <c r="AE1412" s="40" t="str">
        <f aca="false">IF($B1412="","",IF(AND(OR(KARTU!$K$6="",$F1412=KARTU!$K$6),OR(KARTU!$K$7="",$G1412=KARTU!$K$7),OR(KARTU!$K$8="",$P1412=KARTU!$K$8)),MAX($AE$3:AE1411)+1,""))</f>
        <v/>
      </c>
    </row>
    <row r="1413" customFormat="false" ht="15" hidden="false" customHeight="false" outlineLevel="0" collapsed="false">
      <c r="A1413" s="35" t="str">
        <f aca="false">IF($B1413="","",COUNTA($B$4:$B1413))</f>
        <v/>
      </c>
      <c r="B1413" s="36"/>
      <c r="C1413" s="37"/>
      <c r="D1413" s="37"/>
      <c r="E1413" s="38"/>
      <c r="F1413" s="36"/>
      <c r="G1413" s="39"/>
      <c r="H1413" s="39"/>
      <c r="I1413" s="36"/>
      <c r="J1413" s="36"/>
      <c r="K1413" s="36"/>
      <c r="L1413" s="36"/>
      <c r="M1413" s="40" t="str">
        <f aca="false">IF($F1413="","",$F1413&amp;IF($G1413="",""," - RT "&amp;$G1413&amp;IF($H1413="","","/"&amp;$H1413)))</f>
        <v/>
      </c>
      <c r="N1413" s="36"/>
      <c r="O1413" s="37"/>
      <c r="P1413" s="39"/>
      <c r="Q1413" s="41"/>
      <c r="R1413" s="35" t="str">
        <f aca="true">IF(OR($B1413="",$Q1413=""),"",DATEDIF($Q1413,TODAY(),"Y"))</f>
        <v/>
      </c>
      <c r="S1413" s="40" t="str">
        <f aca="false">IF($R1413="","",INDEX(usia_label,MATCH($R1413,usia_min,1)))</f>
        <v/>
      </c>
      <c r="T1413" s="36"/>
      <c r="U1413" s="41"/>
      <c r="V1413" s="36"/>
      <c r="W1413" s="36"/>
      <c r="X1413" s="40" t="str">
        <f aca="false">IF($M1413="","",$M1413&amp;"#"&amp;COUNTIF($M$4:$M1413,$M1413))</f>
        <v/>
      </c>
      <c r="Y1413" s="40" t="str">
        <f aca="false">IF($B1413="","",IF($C1413="","NIK kosong",IF(LEN($C1413)&lt;&gt;16,"NIK bukan 16 digit",IF(COUNTIF($C$4:$C$2003,$C1413&amp;"*")&gt;1,"NIK ganda",IF(AND($D1413&lt;&gt;"",LEN($D1413)&lt;&gt;16),"No. KK bukan 16 digit",IF(AND($F1413="",$I1413=""),"Alamat kosong",IF($N1413="","Jabatan kosong",IF($O1413="","No. HP kosong",IF(AND($R1413&lt;&gt;"",$R1413&lt;17),"Usia di bawah 17","")))))))))</f>
        <v/>
      </c>
      <c r="Z1413" s="40" t="str">
        <f aca="false">IF($B1413="","",IF(AND(OR(CARI!$C$5="",ISNUMBER(SEARCH(CARI!$C$5,$B1413&amp;" "&amp;$C1413&amp;" "&amp;$D1413&amp;" "&amp;$O1413&amp;" "&amp;$I1413&amp;" "&amp;$F1413&amp;" "&amp;$J1413&amp;" "&amp;$K1413&amp;" "&amp;$L1413&amp;" "&amp;$V1413))),OR(CARI!$C$6="",$F1413=CARI!$C$6),OR(CARI!$C$7="",$G1413=CARI!$C$7),OR(CARI!$C$8="",$T1413=CARI!$C$8)),MAX($Z$3:Z1412)+1,""))</f>
        <v/>
      </c>
      <c r="AA1413" s="40" t="str">
        <f aca="false">IF($Y1413="","",MAX($AA$3:AA1412)+1)</f>
        <v/>
      </c>
      <c r="AB1413" s="40" t="str">
        <f aca="false">IF($F1413="","",$F1413&amp;"#"&amp;COUNTIF($F$4:$F1413,$F1413))</f>
        <v/>
      </c>
      <c r="AC1413" s="40" t="str">
        <f aca="false">IF($B1413="","",IF(AND(OR(CETAK!$J$10="",$F1413=CETAK!$J$10),OR(CETAK!$J$11="",$G1413=CETAK!$J$11),OR(CETAK!$J$12="",$P1413=CETAK!$J$12),OR(CETAK!$J$13="",$N1413=CETAK!$J$13),OR(CETAK!$J$14="",$T1413=CETAK!$J$14)),MAX($AC$3:AC1412)+1,""))</f>
        <v/>
      </c>
      <c r="AD1413" s="40" t="str">
        <f aca="false">IF($B1413="","",IF(AND(OR(ABSENSI!$H$10="",$F1413=ABSENSI!$H$10),OR(ABSENSI!$H$11="",$G1413=ABSENSI!$H$11),OR(ABSENSI!$H$12="",$P1413=ABSENSI!$H$12)),MAX($AD$3:AD1412)+1,""))</f>
        <v/>
      </c>
      <c r="AE1413" s="40" t="str">
        <f aca="false">IF($B1413="","",IF(AND(OR(KARTU!$K$6="",$F1413=KARTU!$K$6),OR(KARTU!$K$7="",$G1413=KARTU!$K$7),OR(KARTU!$K$8="",$P1413=KARTU!$K$8)),MAX($AE$3:AE1412)+1,""))</f>
        <v/>
      </c>
    </row>
    <row r="1414" customFormat="false" ht="15" hidden="false" customHeight="false" outlineLevel="0" collapsed="false">
      <c r="A1414" s="35" t="str">
        <f aca="false">IF($B1414="","",COUNTA($B$4:$B1414))</f>
        <v/>
      </c>
      <c r="B1414" s="36"/>
      <c r="C1414" s="37"/>
      <c r="D1414" s="37"/>
      <c r="E1414" s="38"/>
      <c r="F1414" s="36"/>
      <c r="G1414" s="39"/>
      <c r="H1414" s="39"/>
      <c r="I1414" s="36"/>
      <c r="J1414" s="36"/>
      <c r="K1414" s="36"/>
      <c r="L1414" s="36"/>
      <c r="M1414" s="40" t="str">
        <f aca="false">IF($F1414="","",$F1414&amp;IF($G1414="",""," - RT "&amp;$G1414&amp;IF($H1414="","","/"&amp;$H1414)))</f>
        <v/>
      </c>
      <c r="N1414" s="36"/>
      <c r="O1414" s="37"/>
      <c r="P1414" s="39"/>
      <c r="Q1414" s="41"/>
      <c r="R1414" s="35" t="str">
        <f aca="true">IF(OR($B1414="",$Q1414=""),"",DATEDIF($Q1414,TODAY(),"Y"))</f>
        <v/>
      </c>
      <c r="S1414" s="40" t="str">
        <f aca="false">IF($R1414="","",INDEX(usia_label,MATCH($R1414,usia_min,1)))</f>
        <v/>
      </c>
      <c r="T1414" s="36"/>
      <c r="U1414" s="41"/>
      <c r="V1414" s="36"/>
      <c r="W1414" s="36"/>
      <c r="X1414" s="40" t="str">
        <f aca="false">IF($M1414="","",$M1414&amp;"#"&amp;COUNTIF($M$4:$M1414,$M1414))</f>
        <v/>
      </c>
      <c r="Y1414" s="40" t="str">
        <f aca="false">IF($B1414="","",IF($C1414="","NIK kosong",IF(LEN($C1414)&lt;&gt;16,"NIK bukan 16 digit",IF(COUNTIF($C$4:$C$2003,$C1414&amp;"*")&gt;1,"NIK ganda",IF(AND($D1414&lt;&gt;"",LEN($D1414)&lt;&gt;16),"No. KK bukan 16 digit",IF(AND($F1414="",$I1414=""),"Alamat kosong",IF($N1414="","Jabatan kosong",IF($O1414="","No. HP kosong",IF(AND($R1414&lt;&gt;"",$R1414&lt;17),"Usia di bawah 17","")))))))))</f>
        <v/>
      </c>
      <c r="Z1414" s="40" t="str">
        <f aca="false">IF($B1414="","",IF(AND(OR(CARI!$C$5="",ISNUMBER(SEARCH(CARI!$C$5,$B1414&amp;" "&amp;$C1414&amp;" "&amp;$D1414&amp;" "&amp;$O1414&amp;" "&amp;$I1414&amp;" "&amp;$F1414&amp;" "&amp;$J1414&amp;" "&amp;$K1414&amp;" "&amp;$L1414&amp;" "&amp;$V1414))),OR(CARI!$C$6="",$F1414=CARI!$C$6),OR(CARI!$C$7="",$G1414=CARI!$C$7),OR(CARI!$C$8="",$T1414=CARI!$C$8)),MAX($Z$3:Z1413)+1,""))</f>
        <v/>
      </c>
      <c r="AA1414" s="40" t="str">
        <f aca="false">IF($Y1414="","",MAX($AA$3:AA1413)+1)</f>
        <v/>
      </c>
      <c r="AB1414" s="40" t="str">
        <f aca="false">IF($F1414="","",$F1414&amp;"#"&amp;COUNTIF($F$4:$F1414,$F1414))</f>
        <v/>
      </c>
      <c r="AC1414" s="40" t="str">
        <f aca="false">IF($B1414="","",IF(AND(OR(CETAK!$J$10="",$F1414=CETAK!$J$10),OR(CETAK!$J$11="",$G1414=CETAK!$J$11),OR(CETAK!$J$12="",$P1414=CETAK!$J$12),OR(CETAK!$J$13="",$N1414=CETAK!$J$13),OR(CETAK!$J$14="",$T1414=CETAK!$J$14)),MAX($AC$3:AC1413)+1,""))</f>
        <v/>
      </c>
      <c r="AD1414" s="40" t="str">
        <f aca="false">IF($B1414="","",IF(AND(OR(ABSENSI!$H$10="",$F1414=ABSENSI!$H$10),OR(ABSENSI!$H$11="",$G1414=ABSENSI!$H$11),OR(ABSENSI!$H$12="",$P1414=ABSENSI!$H$12)),MAX($AD$3:AD1413)+1,""))</f>
        <v/>
      </c>
      <c r="AE1414" s="40" t="str">
        <f aca="false">IF($B1414="","",IF(AND(OR(KARTU!$K$6="",$F1414=KARTU!$K$6),OR(KARTU!$K$7="",$G1414=KARTU!$K$7),OR(KARTU!$K$8="",$P1414=KARTU!$K$8)),MAX($AE$3:AE1413)+1,""))</f>
        <v/>
      </c>
    </row>
    <row r="1415" customFormat="false" ht="15" hidden="false" customHeight="false" outlineLevel="0" collapsed="false">
      <c r="A1415" s="35" t="str">
        <f aca="false">IF($B1415="","",COUNTA($B$4:$B1415))</f>
        <v/>
      </c>
      <c r="B1415" s="36"/>
      <c r="C1415" s="37"/>
      <c r="D1415" s="37"/>
      <c r="E1415" s="38"/>
      <c r="F1415" s="36"/>
      <c r="G1415" s="39"/>
      <c r="H1415" s="39"/>
      <c r="I1415" s="36"/>
      <c r="J1415" s="36"/>
      <c r="K1415" s="36"/>
      <c r="L1415" s="36"/>
      <c r="M1415" s="40" t="str">
        <f aca="false">IF($F1415="","",$F1415&amp;IF($G1415="",""," - RT "&amp;$G1415&amp;IF($H1415="","","/"&amp;$H1415)))</f>
        <v/>
      </c>
      <c r="N1415" s="36"/>
      <c r="O1415" s="37"/>
      <c r="P1415" s="39"/>
      <c r="Q1415" s="41"/>
      <c r="R1415" s="35" t="str">
        <f aca="true">IF(OR($B1415="",$Q1415=""),"",DATEDIF($Q1415,TODAY(),"Y"))</f>
        <v/>
      </c>
      <c r="S1415" s="40" t="str">
        <f aca="false">IF($R1415="","",INDEX(usia_label,MATCH($R1415,usia_min,1)))</f>
        <v/>
      </c>
      <c r="T1415" s="36"/>
      <c r="U1415" s="41"/>
      <c r="V1415" s="36"/>
      <c r="W1415" s="36"/>
      <c r="X1415" s="40" t="str">
        <f aca="false">IF($M1415="","",$M1415&amp;"#"&amp;COUNTIF($M$4:$M1415,$M1415))</f>
        <v/>
      </c>
      <c r="Y1415" s="40" t="str">
        <f aca="false">IF($B1415="","",IF($C1415="","NIK kosong",IF(LEN($C1415)&lt;&gt;16,"NIK bukan 16 digit",IF(COUNTIF($C$4:$C$2003,$C1415&amp;"*")&gt;1,"NIK ganda",IF(AND($D1415&lt;&gt;"",LEN($D1415)&lt;&gt;16),"No. KK bukan 16 digit",IF(AND($F1415="",$I1415=""),"Alamat kosong",IF($N1415="","Jabatan kosong",IF($O1415="","No. HP kosong",IF(AND($R1415&lt;&gt;"",$R1415&lt;17),"Usia di bawah 17","")))))))))</f>
        <v/>
      </c>
      <c r="Z1415" s="40" t="str">
        <f aca="false">IF($B1415="","",IF(AND(OR(CARI!$C$5="",ISNUMBER(SEARCH(CARI!$C$5,$B1415&amp;" "&amp;$C1415&amp;" "&amp;$D1415&amp;" "&amp;$O1415&amp;" "&amp;$I1415&amp;" "&amp;$F1415&amp;" "&amp;$J1415&amp;" "&amp;$K1415&amp;" "&amp;$L1415&amp;" "&amp;$V1415))),OR(CARI!$C$6="",$F1415=CARI!$C$6),OR(CARI!$C$7="",$G1415=CARI!$C$7),OR(CARI!$C$8="",$T1415=CARI!$C$8)),MAX($Z$3:Z1414)+1,""))</f>
        <v/>
      </c>
      <c r="AA1415" s="40" t="str">
        <f aca="false">IF($Y1415="","",MAX($AA$3:AA1414)+1)</f>
        <v/>
      </c>
      <c r="AB1415" s="40" t="str">
        <f aca="false">IF($F1415="","",$F1415&amp;"#"&amp;COUNTIF($F$4:$F1415,$F1415))</f>
        <v/>
      </c>
      <c r="AC1415" s="40" t="str">
        <f aca="false">IF($B1415="","",IF(AND(OR(CETAK!$J$10="",$F1415=CETAK!$J$10),OR(CETAK!$J$11="",$G1415=CETAK!$J$11),OR(CETAK!$J$12="",$P1415=CETAK!$J$12),OR(CETAK!$J$13="",$N1415=CETAK!$J$13),OR(CETAK!$J$14="",$T1415=CETAK!$J$14)),MAX($AC$3:AC1414)+1,""))</f>
        <v/>
      </c>
      <c r="AD1415" s="40" t="str">
        <f aca="false">IF($B1415="","",IF(AND(OR(ABSENSI!$H$10="",$F1415=ABSENSI!$H$10),OR(ABSENSI!$H$11="",$G1415=ABSENSI!$H$11),OR(ABSENSI!$H$12="",$P1415=ABSENSI!$H$12)),MAX($AD$3:AD1414)+1,""))</f>
        <v/>
      </c>
      <c r="AE1415" s="40" t="str">
        <f aca="false">IF($B1415="","",IF(AND(OR(KARTU!$K$6="",$F1415=KARTU!$K$6),OR(KARTU!$K$7="",$G1415=KARTU!$K$7),OR(KARTU!$K$8="",$P1415=KARTU!$K$8)),MAX($AE$3:AE1414)+1,""))</f>
        <v/>
      </c>
    </row>
    <row r="1416" customFormat="false" ht="15" hidden="false" customHeight="false" outlineLevel="0" collapsed="false">
      <c r="A1416" s="35" t="str">
        <f aca="false">IF($B1416="","",COUNTA($B$4:$B1416))</f>
        <v/>
      </c>
      <c r="B1416" s="36"/>
      <c r="C1416" s="37"/>
      <c r="D1416" s="37"/>
      <c r="E1416" s="38"/>
      <c r="F1416" s="36"/>
      <c r="G1416" s="39"/>
      <c r="H1416" s="39"/>
      <c r="I1416" s="36"/>
      <c r="J1416" s="36"/>
      <c r="K1416" s="36"/>
      <c r="L1416" s="36"/>
      <c r="M1416" s="40" t="str">
        <f aca="false">IF($F1416="","",$F1416&amp;IF($G1416="",""," - RT "&amp;$G1416&amp;IF($H1416="","","/"&amp;$H1416)))</f>
        <v/>
      </c>
      <c r="N1416" s="36"/>
      <c r="O1416" s="37"/>
      <c r="P1416" s="39"/>
      <c r="Q1416" s="41"/>
      <c r="R1416" s="35" t="str">
        <f aca="true">IF(OR($B1416="",$Q1416=""),"",DATEDIF($Q1416,TODAY(),"Y"))</f>
        <v/>
      </c>
      <c r="S1416" s="40" t="str">
        <f aca="false">IF($R1416="","",INDEX(usia_label,MATCH($R1416,usia_min,1)))</f>
        <v/>
      </c>
      <c r="T1416" s="36"/>
      <c r="U1416" s="41"/>
      <c r="V1416" s="36"/>
      <c r="W1416" s="36"/>
      <c r="X1416" s="40" t="str">
        <f aca="false">IF($M1416="","",$M1416&amp;"#"&amp;COUNTIF($M$4:$M1416,$M1416))</f>
        <v/>
      </c>
      <c r="Y1416" s="40" t="str">
        <f aca="false">IF($B1416="","",IF($C1416="","NIK kosong",IF(LEN($C1416)&lt;&gt;16,"NIK bukan 16 digit",IF(COUNTIF($C$4:$C$2003,$C1416&amp;"*")&gt;1,"NIK ganda",IF(AND($D1416&lt;&gt;"",LEN($D1416)&lt;&gt;16),"No. KK bukan 16 digit",IF(AND($F1416="",$I1416=""),"Alamat kosong",IF($N1416="","Jabatan kosong",IF($O1416="","No. HP kosong",IF(AND($R1416&lt;&gt;"",$R1416&lt;17),"Usia di bawah 17","")))))))))</f>
        <v/>
      </c>
      <c r="Z1416" s="40" t="str">
        <f aca="false">IF($B1416="","",IF(AND(OR(CARI!$C$5="",ISNUMBER(SEARCH(CARI!$C$5,$B1416&amp;" "&amp;$C1416&amp;" "&amp;$D1416&amp;" "&amp;$O1416&amp;" "&amp;$I1416&amp;" "&amp;$F1416&amp;" "&amp;$J1416&amp;" "&amp;$K1416&amp;" "&amp;$L1416&amp;" "&amp;$V1416))),OR(CARI!$C$6="",$F1416=CARI!$C$6),OR(CARI!$C$7="",$G1416=CARI!$C$7),OR(CARI!$C$8="",$T1416=CARI!$C$8)),MAX($Z$3:Z1415)+1,""))</f>
        <v/>
      </c>
      <c r="AA1416" s="40" t="str">
        <f aca="false">IF($Y1416="","",MAX($AA$3:AA1415)+1)</f>
        <v/>
      </c>
      <c r="AB1416" s="40" t="str">
        <f aca="false">IF($F1416="","",$F1416&amp;"#"&amp;COUNTIF($F$4:$F1416,$F1416))</f>
        <v/>
      </c>
      <c r="AC1416" s="40" t="str">
        <f aca="false">IF($B1416="","",IF(AND(OR(CETAK!$J$10="",$F1416=CETAK!$J$10),OR(CETAK!$J$11="",$G1416=CETAK!$J$11),OR(CETAK!$J$12="",$P1416=CETAK!$J$12),OR(CETAK!$J$13="",$N1416=CETAK!$J$13),OR(CETAK!$J$14="",$T1416=CETAK!$J$14)),MAX($AC$3:AC1415)+1,""))</f>
        <v/>
      </c>
      <c r="AD1416" s="40" t="str">
        <f aca="false">IF($B1416="","",IF(AND(OR(ABSENSI!$H$10="",$F1416=ABSENSI!$H$10),OR(ABSENSI!$H$11="",$G1416=ABSENSI!$H$11),OR(ABSENSI!$H$12="",$P1416=ABSENSI!$H$12)),MAX($AD$3:AD1415)+1,""))</f>
        <v/>
      </c>
      <c r="AE1416" s="40" t="str">
        <f aca="false">IF($B1416="","",IF(AND(OR(KARTU!$K$6="",$F1416=KARTU!$K$6),OR(KARTU!$K$7="",$G1416=KARTU!$K$7),OR(KARTU!$K$8="",$P1416=KARTU!$K$8)),MAX($AE$3:AE1415)+1,""))</f>
        <v/>
      </c>
    </row>
    <row r="1417" customFormat="false" ht="15" hidden="false" customHeight="false" outlineLevel="0" collapsed="false">
      <c r="A1417" s="35" t="str">
        <f aca="false">IF($B1417="","",COUNTA($B$4:$B1417))</f>
        <v/>
      </c>
      <c r="B1417" s="36"/>
      <c r="C1417" s="37"/>
      <c r="D1417" s="37"/>
      <c r="E1417" s="38"/>
      <c r="F1417" s="36"/>
      <c r="G1417" s="39"/>
      <c r="H1417" s="39"/>
      <c r="I1417" s="36"/>
      <c r="J1417" s="36"/>
      <c r="K1417" s="36"/>
      <c r="L1417" s="36"/>
      <c r="M1417" s="40" t="str">
        <f aca="false">IF($F1417="","",$F1417&amp;IF($G1417="",""," - RT "&amp;$G1417&amp;IF($H1417="","","/"&amp;$H1417)))</f>
        <v/>
      </c>
      <c r="N1417" s="36"/>
      <c r="O1417" s="37"/>
      <c r="P1417" s="39"/>
      <c r="Q1417" s="41"/>
      <c r="R1417" s="35" t="str">
        <f aca="true">IF(OR($B1417="",$Q1417=""),"",DATEDIF($Q1417,TODAY(),"Y"))</f>
        <v/>
      </c>
      <c r="S1417" s="40" t="str">
        <f aca="false">IF($R1417="","",INDEX(usia_label,MATCH($R1417,usia_min,1)))</f>
        <v/>
      </c>
      <c r="T1417" s="36"/>
      <c r="U1417" s="41"/>
      <c r="V1417" s="36"/>
      <c r="W1417" s="36"/>
      <c r="X1417" s="40" t="str">
        <f aca="false">IF($M1417="","",$M1417&amp;"#"&amp;COUNTIF($M$4:$M1417,$M1417))</f>
        <v/>
      </c>
      <c r="Y1417" s="40" t="str">
        <f aca="false">IF($B1417="","",IF($C1417="","NIK kosong",IF(LEN($C1417)&lt;&gt;16,"NIK bukan 16 digit",IF(COUNTIF($C$4:$C$2003,$C1417&amp;"*")&gt;1,"NIK ganda",IF(AND($D1417&lt;&gt;"",LEN($D1417)&lt;&gt;16),"No. KK bukan 16 digit",IF(AND($F1417="",$I1417=""),"Alamat kosong",IF($N1417="","Jabatan kosong",IF($O1417="","No. HP kosong",IF(AND($R1417&lt;&gt;"",$R1417&lt;17),"Usia di bawah 17","")))))))))</f>
        <v/>
      </c>
      <c r="Z1417" s="40" t="str">
        <f aca="false">IF($B1417="","",IF(AND(OR(CARI!$C$5="",ISNUMBER(SEARCH(CARI!$C$5,$B1417&amp;" "&amp;$C1417&amp;" "&amp;$D1417&amp;" "&amp;$O1417&amp;" "&amp;$I1417&amp;" "&amp;$F1417&amp;" "&amp;$J1417&amp;" "&amp;$K1417&amp;" "&amp;$L1417&amp;" "&amp;$V1417))),OR(CARI!$C$6="",$F1417=CARI!$C$6),OR(CARI!$C$7="",$G1417=CARI!$C$7),OR(CARI!$C$8="",$T1417=CARI!$C$8)),MAX($Z$3:Z1416)+1,""))</f>
        <v/>
      </c>
      <c r="AA1417" s="40" t="str">
        <f aca="false">IF($Y1417="","",MAX($AA$3:AA1416)+1)</f>
        <v/>
      </c>
      <c r="AB1417" s="40" t="str">
        <f aca="false">IF($F1417="","",$F1417&amp;"#"&amp;COUNTIF($F$4:$F1417,$F1417))</f>
        <v/>
      </c>
      <c r="AC1417" s="40" t="str">
        <f aca="false">IF($B1417="","",IF(AND(OR(CETAK!$J$10="",$F1417=CETAK!$J$10),OR(CETAK!$J$11="",$G1417=CETAK!$J$11),OR(CETAK!$J$12="",$P1417=CETAK!$J$12),OR(CETAK!$J$13="",$N1417=CETAK!$J$13),OR(CETAK!$J$14="",$T1417=CETAK!$J$14)),MAX($AC$3:AC1416)+1,""))</f>
        <v/>
      </c>
      <c r="AD1417" s="40" t="str">
        <f aca="false">IF($B1417="","",IF(AND(OR(ABSENSI!$H$10="",$F1417=ABSENSI!$H$10),OR(ABSENSI!$H$11="",$G1417=ABSENSI!$H$11),OR(ABSENSI!$H$12="",$P1417=ABSENSI!$H$12)),MAX($AD$3:AD1416)+1,""))</f>
        <v/>
      </c>
      <c r="AE1417" s="40" t="str">
        <f aca="false">IF($B1417="","",IF(AND(OR(KARTU!$K$6="",$F1417=KARTU!$K$6),OR(KARTU!$K$7="",$G1417=KARTU!$K$7),OR(KARTU!$K$8="",$P1417=KARTU!$K$8)),MAX($AE$3:AE1416)+1,""))</f>
        <v/>
      </c>
    </row>
    <row r="1418" customFormat="false" ht="15" hidden="false" customHeight="false" outlineLevel="0" collapsed="false">
      <c r="A1418" s="35" t="str">
        <f aca="false">IF($B1418="","",COUNTA($B$4:$B1418))</f>
        <v/>
      </c>
      <c r="B1418" s="36"/>
      <c r="C1418" s="37"/>
      <c r="D1418" s="37"/>
      <c r="E1418" s="38"/>
      <c r="F1418" s="36"/>
      <c r="G1418" s="39"/>
      <c r="H1418" s="39"/>
      <c r="I1418" s="36"/>
      <c r="J1418" s="36"/>
      <c r="K1418" s="36"/>
      <c r="L1418" s="36"/>
      <c r="M1418" s="40" t="str">
        <f aca="false">IF($F1418="","",$F1418&amp;IF($G1418="",""," - RT "&amp;$G1418&amp;IF($H1418="","","/"&amp;$H1418)))</f>
        <v/>
      </c>
      <c r="N1418" s="36"/>
      <c r="O1418" s="37"/>
      <c r="P1418" s="39"/>
      <c r="Q1418" s="41"/>
      <c r="R1418" s="35" t="str">
        <f aca="true">IF(OR($B1418="",$Q1418=""),"",DATEDIF($Q1418,TODAY(),"Y"))</f>
        <v/>
      </c>
      <c r="S1418" s="40" t="str">
        <f aca="false">IF($R1418="","",INDEX(usia_label,MATCH($R1418,usia_min,1)))</f>
        <v/>
      </c>
      <c r="T1418" s="36"/>
      <c r="U1418" s="41"/>
      <c r="V1418" s="36"/>
      <c r="W1418" s="36"/>
      <c r="X1418" s="40" t="str">
        <f aca="false">IF($M1418="","",$M1418&amp;"#"&amp;COUNTIF($M$4:$M1418,$M1418))</f>
        <v/>
      </c>
      <c r="Y1418" s="40" t="str">
        <f aca="false">IF($B1418="","",IF($C1418="","NIK kosong",IF(LEN($C1418)&lt;&gt;16,"NIK bukan 16 digit",IF(COUNTIF($C$4:$C$2003,$C1418&amp;"*")&gt;1,"NIK ganda",IF(AND($D1418&lt;&gt;"",LEN($D1418)&lt;&gt;16),"No. KK bukan 16 digit",IF(AND($F1418="",$I1418=""),"Alamat kosong",IF($N1418="","Jabatan kosong",IF($O1418="","No. HP kosong",IF(AND($R1418&lt;&gt;"",$R1418&lt;17),"Usia di bawah 17","")))))))))</f>
        <v/>
      </c>
      <c r="Z1418" s="40" t="str">
        <f aca="false">IF($B1418="","",IF(AND(OR(CARI!$C$5="",ISNUMBER(SEARCH(CARI!$C$5,$B1418&amp;" "&amp;$C1418&amp;" "&amp;$D1418&amp;" "&amp;$O1418&amp;" "&amp;$I1418&amp;" "&amp;$F1418&amp;" "&amp;$J1418&amp;" "&amp;$K1418&amp;" "&amp;$L1418&amp;" "&amp;$V1418))),OR(CARI!$C$6="",$F1418=CARI!$C$6),OR(CARI!$C$7="",$G1418=CARI!$C$7),OR(CARI!$C$8="",$T1418=CARI!$C$8)),MAX($Z$3:Z1417)+1,""))</f>
        <v/>
      </c>
      <c r="AA1418" s="40" t="str">
        <f aca="false">IF($Y1418="","",MAX($AA$3:AA1417)+1)</f>
        <v/>
      </c>
      <c r="AB1418" s="40" t="str">
        <f aca="false">IF($F1418="","",$F1418&amp;"#"&amp;COUNTIF($F$4:$F1418,$F1418))</f>
        <v/>
      </c>
      <c r="AC1418" s="40" t="str">
        <f aca="false">IF($B1418="","",IF(AND(OR(CETAK!$J$10="",$F1418=CETAK!$J$10),OR(CETAK!$J$11="",$G1418=CETAK!$J$11),OR(CETAK!$J$12="",$P1418=CETAK!$J$12),OR(CETAK!$J$13="",$N1418=CETAK!$J$13),OR(CETAK!$J$14="",$T1418=CETAK!$J$14)),MAX($AC$3:AC1417)+1,""))</f>
        <v/>
      </c>
      <c r="AD1418" s="40" t="str">
        <f aca="false">IF($B1418="","",IF(AND(OR(ABSENSI!$H$10="",$F1418=ABSENSI!$H$10),OR(ABSENSI!$H$11="",$G1418=ABSENSI!$H$11),OR(ABSENSI!$H$12="",$P1418=ABSENSI!$H$12)),MAX($AD$3:AD1417)+1,""))</f>
        <v/>
      </c>
      <c r="AE1418" s="40" t="str">
        <f aca="false">IF($B1418="","",IF(AND(OR(KARTU!$K$6="",$F1418=KARTU!$K$6),OR(KARTU!$K$7="",$G1418=KARTU!$K$7),OR(KARTU!$K$8="",$P1418=KARTU!$K$8)),MAX($AE$3:AE1417)+1,""))</f>
        <v/>
      </c>
    </row>
    <row r="1419" customFormat="false" ht="15" hidden="false" customHeight="false" outlineLevel="0" collapsed="false">
      <c r="A1419" s="35" t="str">
        <f aca="false">IF($B1419="","",COUNTA($B$4:$B1419))</f>
        <v/>
      </c>
      <c r="B1419" s="36"/>
      <c r="C1419" s="37"/>
      <c r="D1419" s="37"/>
      <c r="E1419" s="38"/>
      <c r="F1419" s="36"/>
      <c r="G1419" s="39"/>
      <c r="H1419" s="39"/>
      <c r="I1419" s="36"/>
      <c r="J1419" s="36"/>
      <c r="K1419" s="36"/>
      <c r="L1419" s="36"/>
      <c r="M1419" s="40" t="str">
        <f aca="false">IF($F1419="","",$F1419&amp;IF($G1419="",""," - RT "&amp;$G1419&amp;IF($H1419="","","/"&amp;$H1419)))</f>
        <v/>
      </c>
      <c r="N1419" s="36"/>
      <c r="O1419" s="37"/>
      <c r="P1419" s="39"/>
      <c r="Q1419" s="41"/>
      <c r="R1419" s="35" t="str">
        <f aca="true">IF(OR($B1419="",$Q1419=""),"",DATEDIF($Q1419,TODAY(),"Y"))</f>
        <v/>
      </c>
      <c r="S1419" s="40" t="str">
        <f aca="false">IF($R1419="","",INDEX(usia_label,MATCH($R1419,usia_min,1)))</f>
        <v/>
      </c>
      <c r="T1419" s="36"/>
      <c r="U1419" s="41"/>
      <c r="V1419" s="36"/>
      <c r="W1419" s="36"/>
      <c r="X1419" s="40" t="str">
        <f aca="false">IF($M1419="","",$M1419&amp;"#"&amp;COUNTIF($M$4:$M1419,$M1419))</f>
        <v/>
      </c>
      <c r="Y1419" s="40" t="str">
        <f aca="false">IF($B1419="","",IF($C1419="","NIK kosong",IF(LEN($C1419)&lt;&gt;16,"NIK bukan 16 digit",IF(COUNTIF($C$4:$C$2003,$C1419&amp;"*")&gt;1,"NIK ganda",IF(AND($D1419&lt;&gt;"",LEN($D1419)&lt;&gt;16),"No. KK bukan 16 digit",IF(AND($F1419="",$I1419=""),"Alamat kosong",IF($N1419="","Jabatan kosong",IF($O1419="","No. HP kosong",IF(AND($R1419&lt;&gt;"",$R1419&lt;17),"Usia di bawah 17","")))))))))</f>
        <v/>
      </c>
      <c r="Z1419" s="40" t="str">
        <f aca="false">IF($B1419="","",IF(AND(OR(CARI!$C$5="",ISNUMBER(SEARCH(CARI!$C$5,$B1419&amp;" "&amp;$C1419&amp;" "&amp;$D1419&amp;" "&amp;$O1419&amp;" "&amp;$I1419&amp;" "&amp;$F1419&amp;" "&amp;$J1419&amp;" "&amp;$K1419&amp;" "&amp;$L1419&amp;" "&amp;$V1419))),OR(CARI!$C$6="",$F1419=CARI!$C$6),OR(CARI!$C$7="",$G1419=CARI!$C$7),OR(CARI!$C$8="",$T1419=CARI!$C$8)),MAX($Z$3:Z1418)+1,""))</f>
        <v/>
      </c>
      <c r="AA1419" s="40" t="str">
        <f aca="false">IF($Y1419="","",MAX($AA$3:AA1418)+1)</f>
        <v/>
      </c>
      <c r="AB1419" s="40" t="str">
        <f aca="false">IF($F1419="","",$F1419&amp;"#"&amp;COUNTIF($F$4:$F1419,$F1419))</f>
        <v/>
      </c>
      <c r="AC1419" s="40" t="str">
        <f aca="false">IF($B1419="","",IF(AND(OR(CETAK!$J$10="",$F1419=CETAK!$J$10),OR(CETAK!$J$11="",$G1419=CETAK!$J$11),OR(CETAK!$J$12="",$P1419=CETAK!$J$12),OR(CETAK!$J$13="",$N1419=CETAK!$J$13),OR(CETAK!$J$14="",$T1419=CETAK!$J$14)),MAX($AC$3:AC1418)+1,""))</f>
        <v/>
      </c>
      <c r="AD1419" s="40" t="str">
        <f aca="false">IF($B1419="","",IF(AND(OR(ABSENSI!$H$10="",$F1419=ABSENSI!$H$10),OR(ABSENSI!$H$11="",$G1419=ABSENSI!$H$11),OR(ABSENSI!$H$12="",$P1419=ABSENSI!$H$12)),MAX($AD$3:AD1418)+1,""))</f>
        <v/>
      </c>
      <c r="AE1419" s="40" t="str">
        <f aca="false">IF($B1419="","",IF(AND(OR(KARTU!$K$6="",$F1419=KARTU!$K$6),OR(KARTU!$K$7="",$G1419=KARTU!$K$7),OR(KARTU!$K$8="",$P1419=KARTU!$K$8)),MAX($AE$3:AE1418)+1,""))</f>
        <v/>
      </c>
    </row>
    <row r="1420" customFormat="false" ht="15" hidden="false" customHeight="false" outlineLevel="0" collapsed="false">
      <c r="A1420" s="35" t="str">
        <f aca="false">IF($B1420="","",COUNTA($B$4:$B1420))</f>
        <v/>
      </c>
      <c r="B1420" s="36"/>
      <c r="C1420" s="37"/>
      <c r="D1420" s="37"/>
      <c r="E1420" s="38"/>
      <c r="F1420" s="36"/>
      <c r="G1420" s="39"/>
      <c r="H1420" s="39"/>
      <c r="I1420" s="36"/>
      <c r="J1420" s="36"/>
      <c r="K1420" s="36"/>
      <c r="L1420" s="36"/>
      <c r="M1420" s="40" t="str">
        <f aca="false">IF($F1420="","",$F1420&amp;IF($G1420="",""," - RT "&amp;$G1420&amp;IF($H1420="","","/"&amp;$H1420)))</f>
        <v/>
      </c>
      <c r="N1420" s="36"/>
      <c r="O1420" s="37"/>
      <c r="P1420" s="39"/>
      <c r="Q1420" s="41"/>
      <c r="R1420" s="35" t="str">
        <f aca="true">IF(OR($B1420="",$Q1420=""),"",DATEDIF($Q1420,TODAY(),"Y"))</f>
        <v/>
      </c>
      <c r="S1420" s="40" t="str">
        <f aca="false">IF($R1420="","",INDEX(usia_label,MATCH($R1420,usia_min,1)))</f>
        <v/>
      </c>
      <c r="T1420" s="36"/>
      <c r="U1420" s="41"/>
      <c r="V1420" s="36"/>
      <c r="W1420" s="36"/>
      <c r="X1420" s="40" t="str">
        <f aca="false">IF($M1420="","",$M1420&amp;"#"&amp;COUNTIF($M$4:$M1420,$M1420))</f>
        <v/>
      </c>
      <c r="Y1420" s="40" t="str">
        <f aca="false">IF($B1420="","",IF($C1420="","NIK kosong",IF(LEN($C1420)&lt;&gt;16,"NIK bukan 16 digit",IF(COUNTIF($C$4:$C$2003,$C1420&amp;"*")&gt;1,"NIK ganda",IF(AND($D1420&lt;&gt;"",LEN($D1420)&lt;&gt;16),"No. KK bukan 16 digit",IF(AND($F1420="",$I1420=""),"Alamat kosong",IF($N1420="","Jabatan kosong",IF($O1420="","No. HP kosong",IF(AND($R1420&lt;&gt;"",$R1420&lt;17),"Usia di bawah 17","")))))))))</f>
        <v/>
      </c>
      <c r="Z1420" s="40" t="str">
        <f aca="false">IF($B1420="","",IF(AND(OR(CARI!$C$5="",ISNUMBER(SEARCH(CARI!$C$5,$B1420&amp;" "&amp;$C1420&amp;" "&amp;$D1420&amp;" "&amp;$O1420&amp;" "&amp;$I1420&amp;" "&amp;$F1420&amp;" "&amp;$J1420&amp;" "&amp;$K1420&amp;" "&amp;$L1420&amp;" "&amp;$V1420))),OR(CARI!$C$6="",$F1420=CARI!$C$6),OR(CARI!$C$7="",$G1420=CARI!$C$7),OR(CARI!$C$8="",$T1420=CARI!$C$8)),MAX($Z$3:Z1419)+1,""))</f>
        <v/>
      </c>
      <c r="AA1420" s="40" t="str">
        <f aca="false">IF($Y1420="","",MAX($AA$3:AA1419)+1)</f>
        <v/>
      </c>
      <c r="AB1420" s="40" t="str">
        <f aca="false">IF($F1420="","",$F1420&amp;"#"&amp;COUNTIF($F$4:$F1420,$F1420))</f>
        <v/>
      </c>
      <c r="AC1420" s="40" t="str">
        <f aca="false">IF($B1420="","",IF(AND(OR(CETAK!$J$10="",$F1420=CETAK!$J$10),OR(CETAK!$J$11="",$G1420=CETAK!$J$11),OR(CETAK!$J$12="",$P1420=CETAK!$J$12),OR(CETAK!$J$13="",$N1420=CETAK!$J$13),OR(CETAK!$J$14="",$T1420=CETAK!$J$14)),MAX($AC$3:AC1419)+1,""))</f>
        <v/>
      </c>
      <c r="AD1420" s="40" t="str">
        <f aca="false">IF($B1420="","",IF(AND(OR(ABSENSI!$H$10="",$F1420=ABSENSI!$H$10),OR(ABSENSI!$H$11="",$G1420=ABSENSI!$H$11),OR(ABSENSI!$H$12="",$P1420=ABSENSI!$H$12)),MAX($AD$3:AD1419)+1,""))</f>
        <v/>
      </c>
      <c r="AE1420" s="40" t="str">
        <f aca="false">IF($B1420="","",IF(AND(OR(KARTU!$K$6="",$F1420=KARTU!$K$6),OR(KARTU!$K$7="",$G1420=KARTU!$K$7),OR(KARTU!$K$8="",$P1420=KARTU!$K$8)),MAX($AE$3:AE1419)+1,""))</f>
        <v/>
      </c>
    </row>
    <row r="1421" customFormat="false" ht="15" hidden="false" customHeight="false" outlineLevel="0" collapsed="false">
      <c r="A1421" s="35" t="str">
        <f aca="false">IF($B1421="","",COUNTA($B$4:$B1421))</f>
        <v/>
      </c>
      <c r="B1421" s="36"/>
      <c r="C1421" s="37"/>
      <c r="D1421" s="37"/>
      <c r="E1421" s="38"/>
      <c r="F1421" s="36"/>
      <c r="G1421" s="39"/>
      <c r="H1421" s="39"/>
      <c r="I1421" s="36"/>
      <c r="J1421" s="36"/>
      <c r="K1421" s="36"/>
      <c r="L1421" s="36"/>
      <c r="M1421" s="40" t="str">
        <f aca="false">IF($F1421="","",$F1421&amp;IF($G1421="",""," - RT "&amp;$G1421&amp;IF($H1421="","","/"&amp;$H1421)))</f>
        <v/>
      </c>
      <c r="N1421" s="36"/>
      <c r="O1421" s="37"/>
      <c r="P1421" s="39"/>
      <c r="Q1421" s="41"/>
      <c r="R1421" s="35" t="str">
        <f aca="true">IF(OR($B1421="",$Q1421=""),"",DATEDIF($Q1421,TODAY(),"Y"))</f>
        <v/>
      </c>
      <c r="S1421" s="40" t="str">
        <f aca="false">IF($R1421="","",INDEX(usia_label,MATCH($R1421,usia_min,1)))</f>
        <v/>
      </c>
      <c r="T1421" s="36"/>
      <c r="U1421" s="41"/>
      <c r="V1421" s="36"/>
      <c r="W1421" s="36"/>
      <c r="X1421" s="40" t="str">
        <f aca="false">IF($M1421="","",$M1421&amp;"#"&amp;COUNTIF($M$4:$M1421,$M1421))</f>
        <v/>
      </c>
      <c r="Y1421" s="40" t="str">
        <f aca="false">IF($B1421="","",IF($C1421="","NIK kosong",IF(LEN($C1421)&lt;&gt;16,"NIK bukan 16 digit",IF(COUNTIF($C$4:$C$2003,$C1421&amp;"*")&gt;1,"NIK ganda",IF(AND($D1421&lt;&gt;"",LEN($D1421)&lt;&gt;16),"No. KK bukan 16 digit",IF(AND($F1421="",$I1421=""),"Alamat kosong",IF($N1421="","Jabatan kosong",IF($O1421="","No. HP kosong",IF(AND($R1421&lt;&gt;"",$R1421&lt;17),"Usia di bawah 17","")))))))))</f>
        <v/>
      </c>
      <c r="Z1421" s="40" t="str">
        <f aca="false">IF($B1421="","",IF(AND(OR(CARI!$C$5="",ISNUMBER(SEARCH(CARI!$C$5,$B1421&amp;" "&amp;$C1421&amp;" "&amp;$D1421&amp;" "&amp;$O1421&amp;" "&amp;$I1421&amp;" "&amp;$F1421&amp;" "&amp;$J1421&amp;" "&amp;$K1421&amp;" "&amp;$L1421&amp;" "&amp;$V1421))),OR(CARI!$C$6="",$F1421=CARI!$C$6),OR(CARI!$C$7="",$G1421=CARI!$C$7),OR(CARI!$C$8="",$T1421=CARI!$C$8)),MAX($Z$3:Z1420)+1,""))</f>
        <v/>
      </c>
      <c r="AA1421" s="40" t="str">
        <f aca="false">IF($Y1421="","",MAX($AA$3:AA1420)+1)</f>
        <v/>
      </c>
      <c r="AB1421" s="40" t="str">
        <f aca="false">IF($F1421="","",$F1421&amp;"#"&amp;COUNTIF($F$4:$F1421,$F1421))</f>
        <v/>
      </c>
      <c r="AC1421" s="40" t="str">
        <f aca="false">IF($B1421="","",IF(AND(OR(CETAK!$J$10="",$F1421=CETAK!$J$10),OR(CETAK!$J$11="",$G1421=CETAK!$J$11),OR(CETAK!$J$12="",$P1421=CETAK!$J$12),OR(CETAK!$J$13="",$N1421=CETAK!$J$13),OR(CETAK!$J$14="",$T1421=CETAK!$J$14)),MAX($AC$3:AC1420)+1,""))</f>
        <v/>
      </c>
      <c r="AD1421" s="40" t="str">
        <f aca="false">IF($B1421="","",IF(AND(OR(ABSENSI!$H$10="",$F1421=ABSENSI!$H$10),OR(ABSENSI!$H$11="",$G1421=ABSENSI!$H$11),OR(ABSENSI!$H$12="",$P1421=ABSENSI!$H$12)),MAX($AD$3:AD1420)+1,""))</f>
        <v/>
      </c>
      <c r="AE1421" s="40" t="str">
        <f aca="false">IF($B1421="","",IF(AND(OR(KARTU!$K$6="",$F1421=KARTU!$K$6),OR(KARTU!$K$7="",$G1421=KARTU!$K$7),OR(KARTU!$K$8="",$P1421=KARTU!$K$8)),MAX($AE$3:AE1420)+1,""))</f>
        <v/>
      </c>
    </row>
    <row r="1422" customFormat="false" ht="15" hidden="false" customHeight="false" outlineLevel="0" collapsed="false">
      <c r="A1422" s="35" t="str">
        <f aca="false">IF($B1422="","",COUNTA($B$4:$B1422))</f>
        <v/>
      </c>
      <c r="B1422" s="36"/>
      <c r="C1422" s="37"/>
      <c r="D1422" s="37"/>
      <c r="E1422" s="38"/>
      <c r="F1422" s="36"/>
      <c r="G1422" s="39"/>
      <c r="H1422" s="39"/>
      <c r="I1422" s="36"/>
      <c r="J1422" s="36"/>
      <c r="K1422" s="36"/>
      <c r="L1422" s="36"/>
      <c r="M1422" s="40" t="str">
        <f aca="false">IF($F1422="","",$F1422&amp;IF($G1422="",""," - RT "&amp;$G1422&amp;IF($H1422="","","/"&amp;$H1422)))</f>
        <v/>
      </c>
      <c r="N1422" s="36"/>
      <c r="O1422" s="37"/>
      <c r="P1422" s="39"/>
      <c r="Q1422" s="41"/>
      <c r="R1422" s="35" t="str">
        <f aca="true">IF(OR($B1422="",$Q1422=""),"",DATEDIF($Q1422,TODAY(),"Y"))</f>
        <v/>
      </c>
      <c r="S1422" s="40" t="str">
        <f aca="false">IF($R1422="","",INDEX(usia_label,MATCH($R1422,usia_min,1)))</f>
        <v/>
      </c>
      <c r="T1422" s="36"/>
      <c r="U1422" s="41"/>
      <c r="V1422" s="36"/>
      <c r="W1422" s="36"/>
      <c r="X1422" s="40" t="str">
        <f aca="false">IF($M1422="","",$M1422&amp;"#"&amp;COUNTIF($M$4:$M1422,$M1422))</f>
        <v/>
      </c>
      <c r="Y1422" s="40" t="str">
        <f aca="false">IF($B1422="","",IF($C1422="","NIK kosong",IF(LEN($C1422)&lt;&gt;16,"NIK bukan 16 digit",IF(COUNTIF($C$4:$C$2003,$C1422&amp;"*")&gt;1,"NIK ganda",IF(AND($D1422&lt;&gt;"",LEN($D1422)&lt;&gt;16),"No. KK bukan 16 digit",IF(AND($F1422="",$I1422=""),"Alamat kosong",IF($N1422="","Jabatan kosong",IF($O1422="","No. HP kosong",IF(AND($R1422&lt;&gt;"",$R1422&lt;17),"Usia di bawah 17","")))))))))</f>
        <v/>
      </c>
      <c r="Z1422" s="40" t="str">
        <f aca="false">IF($B1422="","",IF(AND(OR(CARI!$C$5="",ISNUMBER(SEARCH(CARI!$C$5,$B1422&amp;" "&amp;$C1422&amp;" "&amp;$D1422&amp;" "&amp;$O1422&amp;" "&amp;$I1422&amp;" "&amp;$F1422&amp;" "&amp;$J1422&amp;" "&amp;$K1422&amp;" "&amp;$L1422&amp;" "&amp;$V1422))),OR(CARI!$C$6="",$F1422=CARI!$C$6),OR(CARI!$C$7="",$G1422=CARI!$C$7),OR(CARI!$C$8="",$T1422=CARI!$C$8)),MAX($Z$3:Z1421)+1,""))</f>
        <v/>
      </c>
      <c r="AA1422" s="40" t="str">
        <f aca="false">IF($Y1422="","",MAX($AA$3:AA1421)+1)</f>
        <v/>
      </c>
      <c r="AB1422" s="40" t="str">
        <f aca="false">IF($F1422="","",$F1422&amp;"#"&amp;COUNTIF($F$4:$F1422,$F1422))</f>
        <v/>
      </c>
      <c r="AC1422" s="40" t="str">
        <f aca="false">IF($B1422="","",IF(AND(OR(CETAK!$J$10="",$F1422=CETAK!$J$10),OR(CETAK!$J$11="",$G1422=CETAK!$J$11),OR(CETAK!$J$12="",$P1422=CETAK!$J$12),OR(CETAK!$J$13="",$N1422=CETAK!$J$13),OR(CETAK!$J$14="",$T1422=CETAK!$J$14)),MAX($AC$3:AC1421)+1,""))</f>
        <v/>
      </c>
      <c r="AD1422" s="40" t="str">
        <f aca="false">IF($B1422="","",IF(AND(OR(ABSENSI!$H$10="",$F1422=ABSENSI!$H$10),OR(ABSENSI!$H$11="",$G1422=ABSENSI!$H$11),OR(ABSENSI!$H$12="",$P1422=ABSENSI!$H$12)),MAX($AD$3:AD1421)+1,""))</f>
        <v/>
      </c>
      <c r="AE1422" s="40" t="str">
        <f aca="false">IF($B1422="","",IF(AND(OR(KARTU!$K$6="",$F1422=KARTU!$K$6),OR(KARTU!$K$7="",$G1422=KARTU!$K$7),OR(KARTU!$K$8="",$P1422=KARTU!$K$8)),MAX($AE$3:AE1421)+1,""))</f>
        <v/>
      </c>
    </row>
    <row r="1423" customFormat="false" ht="15" hidden="false" customHeight="false" outlineLevel="0" collapsed="false">
      <c r="A1423" s="35" t="str">
        <f aca="false">IF($B1423="","",COUNTA($B$4:$B1423))</f>
        <v/>
      </c>
      <c r="B1423" s="36"/>
      <c r="C1423" s="37"/>
      <c r="D1423" s="37"/>
      <c r="E1423" s="38"/>
      <c r="F1423" s="36"/>
      <c r="G1423" s="39"/>
      <c r="H1423" s="39"/>
      <c r="I1423" s="36"/>
      <c r="J1423" s="36"/>
      <c r="K1423" s="36"/>
      <c r="L1423" s="36"/>
      <c r="M1423" s="40" t="str">
        <f aca="false">IF($F1423="","",$F1423&amp;IF($G1423="",""," - RT "&amp;$G1423&amp;IF($H1423="","","/"&amp;$H1423)))</f>
        <v/>
      </c>
      <c r="N1423" s="36"/>
      <c r="O1423" s="37"/>
      <c r="P1423" s="39"/>
      <c r="Q1423" s="41"/>
      <c r="R1423" s="35" t="str">
        <f aca="true">IF(OR($B1423="",$Q1423=""),"",DATEDIF($Q1423,TODAY(),"Y"))</f>
        <v/>
      </c>
      <c r="S1423" s="40" t="str">
        <f aca="false">IF($R1423="","",INDEX(usia_label,MATCH($R1423,usia_min,1)))</f>
        <v/>
      </c>
      <c r="T1423" s="36"/>
      <c r="U1423" s="41"/>
      <c r="V1423" s="36"/>
      <c r="W1423" s="36"/>
      <c r="X1423" s="40" t="str">
        <f aca="false">IF($M1423="","",$M1423&amp;"#"&amp;COUNTIF($M$4:$M1423,$M1423))</f>
        <v/>
      </c>
      <c r="Y1423" s="40" t="str">
        <f aca="false">IF($B1423="","",IF($C1423="","NIK kosong",IF(LEN($C1423)&lt;&gt;16,"NIK bukan 16 digit",IF(COUNTIF($C$4:$C$2003,$C1423&amp;"*")&gt;1,"NIK ganda",IF(AND($D1423&lt;&gt;"",LEN($D1423)&lt;&gt;16),"No. KK bukan 16 digit",IF(AND($F1423="",$I1423=""),"Alamat kosong",IF($N1423="","Jabatan kosong",IF($O1423="","No. HP kosong",IF(AND($R1423&lt;&gt;"",$R1423&lt;17),"Usia di bawah 17","")))))))))</f>
        <v/>
      </c>
      <c r="Z1423" s="40" t="str">
        <f aca="false">IF($B1423="","",IF(AND(OR(CARI!$C$5="",ISNUMBER(SEARCH(CARI!$C$5,$B1423&amp;" "&amp;$C1423&amp;" "&amp;$D1423&amp;" "&amp;$O1423&amp;" "&amp;$I1423&amp;" "&amp;$F1423&amp;" "&amp;$J1423&amp;" "&amp;$K1423&amp;" "&amp;$L1423&amp;" "&amp;$V1423))),OR(CARI!$C$6="",$F1423=CARI!$C$6),OR(CARI!$C$7="",$G1423=CARI!$C$7),OR(CARI!$C$8="",$T1423=CARI!$C$8)),MAX($Z$3:Z1422)+1,""))</f>
        <v/>
      </c>
      <c r="AA1423" s="40" t="str">
        <f aca="false">IF($Y1423="","",MAX($AA$3:AA1422)+1)</f>
        <v/>
      </c>
      <c r="AB1423" s="40" t="str">
        <f aca="false">IF($F1423="","",$F1423&amp;"#"&amp;COUNTIF($F$4:$F1423,$F1423))</f>
        <v/>
      </c>
      <c r="AC1423" s="40" t="str">
        <f aca="false">IF($B1423="","",IF(AND(OR(CETAK!$J$10="",$F1423=CETAK!$J$10),OR(CETAK!$J$11="",$G1423=CETAK!$J$11),OR(CETAK!$J$12="",$P1423=CETAK!$J$12),OR(CETAK!$J$13="",$N1423=CETAK!$J$13),OR(CETAK!$J$14="",$T1423=CETAK!$J$14)),MAX($AC$3:AC1422)+1,""))</f>
        <v/>
      </c>
      <c r="AD1423" s="40" t="str">
        <f aca="false">IF($B1423="","",IF(AND(OR(ABSENSI!$H$10="",$F1423=ABSENSI!$H$10),OR(ABSENSI!$H$11="",$G1423=ABSENSI!$H$11),OR(ABSENSI!$H$12="",$P1423=ABSENSI!$H$12)),MAX($AD$3:AD1422)+1,""))</f>
        <v/>
      </c>
      <c r="AE1423" s="40" t="str">
        <f aca="false">IF($B1423="","",IF(AND(OR(KARTU!$K$6="",$F1423=KARTU!$K$6),OR(KARTU!$K$7="",$G1423=KARTU!$K$7),OR(KARTU!$K$8="",$P1423=KARTU!$K$8)),MAX($AE$3:AE1422)+1,""))</f>
        <v/>
      </c>
    </row>
    <row r="1424" customFormat="false" ht="15" hidden="false" customHeight="false" outlineLevel="0" collapsed="false">
      <c r="A1424" s="35" t="str">
        <f aca="false">IF($B1424="","",COUNTA($B$4:$B1424))</f>
        <v/>
      </c>
      <c r="B1424" s="36"/>
      <c r="C1424" s="37"/>
      <c r="D1424" s="37"/>
      <c r="E1424" s="38"/>
      <c r="F1424" s="36"/>
      <c r="G1424" s="39"/>
      <c r="H1424" s="39"/>
      <c r="I1424" s="36"/>
      <c r="J1424" s="36"/>
      <c r="K1424" s="36"/>
      <c r="L1424" s="36"/>
      <c r="M1424" s="40" t="str">
        <f aca="false">IF($F1424="","",$F1424&amp;IF($G1424="",""," - RT "&amp;$G1424&amp;IF($H1424="","","/"&amp;$H1424)))</f>
        <v/>
      </c>
      <c r="N1424" s="36"/>
      <c r="O1424" s="37"/>
      <c r="P1424" s="39"/>
      <c r="Q1424" s="41"/>
      <c r="R1424" s="35" t="str">
        <f aca="true">IF(OR($B1424="",$Q1424=""),"",DATEDIF($Q1424,TODAY(),"Y"))</f>
        <v/>
      </c>
      <c r="S1424" s="40" t="str">
        <f aca="false">IF($R1424="","",INDEX(usia_label,MATCH($R1424,usia_min,1)))</f>
        <v/>
      </c>
      <c r="T1424" s="36"/>
      <c r="U1424" s="41"/>
      <c r="V1424" s="36"/>
      <c r="W1424" s="36"/>
      <c r="X1424" s="40" t="str">
        <f aca="false">IF($M1424="","",$M1424&amp;"#"&amp;COUNTIF($M$4:$M1424,$M1424))</f>
        <v/>
      </c>
      <c r="Y1424" s="40" t="str">
        <f aca="false">IF($B1424="","",IF($C1424="","NIK kosong",IF(LEN($C1424)&lt;&gt;16,"NIK bukan 16 digit",IF(COUNTIF($C$4:$C$2003,$C1424&amp;"*")&gt;1,"NIK ganda",IF(AND($D1424&lt;&gt;"",LEN($D1424)&lt;&gt;16),"No. KK bukan 16 digit",IF(AND($F1424="",$I1424=""),"Alamat kosong",IF($N1424="","Jabatan kosong",IF($O1424="","No. HP kosong",IF(AND($R1424&lt;&gt;"",$R1424&lt;17),"Usia di bawah 17","")))))))))</f>
        <v/>
      </c>
      <c r="Z1424" s="40" t="str">
        <f aca="false">IF($B1424="","",IF(AND(OR(CARI!$C$5="",ISNUMBER(SEARCH(CARI!$C$5,$B1424&amp;" "&amp;$C1424&amp;" "&amp;$D1424&amp;" "&amp;$O1424&amp;" "&amp;$I1424&amp;" "&amp;$F1424&amp;" "&amp;$J1424&amp;" "&amp;$K1424&amp;" "&amp;$L1424&amp;" "&amp;$V1424))),OR(CARI!$C$6="",$F1424=CARI!$C$6),OR(CARI!$C$7="",$G1424=CARI!$C$7),OR(CARI!$C$8="",$T1424=CARI!$C$8)),MAX($Z$3:Z1423)+1,""))</f>
        <v/>
      </c>
      <c r="AA1424" s="40" t="str">
        <f aca="false">IF($Y1424="","",MAX($AA$3:AA1423)+1)</f>
        <v/>
      </c>
      <c r="AB1424" s="40" t="str">
        <f aca="false">IF($F1424="","",$F1424&amp;"#"&amp;COUNTIF($F$4:$F1424,$F1424))</f>
        <v/>
      </c>
      <c r="AC1424" s="40" t="str">
        <f aca="false">IF($B1424="","",IF(AND(OR(CETAK!$J$10="",$F1424=CETAK!$J$10),OR(CETAK!$J$11="",$G1424=CETAK!$J$11),OR(CETAK!$J$12="",$P1424=CETAK!$J$12),OR(CETAK!$J$13="",$N1424=CETAK!$J$13),OR(CETAK!$J$14="",$T1424=CETAK!$J$14)),MAX($AC$3:AC1423)+1,""))</f>
        <v/>
      </c>
      <c r="AD1424" s="40" t="str">
        <f aca="false">IF($B1424="","",IF(AND(OR(ABSENSI!$H$10="",$F1424=ABSENSI!$H$10),OR(ABSENSI!$H$11="",$G1424=ABSENSI!$H$11),OR(ABSENSI!$H$12="",$P1424=ABSENSI!$H$12)),MAX($AD$3:AD1423)+1,""))</f>
        <v/>
      </c>
      <c r="AE1424" s="40" t="str">
        <f aca="false">IF($B1424="","",IF(AND(OR(KARTU!$K$6="",$F1424=KARTU!$K$6),OR(KARTU!$K$7="",$G1424=KARTU!$K$7),OR(KARTU!$K$8="",$P1424=KARTU!$K$8)),MAX($AE$3:AE1423)+1,""))</f>
        <v/>
      </c>
    </row>
    <row r="1425" customFormat="false" ht="15" hidden="false" customHeight="false" outlineLevel="0" collapsed="false">
      <c r="A1425" s="35" t="str">
        <f aca="false">IF($B1425="","",COUNTA($B$4:$B1425))</f>
        <v/>
      </c>
      <c r="B1425" s="36"/>
      <c r="C1425" s="37"/>
      <c r="D1425" s="37"/>
      <c r="E1425" s="38"/>
      <c r="F1425" s="36"/>
      <c r="G1425" s="39"/>
      <c r="H1425" s="39"/>
      <c r="I1425" s="36"/>
      <c r="J1425" s="36"/>
      <c r="K1425" s="36"/>
      <c r="L1425" s="36"/>
      <c r="M1425" s="40" t="str">
        <f aca="false">IF($F1425="","",$F1425&amp;IF($G1425="",""," - RT "&amp;$G1425&amp;IF($H1425="","","/"&amp;$H1425)))</f>
        <v/>
      </c>
      <c r="N1425" s="36"/>
      <c r="O1425" s="37"/>
      <c r="P1425" s="39"/>
      <c r="Q1425" s="41"/>
      <c r="R1425" s="35" t="str">
        <f aca="true">IF(OR($B1425="",$Q1425=""),"",DATEDIF($Q1425,TODAY(),"Y"))</f>
        <v/>
      </c>
      <c r="S1425" s="40" t="str">
        <f aca="false">IF($R1425="","",INDEX(usia_label,MATCH($R1425,usia_min,1)))</f>
        <v/>
      </c>
      <c r="T1425" s="36"/>
      <c r="U1425" s="41"/>
      <c r="V1425" s="36"/>
      <c r="W1425" s="36"/>
      <c r="X1425" s="40" t="str">
        <f aca="false">IF($M1425="","",$M1425&amp;"#"&amp;COUNTIF($M$4:$M1425,$M1425))</f>
        <v/>
      </c>
      <c r="Y1425" s="40" t="str">
        <f aca="false">IF($B1425="","",IF($C1425="","NIK kosong",IF(LEN($C1425)&lt;&gt;16,"NIK bukan 16 digit",IF(COUNTIF($C$4:$C$2003,$C1425&amp;"*")&gt;1,"NIK ganda",IF(AND($D1425&lt;&gt;"",LEN($D1425)&lt;&gt;16),"No. KK bukan 16 digit",IF(AND($F1425="",$I1425=""),"Alamat kosong",IF($N1425="","Jabatan kosong",IF($O1425="","No. HP kosong",IF(AND($R1425&lt;&gt;"",$R1425&lt;17),"Usia di bawah 17","")))))))))</f>
        <v/>
      </c>
      <c r="Z1425" s="40" t="str">
        <f aca="false">IF($B1425="","",IF(AND(OR(CARI!$C$5="",ISNUMBER(SEARCH(CARI!$C$5,$B1425&amp;" "&amp;$C1425&amp;" "&amp;$D1425&amp;" "&amp;$O1425&amp;" "&amp;$I1425&amp;" "&amp;$F1425&amp;" "&amp;$J1425&amp;" "&amp;$K1425&amp;" "&amp;$L1425&amp;" "&amp;$V1425))),OR(CARI!$C$6="",$F1425=CARI!$C$6),OR(CARI!$C$7="",$G1425=CARI!$C$7),OR(CARI!$C$8="",$T1425=CARI!$C$8)),MAX($Z$3:Z1424)+1,""))</f>
        <v/>
      </c>
      <c r="AA1425" s="40" t="str">
        <f aca="false">IF($Y1425="","",MAX($AA$3:AA1424)+1)</f>
        <v/>
      </c>
      <c r="AB1425" s="40" t="str">
        <f aca="false">IF($F1425="","",$F1425&amp;"#"&amp;COUNTIF($F$4:$F1425,$F1425))</f>
        <v/>
      </c>
      <c r="AC1425" s="40" t="str">
        <f aca="false">IF($B1425="","",IF(AND(OR(CETAK!$J$10="",$F1425=CETAK!$J$10),OR(CETAK!$J$11="",$G1425=CETAK!$J$11),OR(CETAK!$J$12="",$P1425=CETAK!$J$12),OR(CETAK!$J$13="",$N1425=CETAK!$J$13),OR(CETAK!$J$14="",$T1425=CETAK!$J$14)),MAX($AC$3:AC1424)+1,""))</f>
        <v/>
      </c>
      <c r="AD1425" s="40" t="str">
        <f aca="false">IF($B1425="","",IF(AND(OR(ABSENSI!$H$10="",$F1425=ABSENSI!$H$10),OR(ABSENSI!$H$11="",$G1425=ABSENSI!$H$11),OR(ABSENSI!$H$12="",$P1425=ABSENSI!$H$12)),MAX($AD$3:AD1424)+1,""))</f>
        <v/>
      </c>
      <c r="AE1425" s="40" t="str">
        <f aca="false">IF($B1425="","",IF(AND(OR(KARTU!$K$6="",$F1425=KARTU!$K$6),OR(KARTU!$K$7="",$G1425=KARTU!$K$7),OR(KARTU!$K$8="",$P1425=KARTU!$K$8)),MAX($AE$3:AE1424)+1,""))</f>
        <v/>
      </c>
    </row>
    <row r="1426" customFormat="false" ht="15" hidden="false" customHeight="false" outlineLevel="0" collapsed="false">
      <c r="A1426" s="35" t="str">
        <f aca="false">IF($B1426="","",COUNTA($B$4:$B1426))</f>
        <v/>
      </c>
      <c r="B1426" s="36"/>
      <c r="C1426" s="37"/>
      <c r="D1426" s="37"/>
      <c r="E1426" s="38"/>
      <c r="F1426" s="36"/>
      <c r="G1426" s="39"/>
      <c r="H1426" s="39"/>
      <c r="I1426" s="36"/>
      <c r="J1426" s="36"/>
      <c r="K1426" s="36"/>
      <c r="L1426" s="36"/>
      <c r="M1426" s="40" t="str">
        <f aca="false">IF($F1426="","",$F1426&amp;IF($G1426="",""," - RT "&amp;$G1426&amp;IF($H1426="","","/"&amp;$H1426)))</f>
        <v/>
      </c>
      <c r="N1426" s="36"/>
      <c r="O1426" s="37"/>
      <c r="P1426" s="39"/>
      <c r="Q1426" s="41"/>
      <c r="R1426" s="35" t="str">
        <f aca="true">IF(OR($B1426="",$Q1426=""),"",DATEDIF($Q1426,TODAY(),"Y"))</f>
        <v/>
      </c>
      <c r="S1426" s="40" t="str">
        <f aca="false">IF($R1426="","",INDEX(usia_label,MATCH($R1426,usia_min,1)))</f>
        <v/>
      </c>
      <c r="T1426" s="36"/>
      <c r="U1426" s="41"/>
      <c r="V1426" s="36"/>
      <c r="W1426" s="36"/>
      <c r="X1426" s="40" t="str">
        <f aca="false">IF($M1426="","",$M1426&amp;"#"&amp;COUNTIF($M$4:$M1426,$M1426))</f>
        <v/>
      </c>
      <c r="Y1426" s="40" t="str">
        <f aca="false">IF($B1426="","",IF($C1426="","NIK kosong",IF(LEN($C1426)&lt;&gt;16,"NIK bukan 16 digit",IF(COUNTIF($C$4:$C$2003,$C1426&amp;"*")&gt;1,"NIK ganda",IF(AND($D1426&lt;&gt;"",LEN($D1426)&lt;&gt;16),"No. KK bukan 16 digit",IF(AND($F1426="",$I1426=""),"Alamat kosong",IF($N1426="","Jabatan kosong",IF($O1426="","No. HP kosong",IF(AND($R1426&lt;&gt;"",$R1426&lt;17),"Usia di bawah 17","")))))))))</f>
        <v/>
      </c>
      <c r="Z1426" s="40" t="str">
        <f aca="false">IF($B1426="","",IF(AND(OR(CARI!$C$5="",ISNUMBER(SEARCH(CARI!$C$5,$B1426&amp;" "&amp;$C1426&amp;" "&amp;$D1426&amp;" "&amp;$O1426&amp;" "&amp;$I1426&amp;" "&amp;$F1426&amp;" "&amp;$J1426&amp;" "&amp;$K1426&amp;" "&amp;$L1426&amp;" "&amp;$V1426))),OR(CARI!$C$6="",$F1426=CARI!$C$6),OR(CARI!$C$7="",$G1426=CARI!$C$7),OR(CARI!$C$8="",$T1426=CARI!$C$8)),MAX($Z$3:Z1425)+1,""))</f>
        <v/>
      </c>
      <c r="AA1426" s="40" t="str">
        <f aca="false">IF($Y1426="","",MAX($AA$3:AA1425)+1)</f>
        <v/>
      </c>
      <c r="AB1426" s="40" t="str">
        <f aca="false">IF($F1426="","",$F1426&amp;"#"&amp;COUNTIF($F$4:$F1426,$F1426))</f>
        <v/>
      </c>
      <c r="AC1426" s="40" t="str">
        <f aca="false">IF($B1426="","",IF(AND(OR(CETAK!$J$10="",$F1426=CETAK!$J$10),OR(CETAK!$J$11="",$G1426=CETAK!$J$11),OR(CETAK!$J$12="",$P1426=CETAK!$J$12),OR(CETAK!$J$13="",$N1426=CETAK!$J$13),OR(CETAK!$J$14="",$T1426=CETAK!$J$14)),MAX($AC$3:AC1425)+1,""))</f>
        <v/>
      </c>
      <c r="AD1426" s="40" t="str">
        <f aca="false">IF($B1426="","",IF(AND(OR(ABSENSI!$H$10="",$F1426=ABSENSI!$H$10),OR(ABSENSI!$H$11="",$G1426=ABSENSI!$H$11),OR(ABSENSI!$H$12="",$P1426=ABSENSI!$H$12)),MAX($AD$3:AD1425)+1,""))</f>
        <v/>
      </c>
      <c r="AE1426" s="40" t="str">
        <f aca="false">IF($B1426="","",IF(AND(OR(KARTU!$K$6="",$F1426=KARTU!$K$6),OR(KARTU!$K$7="",$G1426=KARTU!$K$7),OR(KARTU!$K$8="",$P1426=KARTU!$K$8)),MAX($AE$3:AE1425)+1,""))</f>
        <v/>
      </c>
    </row>
    <row r="1427" customFormat="false" ht="15" hidden="false" customHeight="false" outlineLevel="0" collapsed="false">
      <c r="A1427" s="35" t="str">
        <f aca="false">IF($B1427="","",COUNTA($B$4:$B1427))</f>
        <v/>
      </c>
      <c r="B1427" s="36"/>
      <c r="C1427" s="37"/>
      <c r="D1427" s="37"/>
      <c r="E1427" s="38"/>
      <c r="F1427" s="36"/>
      <c r="G1427" s="39"/>
      <c r="H1427" s="39"/>
      <c r="I1427" s="36"/>
      <c r="J1427" s="36"/>
      <c r="K1427" s="36"/>
      <c r="L1427" s="36"/>
      <c r="M1427" s="40" t="str">
        <f aca="false">IF($F1427="","",$F1427&amp;IF($G1427="",""," - RT "&amp;$G1427&amp;IF($H1427="","","/"&amp;$H1427)))</f>
        <v/>
      </c>
      <c r="N1427" s="36"/>
      <c r="O1427" s="37"/>
      <c r="P1427" s="39"/>
      <c r="Q1427" s="41"/>
      <c r="R1427" s="35" t="str">
        <f aca="true">IF(OR($B1427="",$Q1427=""),"",DATEDIF($Q1427,TODAY(),"Y"))</f>
        <v/>
      </c>
      <c r="S1427" s="40" t="str">
        <f aca="false">IF($R1427="","",INDEX(usia_label,MATCH($R1427,usia_min,1)))</f>
        <v/>
      </c>
      <c r="T1427" s="36"/>
      <c r="U1427" s="41"/>
      <c r="V1427" s="36"/>
      <c r="W1427" s="36"/>
      <c r="X1427" s="40" t="str">
        <f aca="false">IF($M1427="","",$M1427&amp;"#"&amp;COUNTIF($M$4:$M1427,$M1427))</f>
        <v/>
      </c>
      <c r="Y1427" s="40" t="str">
        <f aca="false">IF($B1427="","",IF($C1427="","NIK kosong",IF(LEN($C1427)&lt;&gt;16,"NIK bukan 16 digit",IF(COUNTIF($C$4:$C$2003,$C1427&amp;"*")&gt;1,"NIK ganda",IF(AND($D1427&lt;&gt;"",LEN($D1427)&lt;&gt;16),"No. KK bukan 16 digit",IF(AND($F1427="",$I1427=""),"Alamat kosong",IF($N1427="","Jabatan kosong",IF($O1427="","No. HP kosong",IF(AND($R1427&lt;&gt;"",$R1427&lt;17),"Usia di bawah 17","")))))))))</f>
        <v/>
      </c>
      <c r="Z1427" s="40" t="str">
        <f aca="false">IF($B1427="","",IF(AND(OR(CARI!$C$5="",ISNUMBER(SEARCH(CARI!$C$5,$B1427&amp;" "&amp;$C1427&amp;" "&amp;$D1427&amp;" "&amp;$O1427&amp;" "&amp;$I1427&amp;" "&amp;$F1427&amp;" "&amp;$J1427&amp;" "&amp;$K1427&amp;" "&amp;$L1427&amp;" "&amp;$V1427))),OR(CARI!$C$6="",$F1427=CARI!$C$6),OR(CARI!$C$7="",$G1427=CARI!$C$7),OR(CARI!$C$8="",$T1427=CARI!$C$8)),MAX($Z$3:Z1426)+1,""))</f>
        <v/>
      </c>
      <c r="AA1427" s="40" t="str">
        <f aca="false">IF($Y1427="","",MAX($AA$3:AA1426)+1)</f>
        <v/>
      </c>
      <c r="AB1427" s="40" t="str">
        <f aca="false">IF($F1427="","",$F1427&amp;"#"&amp;COUNTIF($F$4:$F1427,$F1427))</f>
        <v/>
      </c>
      <c r="AC1427" s="40" t="str">
        <f aca="false">IF($B1427="","",IF(AND(OR(CETAK!$J$10="",$F1427=CETAK!$J$10),OR(CETAK!$J$11="",$G1427=CETAK!$J$11),OR(CETAK!$J$12="",$P1427=CETAK!$J$12),OR(CETAK!$J$13="",$N1427=CETAK!$J$13),OR(CETAK!$J$14="",$T1427=CETAK!$J$14)),MAX($AC$3:AC1426)+1,""))</f>
        <v/>
      </c>
      <c r="AD1427" s="40" t="str">
        <f aca="false">IF($B1427="","",IF(AND(OR(ABSENSI!$H$10="",$F1427=ABSENSI!$H$10),OR(ABSENSI!$H$11="",$G1427=ABSENSI!$H$11),OR(ABSENSI!$H$12="",$P1427=ABSENSI!$H$12)),MAX($AD$3:AD1426)+1,""))</f>
        <v/>
      </c>
      <c r="AE1427" s="40" t="str">
        <f aca="false">IF($B1427="","",IF(AND(OR(KARTU!$K$6="",$F1427=KARTU!$K$6),OR(KARTU!$K$7="",$G1427=KARTU!$K$7),OR(KARTU!$K$8="",$P1427=KARTU!$K$8)),MAX($AE$3:AE1426)+1,""))</f>
        <v/>
      </c>
    </row>
    <row r="1428" customFormat="false" ht="15" hidden="false" customHeight="false" outlineLevel="0" collapsed="false">
      <c r="A1428" s="35" t="str">
        <f aca="false">IF($B1428="","",COUNTA($B$4:$B1428))</f>
        <v/>
      </c>
      <c r="B1428" s="36"/>
      <c r="C1428" s="37"/>
      <c r="D1428" s="37"/>
      <c r="E1428" s="38"/>
      <c r="F1428" s="36"/>
      <c r="G1428" s="39"/>
      <c r="H1428" s="39"/>
      <c r="I1428" s="36"/>
      <c r="J1428" s="36"/>
      <c r="K1428" s="36"/>
      <c r="L1428" s="36"/>
      <c r="M1428" s="40" t="str">
        <f aca="false">IF($F1428="","",$F1428&amp;IF($G1428="",""," - RT "&amp;$G1428&amp;IF($H1428="","","/"&amp;$H1428)))</f>
        <v/>
      </c>
      <c r="N1428" s="36"/>
      <c r="O1428" s="37"/>
      <c r="P1428" s="39"/>
      <c r="Q1428" s="41"/>
      <c r="R1428" s="35" t="str">
        <f aca="true">IF(OR($B1428="",$Q1428=""),"",DATEDIF($Q1428,TODAY(),"Y"))</f>
        <v/>
      </c>
      <c r="S1428" s="40" t="str">
        <f aca="false">IF($R1428="","",INDEX(usia_label,MATCH($R1428,usia_min,1)))</f>
        <v/>
      </c>
      <c r="T1428" s="36"/>
      <c r="U1428" s="41"/>
      <c r="V1428" s="36"/>
      <c r="W1428" s="36"/>
      <c r="X1428" s="40" t="str">
        <f aca="false">IF($M1428="","",$M1428&amp;"#"&amp;COUNTIF($M$4:$M1428,$M1428))</f>
        <v/>
      </c>
      <c r="Y1428" s="40" t="str">
        <f aca="false">IF($B1428="","",IF($C1428="","NIK kosong",IF(LEN($C1428)&lt;&gt;16,"NIK bukan 16 digit",IF(COUNTIF($C$4:$C$2003,$C1428&amp;"*")&gt;1,"NIK ganda",IF(AND($D1428&lt;&gt;"",LEN($D1428)&lt;&gt;16),"No. KK bukan 16 digit",IF(AND($F1428="",$I1428=""),"Alamat kosong",IF($N1428="","Jabatan kosong",IF($O1428="","No. HP kosong",IF(AND($R1428&lt;&gt;"",$R1428&lt;17),"Usia di bawah 17","")))))))))</f>
        <v/>
      </c>
      <c r="Z1428" s="40" t="str">
        <f aca="false">IF($B1428="","",IF(AND(OR(CARI!$C$5="",ISNUMBER(SEARCH(CARI!$C$5,$B1428&amp;" "&amp;$C1428&amp;" "&amp;$D1428&amp;" "&amp;$O1428&amp;" "&amp;$I1428&amp;" "&amp;$F1428&amp;" "&amp;$J1428&amp;" "&amp;$K1428&amp;" "&amp;$L1428&amp;" "&amp;$V1428))),OR(CARI!$C$6="",$F1428=CARI!$C$6),OR(CARI!$C$7="",$G1428=CARI!$C$7),OR(CARI!$C$8="",$T1428=CARI!$C$8)),MAX($Z$3:Z1427)+1,""))</f>
        <v/>
      </c>
      <c r="AA1428" s="40" t="str">
        <f aca="false">IF($Y1428="","",MAX($AA$3:AA1427)+1)</f>
        <v/>
      </c>
      <c r="AB1428" s="40" t="str">
        <f aca="false">IF($F1428="","",$F1428&amp;"#"&amp;COUNTIF($F$4:$F1428,$F1428))</f>
        <v/>
      </c>
      <c r="AC1428" s="40" t="str">
        <f aca="false">IF($B1428="","",IF(AND(OR(CETAK!$J$10="",$F1428=CETAK!$J$10),OR(CETAK!$J$11="",$G1428=CETAK!$J$11),OR(CETAK!$J$12="",$P1428=CETAK!$J$12),OR(CETAK!$J$13="",$N1428=CETAK!$J$13),OR(CETAK!$J$14="",$T1428=CETAK!$J$14)),MAX($AC$3:AC1427)+1,""))</f>
        <v/>
      </c>
      <c r="AD1428" s="40" t="str">
        <f aca="false">IF($B1428="","",IF(AND(OR(ABSENSI!$H$10="",$F1428=ABSENSI!$H$10),OR(ABSENSI!$H$11="",$G1428=ABSENSI!$H$11),OR(ABSENSI!$H$12="",$P1428=ABSENSI!$H$12)),MAX($AD$3:AD1427)+1,""))</f>
        <v/>
      </c>
      <c r="AE1428" s="40" t="str">
        <f aca="false">IF($B1428="","",IF(AND(OR(KARTU!$K$6="",$F1428=KARTU!$K$6),OR(KARTU!$K$7="",$G1428=KARTU!$K$7),OR(KARTU!$K$8="",$P1428=KARTU!$K$8)),MAX($AE$3:AE1427)+1,""))</f>
        <v/>
      </c>
    </row>
    <row r="1429" customFormat="false" ht="15" hidden="false" customHeight="false" outlineLevel="0" collapsed="false">
      <c r="A1429" s="35" t="str">
        <f aca="false">IF($B1429="","",COUNTA($B$4:$B1429))</f>
        <v/>
      </c>
      <c r="B1429" s="36"/>
      <c r="C1429" s="37"/>
      <c r="D1429" s="37"/>
      <c r="E1429" s="38"/>
      <c r="F1429" s="36"/>
      <c r="G1429" s="39"/>
      <c r="H1429" s="39"/>
      <c r="I1429" s="36"/>
      <c r="J1429" s="36"/>
      <c r="K1429" s="36"/>
      <c r="L1429" s="36"/>
      <c r="M1429" s="40" t="str">
        <f aca="false">IF($F1429="","",$F1429&amp;IF($G1429="",""," - RT "&amp;$G1429&amp;IF($H1429="","","/"&amp;$H1429)))</f>
        <v/>
      </c>
      <c r="N1429" s="36"/>
      <c r="O1429" s="37"/>
      <c r="P1429" s="39"/>
      <c r="Q1429" s="41"/>
      <c r="R1429" s="35" t="str">
        <f aca="true">IF(OR($B1429="",$Q1429=""),"",DATEDIF($Q1429,TODAY(),"Y"))</f>
        <v/>
      </c>
      <c r="S1429" s="40" t="str">
        <f aca="false">IF($R1429="","",INDEX(usia_label,MATCH($R1429,usia_min,1)))</f>
        <v/>
      </c>
      <c r="T1429" s="36"/>
      <c r="U1429" s="41"/>
      <c r="V1429" s="36"/>
      <c r="W1429" s="36"/>
      <c r="X1429" s="40" t="str">
        <f aca="false">IF($M1429="","",$M1429&amp;"#"&amp;COUNTIF($M$4:$M1429,$M1429))</f>
        <v/>
      </c>
      <c r="Y1429" s="40" t="str">
        <f aca="false">IF($B1429="","",IF($C1429="","NIK kosong",IF(LEN($C1429)&lt;&gt;16,"NIK bukan 16 digit",IF(COUNTIF($C$4:$C$2003,$C1429&amp;"*")&gt;1,"NIK ganda",IF(AND($D1429&lt;&gt;"",LEN($D1429)&lt;&gt;16),"No. KK bukan 16 digit",IF(AND($F1429="",$I1429=""),"Alamat kosong",IF($N1429="","Jabatan kosong",IF($O1429="","No. HP kosong",IF(AND($R1429&lt;&gt;"",$R1429&lt;17),"Usia di bawah 17","")))))))))</f>
        <v/>
      </c>
      <c r="Z1429" s="40" t="str">
        <f aca="false">IF($B1429="","",IF(AND(OR(CARI!$C$5="",ISNUMBER(SEARCH(CARI!$C$5,$B1429&amp;" "&amp;$C1429&amp;" "&amp;$D1429&amp;" "&amp;$O1429&amp;" "&amp;$I1429&amp;" "&amp;$F1429&amp;" "&amp;$J1429&amp;" "&amp;$K1429&amp;" "&amp;$L1429&amp;" "&amp;$V1429))),OR(CARI!$C$6="",$F1429=CARI!$C$6),OR(CARI!$C$7="",$G1429=CARI!$C$7),OR(CARI!$C$8="",$T1429=CARI!$C$8)),MAX($Z$3:Z1428)+1,""))</f>
        <v/>
      </c>
      <c r="AA1429" s="40" t="str">
        <f aca="false">IF($Y1429="","",MAX($AA$3:AA1428)+1)</f>
        <v/>
      </c>
      <c r="AB1429" s="40" t="str">
        <f aca="false">IF($F1429="","",$F1429&amp;"#"&amp;COUNTIF($F$4:$F1429,$F1429))</f>
        <v/>
      </c>
      <c r="AC1429" s="40" t="str">
        <f aca="false">IF($B1429="","",IF(AND(OR(CETAK!$J$10="",$F1429=CETAK!$J$10),OR(CETAK!$J$11="",$G1429=CETAK!$J$11),OR(CETAK!$J$12="",$P1429=CETAK!$J$12),OR(CETAK!$J$13="",$N1429=CETAK!$J$13),OR(CETAK!$J$14="",$T1429=CETAK!$J$14)),MAX($AC$3:AC1428)+1,""))</f>
        <v/>
      </c>
      <c r="AD1429" s="40" t="str">
        <f aca="false">IF($B1429="","",IF(AND(OR(ABSENSI!$H$10="",$F1429=ABSENSI!$H$10),OR(ABSENSI!$H$11="",$G1429=ABSENSI!$H$11),OR(ABSENSI!$H$12="",$P1429=ABSENSI!$H$12)),MAX($AD$3:AD1428)+1,""))</f>
        <v/>
      </c>
      <c r="AE1429" s="40" t="str">
        <f aca="false">IF($B1429="","",IF(AND(OR(KARTU!$K$6="",$F1429=KARTU!$K$6),OR(KARTU!$K$7="",$G1429=KARTU!$K$7),OR(KARTU!$K$8="",$P1429=KARTU!$K$8)),MAX($AE$3:AE1428)+1,""))</f>
        <v/>
      </c>
    </row>
    <row r="1430" customFormat="false" ht="15" hidden="false" customHeight="false" outlineLevel="0" collapsed="false">
      <c r="A1430" s="35" t="str">
        <f aca="false">IF($B1430="","",COUNTA($B$4:$B1430))</f>
        <v/>
      </c>
      <c r="B1430" s="36"/>
      <c r="C1430" s="37"/>
      <c r="D1430" s="37"/>
      <c r="E1430" s="38"/>
      <c r="F1430" s="36"/>
      <c r="G1430" s="39"/>
      <c r="H1430" s="39"/>
      <c r="I1430" s="36"/>
      <c r="J1430" s="36"/>
      <c r="K1430" s="36"/>
      <c r="L1430" s="36"/>
      <c r="M1430" s="40" t="str">
        <f aca="false">IF($F1430="","",$F1430&amp;IF($G1430="",""," - RT "&amp;$G1430&amp;IF($H1430="","","/"&amp;$H1430)))</f>
        <v/>
      </c>
      <c r="N1430" s="36"/>
      <c r="O1430" s="37"/>
      <c r="P1430" s="39"/>
      <c r="Q1430" s="41"/>
      <c r="R1430" s="35" t="str">
        <f aca="true">IF(OR($B1430="",$Q1430=""),"",DATEDIF($Q1430,TODAY(),"Y"))</f>
        <v/>
      </c>
      <c r="S1430" s="40" t="str">
        <f aca="false">IF($R1430="","",INDEX(usia_label,MATCH($R1430,usia_min,1)))</f>
        <v/>
      </c>
      <c r="T1430" s="36"/>
      <c r="U1430" s="41"/>
      <c r="V1430" s="36"/>
      <c r="W1430" s="36"/>
      <c r="X1430" s="40" t="str">
        <f aca="false">IF($M1430="","",$M1430&amp;"#"&amp;COUNTIF($M$4:$M1430,$M1430))</f>
        <v/>
      </c>
      <c r="Y1430" s="40" t="str">
        <f aca="false">IF($B1430="","",IF($C1430="","NIK kosong",IF(LEN($C1430)&lt;&gt;16,"NIK bukan 16 digit",IF(COUNTIF($C$4:$C$2003,$C1430&amp;"*")&gt;1,"NIK ganda",IF(AND($D1430&lt;&gt;"",LEN($D1430)&lt;&gt;16),"No. KK bukan 16 digit",IF(AND($F1430="",$I1430=""),"Alamat kosong",IF($N1430="","Jabatan kosong",IF($O1430="","No. HP kosong",IF(AND($R1430&lt;&gt;"",$R1430&lt;17),"Usia di bawah 17","")))))))))</f>
        <v/>
      </c>
      <c r="Z1430" s="40" t="str">
        <f aca="false">IF($B1430="","",IF(AND(OR(CARI!$C$5="",ISNUMBER(SEARCH(CARI!$C$5,$B1430&amp;" "&amp;$C1430&amp;" "&amp;$D1430&amp;" "&amp;$O1430&amp;" "&amp;$I1430&amp;" "&amp;$F1430&amp;" "&amp;$J1430&amp;" "&amp;$K1430&amp;" "&amp;$L1430&amp;" "&amp;$V1430))),OR(CARI!$C$6="",$F1430=CARI!$C$6),OR(CARI!$C$7="",$G1430=CARI!$C$7),OR(CARI!$C$8="",$T1430=CARI!$C$8)),MAX($Z$3:Z1429)+1,""))</f>
        <v/>
      </c>
      <c r="AA1430" s="40" t="str">
        <f aca="false">IF($Y1430="","",MAX($AA$3:AA1429)+1)</f>
        <v/>
      </c>
      <c r="AB1430" s="40" t="str">
        <f aca="false">IF($F1430="","",$F1430&amp;"#"&amp;COUNTIF($F$4:$F1430,$F1430))</f>
        <v/>
      </c>
      <c r="AC1430" s="40" t="str">
        <f aca="false">IF($B1430="","",IF(AND(OR(CETAK!$J$10="",$F1430=CETAK!$J$10),OR(CETAK!$J$11="",$G1430=CETAK!$J$11),OR(CETAK!$J$12="",$P1430=CETAK!$J$12),OR(CETAK!$J$13="",$N1430=CETAK!$J$13),OR(CETAK!$J$14="",$T1430=CETAK!$J$14)),MAX($AC$3:AC1429)+1,""))</f>
        <v/>
      </c>
      <c r="AD1430" s="40" t="str">
        <f aca="false">IF($B1430="","",IF(AND(OR(ABSENSI!$H$10="",$F1430=ABSENSI!$H$10),OR(ABSENSI!$H$11="",$G1430=ABSENSI!$H$11),OR(ABSENSI!$H$12="",$P1430=ABSENSI!$H$12)),MAX($AD$3:AD1429)+1,""))</f>
        <v/>
      </c>
      <c r="AE1430" s="40" t="str">
        <f aca="false">IF($B1430="","",IF(AND(OR(KARTU!$K$6="",$F1430=KARTU!$K$6),OR(KARTU!$K$7="",$G1430=KARTU!$K$7),OR(KARTU!$K$8="",$P1430=KARTU!$K$8)),MAX($AE$3:AE1429)+1,""))</f>
        <v/>
      </c>
    </row>
    <row r="1431" customFormat="false" ht="15" hidden="false" customHeight="false" outlineLevel="0" collapsed="false">
      <c r="A1431" s="35" t="str">
        <f aca="false">IF($B1431="","",COUNTA($B$4:$B1431))</f>
        <v/>
      </c>
      <c r="B1431" s="36"/>
      <c r="C1431" s="37"/>
      <c r="D1431" s="37"/>
      <c r="E1431" s="38"/>
      <c r="F1431" s="36"/>
      <c r="G1431" s="39"/>
      <c r="H1431" s="39"/>
      <c r="I1431" s="36"/>
      <c r="J1431" s="36"/>
      <c r="K1431" s="36"/>
      <c r="L1431" s="36"/>
      <c r="M1431" s="40" t="str">
        <f aca="false">IF($F1431="","",$F1431&amp;IF($G1431="",""," - RT "&amp;$G1431&amp;IF($H1431="","","/"&amp;$H1431)))</f>
        <v/>
      </c>
      <c r="N1431" s="36"/>
      <c r="O1431" s="37"/>
      <c r="P1431" s="39"/>
      <c r="Q1431" s="41"/>
      <c r="R1431" s="35" t="str">
        <f aca="true">IF(OR($B1431="",$Q1431=""),"",DATEDIF($Q1431,TODAY(),"Y"))</f>
        <v/>
      </c>
      <c r="S1431" s="40" t="str">
        <f aca="false">IF($R1431="","",INDEX(usia_label,MATCH($R1431,usia_min,1)))</f>
        <v/>
      </c>
      <c r="T1431" s="36"/>
      <c r="U1431" s="41"/>
      <c r="V1431" s="36"/>
      <c r="W1431" s="36"/>
      <c r="X1431" s="40" t="str">
        <f aca="false">IF($M1431="","",$M1431&amp;"#"&amp;COUNTIF($M$4:$M1431,$M1431))</f>
        <v/>
      </c>
      <c r="Y1431" s="40" t="str">
        <f aca="false">IF($B1431="","",IF($C1431="","NIK kosong",IF(LEN($C1431)&lt;&gt;16,"NIK bukan 16 digit",IF(COUNTIF($C$4:$C$2003,$C1431&amp;"*")&gt;1,"NIK ganda",IF(AND($D1431&lt;&gt;"",LEN($D1431)&lt;&gt;16),"No. KK bukan 16 digit",IF(AND($F1431="",$I1431=""),"Alamat kosong",IF($N1431="","Jabatan kosong",IF($O1431="","No. HP kosong",IF(AND($R1431&lt;&gt;"",$R1431&lt;17),"Usia di bawah 17","")))))))))</f>
        <v/>
      </c>
      <c r="Z1431" s="40" t="str">
        <f aca="false">IF($B1431="","",IF(AND(OR(CARI!$C$5="",ISNUMBER(SEARCH(CARI!$C$5,$B1431&amp;" "&amp;$C1431&amp;" "&amp;$D1431&amp;" "&amp;$O1431&amp;" "&amp;$I1431&amp;" "&amp;$F1431&amp;" "&amp;$J1431&amp;" "&amp;$K1431&amp;" "&amp;$L1431&amp;" "&amp;$V1431))),OR(CARI!$C$6="",$F1431=CARI!$C$6),OR(CARI!$C$7="",$G1431=CARI!$C$7),OR(CARI!$C$8="",$T1431=CARI!$C$8)),MAX($Z$3:Z1430)+1,""))</f>
        <v/>
      </c>
      <c r="AA1431" s="40" t="str">
        <f aca="false">IF($Y1431="","",MAX($AA$3:AA1430)+1)</f>
        <v/>
      </c>
      <c r="AB1431" s="40" t="str">
        <f aca="false">IF($F1431="","",$F1431&amp;"#"&amp;COUNTIF($F$4:$F1431,$F1431))</f>
        <v/>
      </c>
      <c r="AC1431" s="40" t="str">
        <f aca="false">IF($B1431="","",IF(AND(OR(CETAK!$J$10="",$F1431=CETAK!$J$10),OR(CETAK!$J$11="",$G1431=CETAK!$J$11),OR(CETAK!$J$12="",$P1431=CETAK!$J$12),OR(CETAK!$J$13="",$N1431=CETAK!$J$13),OR(CETAK!$J$14="",$T1431=CETAK!$J$14)),MAX($AC$3:AC1430)+1,""))</f>
        <v/>
      </c>
      <c r="AD1431" s="40" t="str">
        <f aca="false">IF($B1431="","",IF(AND(OR(ABSENSI!$H$10="",$F1431=ABSENSI!$H$10),OR(ABSENSI!$H$11="",$G1431=ABSENSI!$H$11),OR(ABSENSI!$H$12="",$P1431=ABSENSI!$H$12)),MAX($AD$3:AD1430)+1,""))</f>
        <v/>
      </c>
      <c r="AE1431" s="40" t="str">
        <f aca="false">IF($B1431="","",IF(AND(OR(KARTU!$K$6="",$F1431=KARTU!$K$6),OR(KARTU!$K$7="",$G1431=KARTU!$K$7),OR(KARTU!$K$8="",$P1431=KARTU!$K$8)),MAX($AE$3:AE1430)+1,""))</f>
        <v/>
      </c>
    </row>
    <row r="1432" customFormat="false" ht="15" hidden="false" customHeight="false" outlineLevel="0" collapsed="false">
      <c r="A1432" s="35" t="str">
        <f aca="false">IF($B1432="","",COUNTA($B$4:$B1432))</f>
        <v/>
      </c>
      <c r="B1432" s="36"/>
      <c r="C1432" s="37"/>
      <c r="D1432" s="37"/>
      <c r="E1432" s="38"/>
      <c r="F1432" s="36"/>
      <c r="G1432" s="39"/>
      <c r="H1432" s="39"/>
      <c r="I1432" s="36"/>
      <c r="J1432" s="36"/>
      <c r="K1432" s="36"/>
      <c r="L1432" s="36"/>
      <c r="M1432" s="40" t="str">
        <f aca="false">IF($F1432="","",$F1432&amp;IF($G1432="",""," - RT "&amp;$G1432&amp;IF($H1432="","","/"&amp;$H1432)))</f>
        <v/>
      </c>
      <c r="N1432" s="36"/>
      <c r="O1432" s="37"/>
      <c r="P1432" s="39"/>
      <c r="Q1432" s="41"/>
      <c r="R1432" s="35" t="str">
        <f aca="true">IF(OR($B1432="",$Q1432=""),"",DATEDIF($Q1432,TODAY(),"Y"))</f>
        <v/>
      </c>
      <c r="S1432" s="40" t="str">
        <f aca="false">IF($R1432="","",INDEX(usia_label,MATCH($R1432,usia_min,1)))</f>
        <v/>
      </c>
      <c r="T1432" s="36"/>
      <c r="U1432" s="41"/>
      <c r="V1432" s="36"/>
      <c r="W1432" s="36"/>
      <c r="X1432" s="40" t="str">
        <f aca="false">IF($M1432="","",$M1432&amp;"#"&amp;COUNTIF($M$4:$M1432,$M1432))</f>
        <v/>
      </c>
      <c r="Y1432" s="40" t="str">
        <f aca="false">IF($B1432="","",IF($C1432="","NIK kosong",IF(LEN($C1432)&lt;&gt;16,"NIK bukan 16 digit",IF(COUNTIF($C$4:$C$2003,$C1432&amp;"*")&gt;1,"NIK ganda",IF(AND($D1432&lt;&gt;"",LEN($D1432)&lt;&gt;16),"No. KK bukan 16 digit",IF(AND($F1432="",$I1432=""),"Alamat kosong",IF($N1432="","Jabatan kosong",IF($O1432="","No. HP kosong",IF(AND($R1432&lt;&gt;"",$R1432&lt;17),"Usia di bawah 17","")))))))))</f>
        <v/>
      </c>
      <c r="Z1432" s="40" t="str">
        <f aca="false">IF($B1432="","",IF(AND(OR(CARI!$C$5="",ISNUMBER(SEARCH(CARI!$C$5,$B1432&amp;" "&amp;$C1432&amp;" "&amp;$D1432&amp;" "&amp;$O1432&amp;" "&amp;$I1432&amp;" "&amp;$F1432&amp;" "&amp;$J1432&amp;" "&amp;$K1432&amp;" "&amp;$L1432&amp;" "&amp;$V1432))),OR(CARI!$C$6="",$F1432=CARI!$C$6),OR(CARI!$C$7="",$G1432=CARI!$C$7),OR(CARI!$C$8="",$T1432=CARI!$C$8)),MAX($Z$3:Z1431)+1,""))</f>
        <v/>
      </c>
      <c r="AA1432" s="40" t="str">
        <f aca="false">IF($Y1432="","",MAX($AA$3:AA1431)+1)</f>
        <v/>
      </c>
      <c r="AB1432" s="40" t="str">
        <f aca="false">IF($F1432="","",$F1432&amp;"#"&amp;COUNTIF($F$4:$F1432,$F1432))</f>
        <v/>
      </c>
      <c r="AC1432" s="40" t="str">
        <f aca="false">IF($B1432="","",IF(AND(OR(CETAK!$J$10="",$F1432=CETAK!$J$10),OR(CETAK!$J$11="",$G1432=CETAK!$J$11),OR(CETAK!$J$12="",$P1432=CETAK!$J$12),OR(CETAK!$J$13="",$N1432=CETAK!$J$13),OR(CETAK!$J$14="",$T1432=CETAK!$J$14)),MAX($AC$3:AC1431)+1,""))</f>
        <v/>
      </c>
      <c r="AD1432" s="40" t="str">
        <f aca="false">IF($B1432="","",IF(AND(OR(ABSENSI!$H$10="",$F1432=ABSENSI!$H$10),OR(ABSENSI!$H$11="",$G1432=ABSENSI!$H$11),OR(ABSENSI!$H$12="",$P1432=ABSENSI!$H$12)),MAX($AD$3:AD1431)+1,""))</f>
        <v/>
      </c>
      <c r="AE1432" s="40" t="str">
        <f aca="false">IF($B1432="","",IF(AND(OR(KARTU!$K$6="",$F1432=KARTU!$K$6),OR(KARTU!$K$7="",$G1432=KARTU!$K$7),OR(KARTU!$K$8="",$P1432=KARTU!$K$8)),MAX($AE$3:AE1431)+1,""))</f>
        <v/>
      </c>
    </row>
    <row r="1433" customFormat="false" ht="15" hidden="false" customHeight="false" outlineLevel="0" collapsed="false">
      <c r="A1433" s="35" t="str">
        <f aca="false">IF($B1433="","",COUNTA($B$4:$B1433))</f>
        <v/>
      </c>
      <c r="B1433" s="36"/>
      <c r="C1433" s="37"/>
      <c r="D1433" s="37"/>
      <c r="E1433" s="38"/>
      <c r="F1433" s="36"/>
      <c r="G1433" s="39"/>
      <c r="H1433" s="39"/>
      <c r="I1433" s="36"/>
      <c r="J1433" s="36"/>
      <c r="K1433" s="36"/>
      <c r="L1433" s="36"/>
      <c r="M1433" s="40" t="str">
        <f aca="false">IF($F1433="","",$F1433&amp;IF($G1433="",""," - RT "&amp;$G1433&amp;IF($H1433="","","/"&amp;$H1433)))</f>
        <v/>
      </c>
      <c r="N1433" s="36"/>
      <c r="O1433" s="37"/>
      <c r="P1433" s="39"/>
      <c r="Q1433" s="41"/>
      <c r="R1433" s="35" t="str">
        <f aca="true">IF(OR($B1433="",$Q1433=""),"",DATEDIF($Q1433,TODAY(),"Y"))</f>
        <v/>
      </c>
      <c r="S1433" s="40" t="str">
        <f aca="false">IF($R1433="","",INDEX(usia_label,MATCH($R1433,usia_min,1)))</f>
        <v/>
      </c>
      <c r="T1433" s="36"/>
      <c r="U1433" s="41"/>
      <c r="V1433" s="36"/>
      <c r="W1433" s="36"/>
      <c r="X1433" s="40" t="str">
        <f aca="false">IF($M1433="","",$M1433&amp;"#"&amp;COUNTIF($M$4:$M1433,$M1433))</f>
        <v/>
      </c>
      <c r="Y1433" s="40" t="str">
        <f aca="false">IF($B1433="","",IF($C1433="","NIK kosong",IF(LEN($C1433)&lt;&gt;16,"NIK bukan 16 digit",IF(COUNTIF($C$4:$C$2003,$C1433&amp;"*")&gt;1,"NIK ganda",IF(AND($D1433&lt;&gt;"",LEN($D1433)&lt;&gt;16),"No. KK bukan 16 digit",IF(AND($F1433="",$I1433=""),"Alamat kosong",IF($N1433="","Jabatan kosong",IF($O1433="","No. HP kosong",IF(AND($R1433&lt;&gt;"",$R1433&lt;17),"Usia di bawah 17","")))))))))</f>
        <v/>
      </c>
      <c r="Z1433" s="40" t="str">
        <f aca="false">IF($B1433="","",IF(AND(OR(CARI!$C$5="",ISNUMBER(SEARCH(CARI!$C$5,$B1433&amp;" "&amp;$C1433&amp;" "&amp;$D1433&amp;" "&amp;$O1433&amp;" "&amp;$I1433&amp;" "&amp;$F1433&amp;" "&amp;$J1433&amp;" "&amp;$K1433&amp;" "&amp;$L1433&amp;" "&amp;$V1433))),OR(CARI!$C$6="",$F1433=CARI!$C$6),OR(CARI!$C$7="",$G1433=CARI!$C$7),OR(CARI!$C$8="",$T1433=CARI!$C$8)),MAX($Z$3:Z1432)+1,""))</f>
        <v/>
      </c>
      <c r="AA1433" s="40" t="str">
        <f aca="false">IF($Y1433="","",MAX($AA$3:AA1432)+1)</f>
        <v/>
      </c>
      <c r="AB1433" s="40" t="str">
        <f aca="false">IF($F1433="","",$F1433&amp;"#"&amp;COUNTIF($F$4:$F1433,$F1433))</f>
        <v/>
      </c>
      <c r="AC1433" s="40" t="str">
        <f aca="false">IF($B1433="","",IF(AND(OR(CETAK!$J$10="",$F1433=CETAK!$J$10),OR(CETAK!$J$11="",$G1433=CETAK!$J$11),OR(CETAK!$J$12="",$P1433=CETAK!$J$12),OR(CETAK!$J$13="",$N1433=CETAK!$J$13),OR(CETAK!$J$14="",$T1433=CETAK!$J$14)),MAX($AC$3:AC1432)+1,""))</f>
        <v/>
      </c>
      <c r="AD1433" s="40" t="str">
        <f aca="false">IF($B1433="","",IF(AND(OR(ABSENSI!$H$10="",$F1433=ABSENSI!$H$10),OR(ABSENSI!$H$11="",$G1433=ABSENSI!$H$11),OR(ABSENSI!$H$12="",$P1433=ABSENSI!$H$12)),MAX($AD$3:AD1432)+1,""))</f>
        <v/>
      </c>
      <c r="AE1433" s="40" t="str">
        <f aca="false">IF($B1433="","",IF(AND(OR(KARTU!$K$6="",$F1433=KARTU!$K$6),OR(KARTU!$K$7="",$G1433=KARTU!$K$7),OR(KARTU!$K$8="",$P1433=KARTU!$K$8)),MAX($AE$3:AE1432)+1,""))</f>
        <v/>
      </c>
    </row>
    <row r="1434" customFormat="false" ht="15" hidden="false" customHeight="false" outlineLevel="0" collapsed="false">
      <c r="A1434" s="35" t="str">
        <f aca="false">IF($B1434="","",COUNTA($B$4:$B1434))</f>
        <v/>
      </c>
      <c r="B1434" s="36"/>
      <c r="C1434" s="37"/>
      <c r="D1434" s="37"/>
      <c r="E1434" s="38"/>
      <c r="F1434" s="36"/>
      <c r="G1434" s="39"/>
      <c r="H1434" s="39"/>
      <c r="I1434" s="36"/>
      <c r="J1434" s="36"/>
      <c r="K1434" s="36"/>
      <c r="L1434" s="36"/>
      <c r="M1434" s="40" t="str">
        <f aca="false">IF($F1434="","",$F1434&amp;IF($G1434="",""," - RT "&amp;$G1434&amp;IF($H1434="","","/"&amp;$H1434)))</f>
        <v/>
      </c>
      <c r="N1434" s="36"/>
      <c r="O1434" s="37"/>
      <c r="P1434" s="39"/>
      <c r="Q1434" s="41"/>
      <c r="R1434" s="35" t="str">
        <f aca="true">IF(OR($B1434="",$Q1434=""),"",DATEDIF($Q1434,TODAY(),"Y"))</f>
        <v/>
      </c>
      <c r="S1434" s="40" t="str">
        <f aca="false">IF($R1434="","",INDEX(usia_label,MATCH($R1434,usia_min,1)))</f>
        <v/>
      </c>
      <c r="T1434" s="36"/>
      <c r="U1434" s="41"/>
      <c r="V1434" s="36"/>
      <c r="W1434" s="36"/>
      <c r="X1434" s="40" t="str">
        <f aca="false">IF($M1434="","",$M1434&amp;"#"&amp;COUNTIF($M$4:$M1434,$M1434))</f>
        <v/>
      </c>
      <c r="Y1434" s="40" t="str">
        <f aca="false">IF($B1434="","",IF($C1434="","NIK kosong",IF(LEN($C1434)&lt;&gt;16,"NIK bukan 16 digit",IF(COUNTIF($C$4:$C$2003,$C1434&amp;"*")&gt;1,"NIK ganda",IF(AND($D1434&lt;&gt;"",LEN($D1434)&lt;&gt;16),"No. KK bukan 16 digit",IF(AND($F1434="",$I1434=""),"Alamat kosong",IF($N1434="","Jabatan kosong",IF($O1434="","No. HP kosong",IF(AND($R1434&lt;&gt;"",$R1434&lt;17),"Usia di bawah 17","")))))))))</f>
        <v/>
      </c>
      <c r="Z1434" s="40" t="str">
        <f aca="false">IF($B1434="","",IF(AND(OR(CARI!$C$5="",ISNUMBER(SEARCH(CARI!$C$5,$B1434&amp;" "&amp;$C1434&amp;" "&amp;$D1434&amp;" "&amp;$O1434&amp;" "&amp;$I1434&amp;" "&amp;$F1434&amp;" "&amp;$J1434&amp;" "&amp;$K1434&amp;" "&amp;$L1434&amp;" "&amp;$V1434))),OR(CARI!$C$6="",$F1434=CARI!$C$6),OR(CARI!$C$7="",$G1434=CARI!$C$7),OR(CARI!$C$8="",$T1434=CARI!$C$8)),MAX($Z$3:Z1433)+1,""))</f>
        <v/>
      </c>
      <c r="AA1434" s="40" t="str">
        <f aca="false">IF($Y1434="","",MAX($AA$3:AA1433)+1)</f>
        <v/>
      </c>
      <c r="AB1434" s="40" t="str">
        <f aca="false">IF($F1434="","",$F1434&amp;"#"&amp;COUNTIF($F$4:$F1434,$F1434))</f>
        <v/>
      </c>
      <c r="AC1434" s="40" t="str">
        <f aca="false">IF($B1434="","",IF(AND(OR(CETAK!$J$10="",$F1434=CETAK!$J$10),OR(CETAK!$J$11="",$G1434=CETAK!$J$11),OR(CETAK!$J$12="",$P1434=CETAK!$J$12),OR(CETAK!$J$13="",$N1434=CETAK!$J$13),OR(CETAK!$J$14="",$T1434=CETAK!$J$14)),MAX($AC$3:AC1433)+1,""))</f>
        <v/>
      </c>
      <c r="AD1434" s="40" t="str">
        <f aca="false">IF($B1434="","",IF(AND(OR(ABSENSI!$H$10="",$F1434=ABSENSI!$H$10),OR(ABSENSI!$H$11="",$G1434=ABSENSI!$H$11),OR(ABSENSI!$H$12="",$P1434=ABSENSI!$H$12)),MAX($AD$3:AD1433)+1,""))</f>
        <v/>
      </c>
      <c r="AE1434" s="40" t="str">
        <f aca="false">IF($B1434="","",IF(AND(OR(KARTU!$K$6="",$F1434=KARTU!$K$6),OR(KARTU!$K$7="",$G1434=KARTU!$K$7),OR(KARTU!$K$8="",$P1434=KARTU!$K$8)),MAX($AE$3:AE1433)+1,""))</f>
        <v/>
      </c>
    </row>
    <row r="1435" customFormat="false" ht="15" hidden="false" customHeight="false" outlineLevel="0" collapsed="false">
      <c r="A1435" s="35" t="str">
        <f aca="false">IF($B1435="","",COUNTA($B$4:$B1435))</f>
        <v/>
      </c>
      <c r="B1435" s="36"/>
      <c r="C1435" s="37"/>
      <c r="D1435" s="37"/>
      <c r="E1435" s="38"/>
      <c r="F1435" s="36"/>
      <c r="G1435" s="39"/>
      <c r="H1435" s="39"/>
      <c r="I1435" s="36"/>
      <c r="J1435" s="36"/>
      <c r="K1435" s="36"/>
      <c r="L1435" s="36"/>
      <c r="M1435" s="40" t="str">
        <f aca="false">IF($F1435="","",$F1435&amp;IF($G1435="",""," - RT "&amp;$G1435&amp;IF($H1435="","","/"&amp;$H1435)))</f>
        <v/>
      </c>
      <c r="N1435" s="36"/>
      <c r="O1435" s="37"/>
      <c r="P1435" s="39"/>
      <c r="Q1435" s="41"/>
      <c r="R1435" s="35" t="str">
        <f aca="true">IF(OR($B1435="",$Q1435=""),"",DATEDIF($Q1435,TODAY(),"Y"))</f>
        <v/>
      </c>
      <c r="S1435" s="40" t="str">
        <f aca="false">IF($R1435="","",INDEX(usia_label,MATCH($R1435,usia_min,1)))</f>
        <v/>
      </c>
      <c r="T1435" s="36"/>
      <c r="U1435" s="41"/>
      <c r="V1435" s="36"/>
      <c r="W1435" s="36"/>
      <c r="X1435" s="40" t="str">
        <f aca="false">IF($M1435="","",$M1435&amp;"#"&amp;COUNTIF($M$4:$M1435,$M1435))</f>
        <v/>
      </c>
      <c r="Y1435" s="40" t="str">
        <f aca="false">IF($B1435="","",IF($C1435="","NIK kosong",IF(LEN($C1435)&lt;&gt;16,"NIK bukan 16 digit",IF(COUNTIF($C$4:$C$2003,$C1435&amp;"*")&gt;1,"NIK ganda",IF(AND($D1435&lt;&gt;"",LEN($D1435)&lt;&gt;16),"No. KK bukan 16 digit",IF(AND($F1435="",$I1435=""),"Alamat kosong",IF($N1435="","Jabatan kosong",IF($O1435="","No. HP kosong",IF(AND($R1435&lt;&gt;"",$R1435&lt;17),"Usia di bawah 17","")))))))))</f>
        <v/>
      </c>
      <c r="Z1435" s="40" t="str">
        <f aca="false">IF($B1435="","",IF(AND(OR(CARI!$C$5="",ISNUMBER(SEARCH(CARI!$C$5,$B1435&amp;" "&amp;$C1435&amp;" "&amp;$D1435&amp;" "&amp;$O1435&amp;" "&amp;$I1435&amp;" "&amp;$F1435&amp;" "&amp;$J1435&amp;" "&amp;$K1435&amp;" "&amp;$L1435&amp;" "&amp;$V1435))),OR(CARI!$C$6="",$F1435=CARI!$C$6),OR(CARI!$C$7="",$G1435=CARI!$C$7),OR(CARI!$C$8="",$T1435=CARI!$C$8)),MAX($Z$3:Z1434)+1,""))</f>
        <v/>
      </c>
      <c r="AA1435" s="40" t="str">
        <f aca="false">IF($Y1435="","",MAX($AA$3:AA1434)+1)</f>
        <v/>
      </c>
      <c r="AB1435" s="40" t="str">
        <f aca="false">IF($F1435="","",$F1435&amp;"#"&amp;COUNTIF($F$4:$F1435,$F1435))</f>
        <v/>
      </c>
      <c r="AC1435" s="40" t="str">
        <f aca="false">IF($B1435="","",IF(AND(OR(CETAK!$J$10="",$F1435=CETAK!$J$10),OR(CETAK!$J$11="",$G1435=CETAK!$J$11),OR(CETAK!$J$12="",$P1435=CETAK!$J$12),OR(CETAK!$J$13="",$N1435=CETAK!$J$13),OR(CETAK!$J$14="",$T1435=CETAK!$J$14)),MAX($AC$3:AC1434)+1,""))</f>
        <v/>
      </c>
      <c r="AD1435" s="40" t="str">
        <f aca="false">IF($B1435="","",IF(AND(OR(ABSENSI!$H$10="",$F1435=ABSENSI!$H$10),OR(ABSENSI!$H$11="",$G1435=ABSENSI!$H$11),OR(ABSENSI!$H$12="",$P1435=ABSENSI!$H$12)),MAX($AD$3:AD1434)+1,""))</f>
        <v/>
      </c>
      <c r="AE1435" s="40" t="str">
        <f aca="false">IF($B1435="","",IF(AND(OR(KARTU!$K$6="",$F1435=KARTU!$K$6),OR(KARTU!$K$7="",$G1435=KARTU!$K$7),OR(KARTU!$K$8="",$P1435=KARTU!$K$8)),MAX($AE$3:AE1434)+1,""))</f>
        <v/>
      </c>
    </row>
    <row r="1436" customFormat="false" ht="15" hidden="false" customHeight="false" outlineLevel="0" collapsed="false">
      <c r="A1436" s="35" t="str">
        <f aca="false">IF($B1436="","",COUNTA($B$4:$B1436))</f>
        <v/>
      </c>
      <c r="B1436" s="36"/>
      <c r="C1436" s="37"/>
      <c r="D1436" s="37"/>
      <c r="E1436" s="38"/>
      <c r="F1436" s="36"/>
      <c r="G1436" s="39"/>
      <c r="H1436" s="39"/>
      <c r="I1436" s="36"/>
      <c r="J1436" s="36"/>
      <c r="K1436" s="36"/>
      <c r="L1436" s="36"/>
      <c r="M1436" s="40" t="str">
        <f aca="false">IF($F1436="","",$F1436&amp;IF($G1436="",""," - RT "&amp;$G1436&amp;IF($H1436="","","/"&amp;$H1436)))</f>
        <v/>
      </c>
      <c r="N1436" s="36"/>
      <c r="O1436" s="37"/>
      <c r="P1436" s="39"/>
      <c r="Q1436" s="41"/>
      <c r="R1436" s="35" t="str">
        <f aca="true">IF(OR($B1436="",$Q1436=""),"",DATEDIF($Q1436,TODAY(),"Y"))</f>
        <v/>
      </c>
      <c r="S1436" s="40" t="str">
        <f aca="false">IF($R1436="","",INDEX(usia_label,MATCH($R1436,usia_min,1)))</f>
        <v/>
      </c>
      <c r="T1436" s="36"/>
      <c r="U1436" s="41"/>
      <c r="V1436" s="36"/>
      <c r="W1436" s="36"/>
      <c r="X1436" s="40" t="str">
        <f aca="false">IF($M1436="","",$M1436&amp;"#"&amp;COUNTIF($M$4:$M1436,$M1436))</f>
        <v/>
      </c>
      <c r="Y1436" s="40" t="str">
        <f aca="false">IF($B1436="","",IF($C1436="","NIK kosong",IF(LEN($C1436)&lt;&gt;16,"NIK bukan 16 digit",IF(COUNTIF($C$4:$C$2003,$C1436&amp;"*")&gt;1,"NIK ganda",IF(AND($D1436&lt;&gt;"",LEN($D1436)&lt;&gt;16),"No. KK bukan 16 digit",IF(AND($F1436="",$I1436=""),"Alamat kosong",IF($N1436="","Jabatan kosong",IF($O1436="","No. HP kosong",IF(AND($R1436&lt;&gt;"",$R1436&lt;17),"Usia di bawah 17","")))))))))</f>
        <v/>
      </c>
      <c r="Z1436" s="40" t="str">
        <f aca="false">IF($B1436="","",IF(AND(OR(CARI!$C$5="",ISNUMBER(SEARCH(CARI!$C$5,$B1436&amp;" "&amp;$C1436&amp;" "&amp;$D1436&amp;" "&amp;$O1436&amp;" "&amp;$I1436&amp;" "&amp;$F1436&amp;" "&amp;$J1436&amp;" "&amp;$K1436&amp;" "&amp;$L1436&amp;" "&amp;$V1436))),OR(CARI!$C$6="",$F1436=CARI!$C$6),OR(CARI!$C$7="",$G1436=CARI!$C$7),OR(CARI!$C$8="",$T1436=CARI!$C$8)),MAX($Z$3:Z1435)+1,""))</f>
        <v/>
      </c>
      <c r="AA1436" s="40" t="str">
        <f aca="false">IF($Y1436="","",MAX($AA$3:AA1435)+1)</f>
        <v/>
      </c>
      <c r="AB1436" s="40" t="str">
        <f aca="false">IF($F1436="","",$F1436&amp;"#"&amp;COUNTIF($F$4:$F1436,$F1436))</f>
        <v/>
      </c>
      <c r="AC1436" s="40" t="str">
        <f aca="false">IF($B1436="","",IF(AND(OR(CETAK!$J$10="",$F1436=CETAK!$J$10),OR(CETAK!$J$11="",$G1436=CETAK!$J$11),OR(CETAK!$J$12="",$P1436=CETAK!$J$12),OR(CETAK!$J$13="",$N1436=CETAK!$J$13),OR(CETAK!$J$14="",$T1436=CETAK!$J$14)),MAX($AC$3:AC1435)+1,""))</f>
        <v/>
      </c>
      <c r="AD1436" s="40" t="str">
        <f aca="false">IF($B1436="","",IF(AND(OR(ABSENSI!$H$10="",$F1436=ABSENSI!$H$10),OR(ABSENSI!$H$11="",$G1436=ABSENSI!$H$11),OR(ABSENSI!$H$12="",$P1436=ABSENSI!$H$12)),MAX($AD$3:AD1435)+1,""))</f>
        <v/>
      </c>
      <c r="AE1436" s="40" t="str">
        <f aca="false">IF($B1436="","",IF(AND(OR(KARTU!$K$6="",$F1436=KARTU!$K$6),OR(KARTU!$K$7="",$G1436=KARTU!$K$7),OR(KARTU!$K$8="",$P1436=KARTU!$K$8)),MAX($AE$3:AE1435)+1,""))</f>
        <v/>
      </c>
    </row>
    <row r="1437" customFormat="false" ht="15" hidden="false" customHeight="false" outlineLevel="0" collapsed="false">
      <c r="A1437" s="35" t="str">
        <f aca="false">IF($B1437="","",COUNTA($B$4:$B1437))</f>
        <v/>
      </c>
      <c r="B1437" s="36"/>
      <c r="C1437" s="37"/>
      <c r="D1437" s="37"/>
      <c r="E1437" s="38"/>
      <c r="F1437" s="36"/>
      <c r="G1437" s="39"/>
      <c r="H1437" s="39"/>
      <c r="I1437" s="36"/>
      <c r="J1437" s="36"/>
      <c r="K1437" s="36"/>
      <c r="L1437" s="36"/>
      <c r="M1437" s="40" t="str">
        <f aca="false">IF($F1437="","",$F1437&amp;IF($G1437="",""," - RT "&amp;$G1437&amp;IF($H1437="","","/"&amp;$H1437)))</f>
        <v/>
      </c>
      <c r="N1437" s="36"/>
      <c r="O1437" s="37"/>
      <c r="P1437" s="39"/>
      <c r="Q1437" s="41"/>
      <c r="R1437" s="35" t="str">
        <f aca="true">IF(OR($B1437="",$Q1437=""),"",DATEDIF($Q1437,TODAY(),"Y"))</f>
        <v/>
      </c>
      <c r="S1437" s="40" t="str">
        <f aca="false">IF($R1437="","",INDEX(usia_label,MATCH($R1437,usia_min,1)))</f>
        <v/>
      </c>
      <c r="T1437" s="36"/>
      <c r="U1437" s="41"/>
      <c r="V1437" s="36"/>
      <c r="W1437" s="36"/>
      <c r="X1437" s="40" t="str">
        <f aca="false">IF($M1437="","",$M1437&amp;"#"&amp;COUNTIF($M$4:$M1437,$M1437))</f>
        <v/>
      </c>
      <c r="Y1437" s="40" t="str">
        <f aca="false">IF($B1437="","",IF($C1437="","NIK kosong",IF(LEN($C1437)&lt;&gt;16,"NIK bukan 16 digit",IF(COUNTIF($C$4:$C$2003,$C1437&amp;"*")&gt;1,"NIK ganda",IF(AND($D1437&lt;&gt;"",LEN($D1437)&lt;&gt;16),"No. KK bukan 16 digit",IF(AND($F1437="",$I1437=""),"Alamat kosong",IF($N1437="","Jabatan kosong",IF($O1437="","No. HP kosong",IF(AND($R1437&lt;&gt;"",$R1437&lt;17),"Usia di bawah 17","")))))))))</f>
        <v/>
      </c>
      <c r="Z1437" s="40" t="str">
        <f aca="false">IF($B1437="","",IF(AND(OR(CARI!$C$5="",ISNUMBER(SEARCH(CARI!$C$5,$B1437&amp;" "&amp;$C1437&amp;" "&amp;$D1437&amp;" "&amp;$O1437&amp;" "&amp;$I1437&amp;" "&amp;$F1437&amp;" "&amp;$J1437&amp;" "&amp;$K1437&amp;" "&amp;$L1437&amp;" "&amp;$V1437))),OR(CARI!$C$6="",$F1437=CARI!$C$6),OR(CARI!$C$7="",$G1437=CARI!$C$7),OR(CARI!$C$8="",$T1437=CARI!$C$8)),MAX($Z$3:Z1436)+1,""))</f>
        <v/>
      </c>
      <c r="AA1437" s="40" t="str">
        <f aca="false">IF($Y1437="","",MAX($AA$3:AA1436)+1)</f>
        <v/>
      </c>
      <c r="AB1437" s="40" t="str">
        <f aca="false">IF($F1437="","",$F1437&amp;"#"&amp;COUNTIF($F$4:$F1437,$F1437))</f>
        <v/>
      </c>
      <c r="AC1437" s="40" t="str">
        <f aca="false">IF($B1437="","",IF(AND(OR(CETAK!$J$10="",$F1437=CETAK!$J$10),OR(CETAK!$J$11="",$G1437=CETAK!$J$11),OR(CETAK!$J$12="",$P1437=CETAK!$J$12),OR(CETAK!$J$13="",$N1437=CETAK!$J$13),OR(CETAK!$J$14="",$T1437=CETAK!$J$14)),MAX($AC$3:AC1436)+1,""))</f>
        <v/>
      </c>
      <c r="AD1437" s="40" t="str">
        <f aca="false">IF($B1437="","",IF(AND(OR(ABSENSI!$H$10="",$F1437=ABSENSI!$H$10),OR(ABSENSI!$H$11="",$G1437=ABSENSI!$H$11),OR(ABSENSI!$H$12="",$P1437=ABSENSI!$H$12)),MAX($AD$3:AD1436)+1,""))</f>
        <v/>
      </c>
      <c r="AE1437" s="40" t="str">
        <f aca="false">IF($B1437="","",IF(AND(OR(KARTU!$K$6="",$F1437=KARTU!$K$6),OR(KARTU!$K$7="",$G1437=KARTU!$K$7),OR(KARTU!$K$8="",$P1437=KARTU!$K$8)),MAX($AE$3:AE1436)+1,""))</f>
        <v/>
      </c>
    </row>
    <row r="1438" customFormat="false" ht="15" hidden="false" customHeight="false" outlineLevel="0" collapsed="false">
      <c r="A1438" s="35" t="str">
        <f aca="false">IF($B1438="","",COUNTA($B$4:$B1438))</f>
        <v/>
      </c>
      <c r="B1438" s="36"/>
      <c r="C1438" s="37"/>
      <c r="D1438" s="37"/>
      <c r="E1438" s="38"/>
      <c r="F1438" s="36"/>
      <c r="G1438" s="39"/>
      <c r="H1438" s="39"/>
      <c r="I1438" s="36"/>
      <c r="J1438" s="36"/>
      <c r="K1438" s="36"/>
      <c r="L1438" s="36"/>
      <c r="M1438" s="40" t="str">
        <f aca="false">IF($F1438="","",$F1438&amp;IF($G1438="",""," - RT "&amp;$G1438&amp;IF($H1438="","","/"&amp;$H1438)))</f>
        <v/>
      </c>
      <c r="N1438" s="36"/>
      <c r="O1438" s="37"/>
      <c r="P1438" s="39"/>
      <c r="Q1438" s="41"/>
      <c r="R1438" s="35" t="str">
        <f aca="true">IF(OR($B1438="",$Q1438=""),"",DATEDIF($Q1438,TODAY(),"Y"))</f>
        <v/>
      </c>
      <c r="S1438" s="40" t="str">
        <f aca="false">IF($R1438="","",INDEX(usia_label,MATCH($R1438,usia_min,1)))</f>
        <v/>
      </c>
      <c r="T1438" s="36"/>
      <c r="U1438" s="41"/>
      <c r="V1438" s="36"/>
      <c r="W1438" s="36"/>
      <c r="X1438" s="40" t="str">
        <f aca="false">IF($M1438="","",$M1438&amp;"#"&amp;COUNTIF($M$4:$M1438,$M1438))</f>
        <v/>
      </c>
      <c r="Y1438" s="40" t="str">
        <f aca="false">IF($B1438="","",IF($C1438="","NIK kosong",IF(LEN($C1438)&lt;&gt;16,"NIK bukan 16 digit",IF(COUNTIF($C$4:$C$2003,$C1438&amp;"*")&gt;1,"NIK ganda",IF(AND($D1438&lt;&gt;"",LEN($D1438)&lt;&gt;16),"No. KK bukan 16 digit",IF(AND($F1438="",$I1438=""),"Alamat kosong",IF($N1438="","Jabatan kosong",IF($O1438="","No. HP kosong",IF(AND($R1438&lt;&gt;"",$R1438&lt;17),"Usia di bawah 17","")))))))))</f>
        <v/>
      </c>
      <c r="Z1438" s="40" t="str">
        <f aca="false">IF($B1438="","",IF(AND(OR(CARI!$C$5="",ISNUMBER(SEARCH(CARI!$C$5,$B1438&amp;" "&amp;$C1438&amp;" "&amp;$D1438&amp;" "&amp;$O1438&amp;" "&amp;$I1438&amp;" "&amp;$F1438&amp;" "&amp;$J1438&amp;" "&amp;$K1438&amp;" "&amp;$L1438&amp;" "&amp;$V1438))),OR(CARI!$C$6="",$F1438=CARI!$C$6),OR(CARI!$C$7="",$G1438=CARI!$C$7),OR(CARI!$C$8="",$T1438=CARI!$C$8)),MAX($Z$3:Z1437)+1,""))</f>
        <v/>
      </c>
      <c r="AA1438" s="40" t="str">
        <f aca="false">IF($Y1438="","",MAX($AA$3:AA1437)+1)</f>
        <v/>
      </c>
      <c r="AB1438" s="40" t="str">
        <f aca="false">IF($F1438="","",$F1438&amp;"#"&amp;COUNTIF($F$4:$F1438,$F1438))</f>
        <v/>
      </c>
      <c r="AC1438" s="40" t="str">
        <f aca="false">IF($B1438="","",IF(AND(OR(CETAK!$J$10="",$F1438=CETAK!$J$10),OR(CETAK!$J$11="",$G1438=CETAK!$J$11),OR(CETAK!$J$12="",$P1438=CETAK!$J$12),OR(CETAK!$J$13="",$N1438=CETAK!$J$13),OR(CETAK!$J$14="",$T1438=CETAK!$J$14)),MAX($AC$3:AC1437)+1,""))</f>
        <v/>
      </c>
      <c r="AD1438" s="40" t="str">
        <f aca="false">IF($B1438="","",IF(AND(OR(ABSENSI!$H$10="",$F1438=ABSENSI!$H$10),OR(ABSENSI!$H$11="",$G1438=ABSENSI!$H$11),OR(ABSENSI!$H$12="",$P1438=ABSENSI!$H$12)),MAX($AD$3:AD1437)+1,""))</f>
        <v/>
      </c>
      <c r="AE1438" s="40" t="str">
        <f aca="false">IF($B1438="","",IF(AND(OR(KARTU!$K$6="",$F1438=KARTU!$K$6),OR(KARTU!$K$7="",$G1438=KARTU!$K$7),OR(KARTU!$K$8="",$P1438=KARTU!$K$8)),MAX($AE$3:AE1437)+1,""))</f>
        <v/>
      </c>
    </row>
    <row r="1439" customFormat="false" ht="15" hidden="false" customHeight="false" outlineLevel="0" collapsed="false">
      <c r="A1439" s="35" t="str">
        <f aca="false">IF($B1439="","",COUNTA($B$4:$B1439))</f>
        <v/>
      </c>
      <c r="B1439" s="36"/>
      <c r="C1439" s="37"/>
      <c r="D1439" s="37"/>
      <c r="E1439" s="38"/>
      <c r="F1439" s="36"/>
      <c r="G1439" s="39"/>
      <c r="H1439" s="39"/>
      <c r="I1439" s="36"/>
      <c r="J1439" s="36"/>
      <c r="K1439" s="36"/>
      <c r="L1439" s="36"/>
      <c r="M1439" s="40" t="str">
        <f aca="false">IF($F1439="","",$F1439&amp;IF($G1439="",""," - RT "&amp;$G1439&amp;IF($H1439="","","/"&amp;$H1439)))</f>
        <v/>
      </c>
      <c r="N1439" s="36"/>
      <c r="O1439" s="37"/>
      <c r="P1439" s="39"/>
      <c r="Q1439" s="41"/>
      <c r="R1439" s="35" t="str">
        <f aca="true">IF(OR($B1439="",$Q1439=""),"",DATEDIF($Q1439,TODAY(),"Y"))</f>
        <v/>
      </c>
      <c r="S1439" s="40" t="str">
        <f aca="false">IF($R1439="","",INDEX(usia_label,MATCH($R1439,usia_min,1)))</f>
        <v/>
      </c>
      <c r="T1439" s="36"/>
      <c r="U1439" s="41"/>
      <c r="V1439" s="36"/>
      <c r="W1439" s="36"/>
      <c r="X1439" s="40" t="str">
        <f aca="false">IF($M1439="","",$M1439&amp;"#"&amp;COUNTIF($M$4:$M1439,$M1439))</f>
        <v/>
      </c>
      <c r="Y1439" s="40" t="str">
        <f aca="false">IF($B1439="","",IF($C1439="","NIK kosong",IF(LEN($C1439)&lt;&gt;16,"NIK bukan 16 digit",IF(COUNTIF($C$4:$C$2003,$C1439&amp;"*")&gt;1,"NIK ganda",IF(AND($D1439&lt;&gt;"",LEN($D1439)&lt;&gt;16),"No. KK bukan 16 digit",IF(AND($F1439="",$I1439=""),"Alamat kosong",IF($N1439="","Jabatan kosong",IF($O1439="","No. HP kosong",IF(AND($R1439&lt;&gt;"",$R1439&lt;17),"Usia di bawah 17","")))))))))</f>
        <v/>
      </c>
      <c r="Z1439" s="40" t="str">
        <f aca="false">IF($B1439="","",IF(AND(OR(CARI!$C$5="",ISNUMBER(SEARCH(CARI!$C$5,$B1439&amp;" "&amp;$C1439&amp;" "&amp;$D1439&amp;" "&amp;$O1439&amp;" "&amp;$I1439&amp;" "&amp;$F1439&amp;" "&amp;$J1439&amp;" "&amp;$K1439&amp;" "&amp;$L1439&amp;" "&amp;$V1439))),OR(CARI!$C$6="",$F1439=CARI!$C$6),OR(CARI!$C$7="",$G1439=CARI!$C$7),OR(CARI!$C$8="",$T1439=CARI!$C$8)),MAX($Z$3:Z1438)+1,""))</f>
        <v/>
      </c>
      <c r="AA1439" s="40" t="str">
        <f aca="false">IF($Y1439="","",MAX($AA$3:AA1438)+1)</f>
        <v/>
      </c>
      <c r="AB1439" s="40" t="str">
        <f aca="false">IF($F1439="","",$F1439&amp;"#"&amp;COUNTIF($F$4:$F1439,$F1439))</f>
        <v/>
      </c>
      <c r="AC1439" s="40" t="str">
        <f aca="false">IF($B1439="","",IF(AND(OR(CETAK!$J$10="",$F1439=CETAK!$J$10),OR(CETAK!$J$11="",$G1439=CETAK!$J$11),OR(CETAK!$J$12="",$P1439=CETAK!$J$12),OR(CETAK!$J$13="",$N1439=CETAK!$J$13),OR(CETAK!$J$14="",$T1439=CETAK!$J$14)),MAX($AC$3:AC1438)+1,""))</f>
        <v/>
      </c>
      <c r="AD1439" s="40" t="str">
        <f aca="false">IF($B1439="","",IF(AND(OR(ABSENSI!$H$10="",$F1439=ABSENSI!$H$10),OR(ABSENSI!$H$11="",$G1439=ABSENSI!$H$11),OR(ABSENSI!$H$12="",$P1439=ABSENSI!$H$12)),MAX($AD$3:AD1438)+1,""))</f>
        <v/>
      </c>
      <c r="AE1439" s="40" t="str">
        <f aca="false">IF($B1439="","",IF(AND(OR(KARTU!$K$6="",$F1439=KARTU!$K$6),OR(KARTU!$K$7="",$G1439=KARTU!$K$7),OR(KARTU!$K$8="",$P1439=KARTU!$K$8)),MAX($AE$3:AE1438)+1,""))</f>
        <v/>
      </c>
    </row>
    <row r="1440" customFormat="false" ht="15" hidden="false" customHeight="false" outlineLevel="0" collapsed="false">
      <c r="A1440" s="35" t="str">
        <f aca="false">IF($B1440="","",COUNTA($B$4:$B1440))</f>
        <v/>
      </c>
      <c r="B1440" s="36"/>
      <c r="C1440" s="37"/>
      <c r="D1440" s="37"/>
      <c r="E1440" s="38"/>
      <c r="F1440" s="36"/>
      <c r="G1440" s="39"/>
      <c r="H1440" s="39"/>
      <c r="I1440" s="36"/>
      <c r="J1440" s="36"/>
      <c r="K1440" s="36"/>
      <c r="L1440" s="36"/>
      <c r="M1440" s="40" t="str">
        <f aca="false">IF($F1440="","",$F1440&amp;IF($G1440="",""," - RT "&amp;$G1440&amp;IF($H1440="","","/"&amp;$H1440)))</f>
        <v/>
      </c>
      <c r="N1440" s="36"/>
      <c r="O1440" s="37"/>
      <c r="P1440" s="39"/>
      <c r="Q1440" s="41"/>
      <c r="R1440" s="35" t="str">
        <f aca="true">IF(OR($B1440="",$Q1440=""),"",DATEDIF($Q1440,TODAY(),"Y"))</f>
        <v/>
      </c>
      <c r="S1440" s="40" t="str">
        <f aca="false">IF($R1440="","",INDEX(usia_label,MATCH($R1440,usia_min,1)))</f>
        <v/>
      </c>
      <c r="T1440" s="36"/>
      <c r="U1440" s="41"/>
      <c r="V1440" s="36"/>
      <c r="W1440" s="36"/>
      <c r="X1440" s="40" t="str">
        <f aca="false">IF($M1440="","",$M1440&amp;"#"&amp;COUNTIF($M$4:$M1440,$M1440))</f>
        <v/>
      </c>
      <c r="Y1440" s="40" t="str">
        <f aca="false">IF($B1440="","",IF($C1440="","NIK kosong",IF(LEN($C1440)&lt;&gt;16,"NIK bukan 16 digit",IF(COUNTIF($C$4:$C$2003,$C1440&amp;"*")&gt;1,"NIK ganda",IF(AND($D1440&lt;&gt;"",LEN($D1440)&lt;&gt;16),"No. KK bukan 16 digit",IF(AND($F1440="",$I1440=""),"Alamat kosong",IF($N1440="","Jabatan kosong",IF($O1440="","No. HP kosong",IF(AND($R1440&lt;&gt;"",$R1440&lt;17),"Usia di bawah 17","")))))))))</f>
        <v/>
      </c>
      <c r="Z1440" s="40" t="str">
        <f aca="false">IF($B1440="","",IF(AND(OR(CARI!$C$5="",ISNUMBER(SEARCH(CARI!$C$5,$B1440&amp;" "&amp;$C1440&amp;" "&amp;$D1440&amp;" "&amp;$O1440&amp;" "&amp;$I1440&amp;" "&amp;$F1440&amp;" "&amp;$J1440&amp;" "&amp;$K1440&amp;" "&amp;$L1440&amp;" "&amp;$V1440))),OR(CARI!$C$6="",$F1440=CARI!$C$6),OR(CARI!$C$7="",$G1440=CARI!$C$7),OR(CARI!$C$8="",$T1440=CARI!$C$8)),MAX($Z$3:Z1439)+1,""))</f>
        <v/>
      </c>
      <c r="AA1440" s="40" t="str">
        <f aca="false">IF($Y1440="","",MAX($AA$3:AA1439)+1)</f>
        <v/>
      </c>
      <c r="AB1440" s="40" t="str">
        <f aca="false">IF($F1440="","",$F1440&amp;"#"&amp;COUNTIF($F$4:$F1440,$F1440))</f>
        <v/>
      </c>
      <c r="AC1440" s="40" t="str">
        <f aca="false">IF($B1440="","",IF(AND(OR(CETAK!$J$10="",$F1440=CETAK!$J$10),OR(CETAK!$J$11="",$G1440=CETAK!$J$11),OR(CETAK!$J$12="",$P1440=CETAK!$J$12),OR(CETAK!$J$13="",$N1440=CETAK!$J$13),OR(CETAK!$J$14="",$T1440=CETAK!$J$14)),MAX($AC$3:AC1439)+1,""))</f>
        <v/>
      </c>
      <c r="AD1440" s="40" t="str">
        <f aca="false">IF($B1440="","",IF(AND(OR(ABSENSI!$H$10="",$F1440=ABSENSI!$H$10),OR(ABSENSI!$H$11="",$G1440=ABSENSI!$H$11),OR(ABSENSI!$H$12="",$P1440=ABSENSI!$H$12)),MAX($AD$3:AD1439)+1,""))</f>
        <v/>
      </c>
      <c r="AE1440" s="40" t="str">
        <f aca="false">IF($B1440="","",IF(AND(OR(KARTU!$K$6="",$F1440=KARTU!$K$6),OR(KARTU!$K$7="",$G1440=KARTU!$K$7),OR(KARTU!$K$8="",$P1440=KARTU!$K$8)),MAX($AE$3:AE1439)+1,""))</f>
        <v/>
      </c>
    </row>
    <row r="1441" customFormat="false" ht="15" hidden="false" customHeight="false" outlineLevel="0" collapsed="false">
      <c r="A1441" s="35" t="str">
        <f aca="false">IF($B1441="","",COUNTA($B$4:$B1441))</f>
        <v/>
      </c>
      <c r="B1441" s="36"/>
      <c r="C1441" s="37"/>
      <c r="D1441" s="37"/>
      <c r="E1441" s="38"/>
      <c r="F1441" s="36"/>
      <c r="G1441" s="39"/>
      <c r="H1441" s="39"/>
      <c r="I1441" s="36"/>
      <c r="J1441" s="36"/>
      <c r="K1441" s="36"/>
      <c r="L1441" s="36"/>
      <c r="M1441" s="40" t="str">
        <f aca="false">IF($F1441="","",$F1441&amp;IF($G1441="",""," - RT "&amp;$G1441&amp;IF($H1441="","","/"&amp;$H1441)))</f>
        <v/>
      </c>
      <c r="N1441" s="36"/>
      <c r="O1441" s="37"/>
      <c r="P1441" s="39"/>
      <c r="Q1441" s="41"/>
      <c r="R1441" s="35" t="str">
        <f aca="true">IF(OR($B1441="",$Q1441=""),"",DATEDIF($Q1441,TODAY(),"Y"))</f>
        <v/>
      </c>
      <c r="S1441" s="40" t="str">
        <f aca="false">IF($R1441="","",INDEX(usia_label,MATCH($R1441,usia_min,1)))</f>
        <v/>
      </c>
      <c r="T1441" s="36"/>
      <c r="U1441" s="41"/>
      <c r="V1441" s="36"/>
      <c r="W1441" s="36"/>
      <c r="X1441" s="40" t="str">
        <f aca="false">IF($M1441="","",$M1441&amp;"#"&amp;COUNTIF($M$4:$M1441,$M1441))</f>
        <v/>
      </c>
      <c r="Y1441" s="40" t="str">
        <f aca="false">IF($B1441="","",IF($C1441="","NIK kosong",IF(LEN($C1441)&lt;&gt;16,"NIK bukan 16 digit",IF(COUNTIF($C$4:$C$2003,$C1441&amp;"*")&gt;1,"NIK ganda",IF(AND($D1441&lt;&gt;"",LEN($D1441)&lt;&gt;16),"No. KK bukan 16 digit",IF(AND($F1441="",$I1441=""),"Alamat kosong",IF($N1441="","Jabatan kosong",IF($O1441="","No. HP kosong",IF(AND($R1441&lt;&gt;"",$R1441&lt;17),"Usia di bawah 17","")))))))))</f>
        <v/>
      </c>
      <c r="Z1441" s="40" t="str">
        <f aca="false">IF($B1441="","",IF(AND(OR(CARI!$C$5="",ISNUMBER(SEARCH(CARI!$C$5,$B1441&amp;" "&amp;$C1441&amp;" "&amp;$D1441&amp;" "&amp;$O1441&amp;" "&amp;$I1441&amp;" "&amp;$F1441&amp;" "&amp;$J1441&amp;" "&amp;$K1441&amp;" "&amp;$L1441&amp;" "&amp;$V1441))),OR(CARI!$C$6="",$F1441=CARI!$C$6),OR(CARI!$C$7="",$G1441=CARI!$C$7),OR(CARI!$C$8="",$T1441=CARI!$C$8)),MAX($Z$3:Z1440)+1,""))</f>
        <v/>
      </c>
      <c r="AA1441" s="40" t="str">
        <f aca="false">IF($Y1441="","",MAX($AA$3:AA1440)+1)</f>
        <v/>
      </c>
      <c r="AB1441" s="40" t="str">
        <f aca="false">IF($F1441="","",$F1441&amp;"#"&amp;COUNTIF($F$4:$F1441,$F1441))</f>
        <v/>
      </c>
      <c r="AC1441" s="40" t="str">
        <f aca="false">IF($B1441="","",IF(AND(OR(CETAK!$J$10="",$F1441=CETAK!$J$10),OR(CETAK!$J$11="",$G1441=CETAK!$J$11),OR(CETAK!$J$12="",$P1441=CETAK!$J$12),OR(CETAK!$J$13="",$N1441=CETAK!$J$13),OR(CETAK!$J$14="",$T1441=CETAK!$J$14)),MAX($AC$3:AC1440)+1,""))</f>
        <v/>
      </c>
      <c r="AD1441" s="40" t="str">
        <f aca="false">IF($B1441="","",IF(AND(OR(ABSENSI!$H$10="",$F1441=ABSENSI!$H$10),OR(ABSENSI!$H$11="",$G1441=ABSENSI!$H$11),OR(ABSENSI!$H$12="",$P1441=ABSENSI!$H$12)),MAX($AD$3:AD1440)+1,""))</f>
        <v/>
      </c>
      <c r="AE1441" s="40" t="str">
        <f aca="false">IF($B1441="","",IF(AND(OR(KARTU!$K$6="",$F1441=KARTU!$K$6),OR(KARTU!$K$7="",$G1441=KARTU!$K$7),OR(KARTU!$K$8="",$P1441=KARTU!$K$8)),MAX($AE$3:AE1440)+1,""))</f>
        <v/>
      </c>
    </row>
    <row r="1442" customFormat="false" ht="15" hidden="false" customHeight="false" outlineLevel="0" collapsed="false">
      <c r="A1442" s="35" t="str">
        <f aca="false">IF($B1442="","",COUNTA($B$4:$B1442))</f>
        <v/>
      </c>
      <c r="B1442" s="36"/>
      <c r="C1442" s="37"/>
      <c r="D1442" s="37"/>
      <c r="E1442" s="38"/>
      <c r="F1442" s="36"/>
      <c r="G1442" s="39"/>
      <c r="H1442" s="39"/>
      <c r="I1442" s="36"/>
      <c r="J1442" s="36"/>
      <c r="K1442" s="36"/>
      <c r="L1442" s="36"/>
      <c r="M1442" s="40" t="str">
        <f aca="false">IF($F1442="","",$F1442&amp;IF($G1442="",""," - RT "&amp;$G1442&amp;IF($H1442="","","/"&amp;$H1442)))</f>
        <v/>
      </c>
      <c r="N1442" s="36"/>
      <c r="O1442" s="37"/>
      <c r="P1442" s="39"/>
      <c r="Q1442" s="41"/>
      <c r="R1442" s="35" t="str">
        <f aca="true">IF(OR($B1442="",$Q1442=""),"",DATEDIF($Q1442,TODAY(),"Y"))</f>
        <v/>
      </c>
      <c r="S1442" s="40" t="str">
        <f aca="false">IF($R1442="","",INDEX(usia_label,MATCH($R1442,usia_min,1)))</f>
        <v/>
      </c>
      <c r="T1442" s="36"/>
      <c r="U1442" s="41"/>
      <c r="V1442" s="36"/>
      <c r="W1442" s="36"/>
      <c r="X1442" s="40" t="str">
        <f aca="false">IF($M1442="","",$M1442&amp;"#"&amp;COUNTIF($M$4:$M1442,$M1442))</f>
        <v/>
      </c>
      <c r="Y1442" s="40" t="str">
        <f aca="false">IF($B1442="","",IF($C1442="","NIK kosong",IF(LEN($C1442)&lt;&gt;16,"NIK bukan 16 digit",IF(COUNTIF($C$4:$C$2003,$C1442&amp;"*")&gt;1,"NIK ganda",IF(AND($D1442&lt;&gt;"",LEN($D1442)&lt;&gt;16),"No. KK bukan 16 digit",IF(AND($F1442="",$I1442=""),"Alamat kosong",IF($N1442="","Jabatan kosong",IF($O1442="","No. HP kosong",IF(AND($R1442&lt;&gt;"",$R1442&lt;17),"Usia di bawah 17","")))))))))</f>
        <v/>
      </c>
      <c r="Z1442" s="40" t="str">
        <f aca="false">IF($B1442="","",IF(AND(OR(CARI!$C$5="",ISNUMBER(SEARCH(CARI!$C$5,$B1442&amp;" "&amp;$C1442&amp;" "&amp;$D1442&amp;" "&amp;$O1442&amp;" "&amp;$I1442&amp;" "&amp;$F1442&amp;" "&amp;$J1442&amp;" "&amp;$K1442&amp;" "&amp;$L1442&amp;" "&amp;$V1442))),OR(CARI!$C$6="",$F1442=CARI!$C$6),OR(CARI!$C$7="",$G1442=CARI!$C$7),OR(CARI!$C$8="",$T1442=CARI!$C$8)),MAX($Z$3:Z1441)+1,""))</f>
        <v/>
      </c>
      <c r="AA1442" s="40" t="str">
        <f aca="false">IF($Y1442="","",MAX($AA$3:AA1441)+1)</f>
        <v/>
      </c>
      <c r="AB1442" s="40" t="str">
        <f aca="false">IF($F1442="","",$F1442&amp;"#"&amp;COUNTIF($F$4:$F1442,$F1442))</f>
        <v/>
      </c>
      <c r="AC1442" s="40" t="str">
        <f aca="false">IF($B1442="","",IF(AND(OR(CETAK!$J$10="",$F1442=CETAK!$J$10),OR(CETAK!$J$11="",$G1442=CETAK!$J$11),OR(CETAK!$J$12="",$P1442=CETAK!$J$12),OR(CETAK!$J$13="",$N1442=CETAK!$J$13),OR(CETAK!$J$14="",$T1442=CETAK!$J$14)),MAX($AC$3:AC1441)+1,""))</f>
        <v/>
      </c>
      <c r="AD1442" s="40" t="str">
        <f aca="false">IF($B1442="","",IF(AND(OR(ABSENSI!$H$10="",$F1442=ABSENSI!$H$10),OR(ABSENSI!$H$11="",$G1442=ABSENSI!$H$11),OR(ABSENSI!$H$12="",$P1442=ABSENSI!$H$12)),MAX($AD$3:AD1441)+1,""))</f>
        <v/>
      </c>
      <c r="AE1442" s="40" t="str">
        <f aca="false">IF($B1442="","",IF(AND(OR(KARTU!$K$6="",$F1442=KARTU!$K$6),OR(KARTU!$K$7="",$G1442=KARTU!$K$7),OR(KARTU!$K$8="",$P1442=KARTU!$K$8)),MAX($AE$3:AE1441)+1,""))</f>
        <v/>
      </c>
    </row>
    <row r="1443" customFormat="false" ht="15" hidden="false" customHeight="false" outlineLevel="0" collapsed="false">
      <c r="A1443" s="35" t="str">
        <f aca="false">IF($B1443="","",COUNTA($B$4:$B1443))</f>
        <v/>
      </c>
      <c r="B1443" s="36"/>
      <c r="C1443" s="37"/>
      <c r="D1443" s="37"/>
      <c r="E1443" s="38"/>
      <c r="F1443" s="36"/>
      <c r="G1443" s="39"/>
      <c r="H1443" s="39"/>
      <c r="I1443" s="36"/>
      <c r="J1443" s="36"/>
      <c r="K1443" s="36"/>
      <c r="L1443" s="36"/>
      <c r="M1443" s="40" t="str">
        <f aca="false">IF($F1443="","",$F1443&amp;IF($G1443="",""," - RT "&amp;$G1443&amp;IF($H1443="","","/"&amp;$H1443)))</f>
        <v/>
      </c>
      <c r="N1443" s="36"/>
      <c r="O1443" s="37"/>
      <c r="P1443" s="39"/>
      <c r="Q1443" s="41"/>
      <c r="R1443" s="35" t="str">
        <f aca="true">IF(OR($B1443="",$Q1443=""),"",DATEDIF($Q1443,TODAY(),"Y"))</f>
        <v/>
      </c>
      <c r="S1443" s="40" t="str">
        <f aca="false">IF($R1443="","",INDEX(usia_label,MATCH($R1443,usia_min,1)))</f>
        <v/>
      </c>
      <c r="T1443" s="36"/>
      <c r="U1443" s="41"/>
      <c r="V1443" s="36"/>
      <c r="W1443" s="36"/>
      <c r="X1443" s="40" t="str">
        <f aca="false">IF($M1443="","",$M1443&amp;"#"&amp;COUNTIF($M$4:$M1443,$M1443))</f>
        <v/>
      </c>
      <c r="Y1443" s="40" t="str">
        <f aca="false">IF($B1443="","",IF($C1443="","NIK kosong",IF(LEN($C1443)&lt;&gt;16,"NIK bukan 16 digit",IF(COUNTIF($C$4:$C$2003,$C1443&amp;"*")&gt;1,"NIK ganda",IF(AND($D1443&lt;&gt;"",LEN($D1443)&lt;&gt;16),"No. KK bukan 16 digit",IF(AND($F1443="",$I1443=""),"Alamat kosong",IF($N1443="","Jabatan kosong",IF($O1443="","No. HP kosong",IF(AND($R1443&lt;&gt;"",$R1443&lt;17),"Usia di bawah 17","")))))))))</f>
        <v/>
      </c>
      <c r="Z1443" s="40" t="str">
        <f aca="false">IF($B1443="","",IF(AND(OR(CARI!$C$5="",ISNUMBER(SEARCH(CARI!$C$5,$B1443&amp;" "&amp;$C1443&amp;" "&amp;$D1443&amp;" "&amp;$O1443&amp;" "&amp;$I1443&amp;" "&amp;$F1443&amp;" "&amp;$J1443&amp;" "&amp;$K1443&amp;" "&amp;$L1443&amp;" "&amp;$V1443))),OR(CARI!$C$6="",$F1443=CARI!$C$6),OR(CARI!$C$7="",$G1443=CARI!$C$7),OR(CARI!$C$8="",$T1443=CARI!$C$8)),MAX($Z$3:Z1442)+1,""))</f>
        <v/>
      </c>
      <c r="AA1443" s="40" t="str">
        <f aca="false">IF($Y1443="","",MAX($AA$3:AA1442)+1)</f>
        <v/>
      </c>
      <c r="AB1443" s="40" t="str">
        <f aca="false">IF($F1443="","",$F1443&amp;"#"&amp;COUNTIF($F$4:$F1443,$F1443))</f>
        <v/>
      </c>
      <c r="AC1443" s="40" t="str">
        <f aca="false">IF($B1443="","",IF(AND(OR(CETAK!$J$10="",$F1443=CETAK!$J$10),OR(CETAK!$J$11="",$G1443=CETAK!$J$11),OR(CETAK!$J$12="",$P1443=CETAK!$J$12),OR(CETAK!$J$13="",$N1443=CETAK!$J$13),OR(CETAK!$J$14="",$T1443=CETAK!$J$14)),MAX($AC$3:AC1442)+1,""))</f>
        <v/>
      </c>
      <c r="AD1443" s="40" t="str">
        <f aca="false">IF($B1443="","",IF(AND(OR(ABSENSI!$H$10="",$F1443=ABSENSI!$H$10),OR(ABSENSI!$H$11="",$G1443=ABSENSI!$H$11),OR(ABSENSI!$H$12="",$P1443=ABSENSI!$H$12)),MAX($AD$3:AD1442)+1,""))</f>
        <v/>
      </c>
      <c r="AE1443" s="40" t="str">
        <f aca="false">IF($B1443="","",IF(AND(OR(KARTU!$K$6="",$F1443=KARTU!$K$6),OR(KARTU!$K$7="",$G1443=KARTU!$K$7),OR(KARTU!$K$8="",$P1443=KARTU!$K$8)),MAX($AE$3:AE1442)+1,""))</f>
        <v/>
      </c>
    </row>
    <row r="1444" customFormat="false" ht="15" hidden="false" customHeight="false" outlineLevel="0" collapsed="false">
      <c r="A1444" s="35" t="str">
        <f aca="false">IF($B1444="","",COUNTA($B$4:$B1444))</f>
        <v/>
      </c>
      <c r="B1444" s="36"/>
      <c r="C1444" s="37"/>
      <c r="D1444" s="37"/>
      <c r="E1444" s="38"/>
      <c r="F1444" s="36"/>
      <c r="G1444" s="39"/>
      <c r="H1444" s="39"/>
      <c r="I1444" s="36"/>
      <c r="J1444" s="36"/>
      <c r="K1444" s="36"/>
      <c r="L1444" s="36"/>
      <c r="M1444" s="40" t="str">
        <f aca="false">IF($F1444="","",$F1444&amp;IF($G1444="",""," - RT "&amp;$G1444&amp;IF($H1444="","","/"&amp;$H1444)))</f>
        <v/>
      </c>
      <c r="N1444" s="36"/>
      <c r="O1444" s="37"/>
      <c r="P1444" s="39"/>
      <c r="Q1444" s="41"/>
      <c r="R1444" s="35" t="str">
        <f aca="true">IF(OR($B1444="",$Q1444=""),"",DATEDIF($Q1444,TODAY(),"Y"))</f>
        <v/>
      </c>
      <c r="S1444" s="40" t="str">
        <f aca="false">IF($R1444="","",INDEX(usia_label,MATCH($R1444,usia_min,1)))</f>
        <v/>
      </c>
      <c r="T1444" s="36"/>
      <c r="U1444" s="41"/>
      <c r="V1444" s="36"/>
      <c r="W1444" s="36"/>
      <c r="X1444" s="40" t="str">
        <f aca="false">IF($M1444="","",$M1444&amp;"#"&amp;COUNTIF($M$4:$M1444,$M1444))</f>
        <v/>
      </c>
      <c r="Y1444" s="40" t="str">
        <f aca="false">IF($B1444="","",IF($C1444="","NIK kosong",IF(LEN($C1444)&lt;&gt;16,"NIK bukan 16 digit",IF(COUNTIF($C$4:$C$2003,$C1444&amp;"*")&gt;1,"NIK ganda",IF(AND($D1444&lt;&gt;"",LEN($D1444)&lt;&gt;16),"No. KK bukan 16 digit",IF(AND($F1444="",$I1444=""),"Alamat kosong",IF($N1444="","Jabatan kosong",IF($O1444="","No. HP kosong",IF(AND($R1444&lt;&gt;"",$R1444&lt;17),"Usia di bawah 17","")))))))))</f>
        <v/>
      </c>
      <c r="Z1444" s="40" t="str">
        <f aca="false">IF($B1444="","",IF(AND(OR(CARI!$C$5="",ISNUMBER(SEARCH(CARI!$C$5,$B1444&amp;" "&amp;$C1444&amp;" "&amp;$D1444&amp;" "&amp;$O1444&amp;" "&amp;$I1444&amp;" "&amp;$F1444&amp;" "&amp;$J1444&amp;" "&amp;$K1444&amp;" "&amp;$L1444&amp;" "&amp;$V1444))),OR(CARI!$C$6="",$F1444=CARI!$C$6),OR(CARI!$C$7="",$G1444=CARI!$C$7),OR(CARI!$C$8="",$T1444=CARI!$C$8)),MAX($Z$3:Z1443)+1,""))</f>
        <v/>
      </c>
      <c r="AA1444" s="40" t="str">
        <f aca="false">IF($Y1444="","",MAX($AA$3:AA1443)+1)</f>
        <v/>
      </c>
      <c r="AB1444" s="40" t="str">
        <f aca="false">IF($F1444="","",$F1444&amp;"#"&amp;COUNTIF($F$4:$F1444,$F1444))</f>
        <v/>
      </c>
      <c r="AC1444" s="40" t="str">
        <f aca="false">IF($B1444="","",IF(AND(OR(CETAK!$J$10="",$F1444=CETAK!$J$10),OR(CETAK!$J$11="",$G1444=CETAK!$J$11),OR(CETAK!$J$12="",$P1444=CETAK!$J$12),OR(CETAK!$J$13="",$N1444=CETAK!$J$13),OR(CETAK!$J$14="",$T1444=CETAK!$J$14)),MAX($AC$3:AC1443)+1,""))</f>
        <v/>
      </c>
      <c r="AD1444" s="40" t="str">
        <f aca="false">IF($B1444="","",IF(AND(OR(ABSENSI!$H$10="",$F1444=ABSENSI!$H$10),OR(ABSENSI!$H$11="",$G1444=ABSENSI!$H$11),OR(ABSENSI!$H$12="",$P1444=ABSENSI!$H$12)),MAX($AD$3:AD1443)+1,""))</f>
        <v/>
      </c>
      <c r="AE1444" s="40" t="str">
        <f aca="false">IF($B1444="","",IF(AND(OR(KARTU!$K$6="",$F1444=KARTU!$K$6),OR(KARTU!$K$7="",$G1444=KARTU!$K$7),OR(KARTU!$K$8="",$P1444=KARTU!$K$8)),MAX($AE$3:AE1443)+1,""))</f>
        <v/>
      </c>
    </row>
    <row r="1445" customFormat="false" ht="15" hidden="false" customHeight="false" outlineLevel="0" collapsed="false">
      <c r="A1445" s="35" t="str">
        <f aca="false">IF($B1445="","",COUNTA($B$4:$B1445))</f>
        <v/>
      </c>
      <c r="B1445" s="36"/>
      <c r="C1445" s="37"/>
      <c r="D1445" s="37"/>
      <c r="E1445" s="38"/>
      <c r="F1445" s="36"/>
      <c r="G1445" s="39"/>
      <c r="H1445" s="39"/>
      <c r="I1445" s="36"/>
      <c r="J1445" s="36"/>
      <c r="K1445" s="36"/>
      <c r="L1445" s="36"/>
      <c r="M1445" s="40" t="str">
        <f aca="false">IF($F1445="","",$F1445&amp;IF($G1445="",""," - RT "&amp;$G1445&amp;IF($H1445="","","/"&amp;$H1445)))</f>
        <v/>
      </c>
      <c r="N1445" s="36"/>
      <c r="O1445" s="37"/>
      <c r="P1445" s="39"/>
      <c r="Q1445" s="41"/>
      <c r="R1445" s="35" t="str">
        <f aca="true">IF(OR($B1445="",$Q1445=""),"",DATEDIF($Q1445,TODAY(),"Y"))</f>
        <v/>
      </c>
      <c r="S1445" s="40" t="str">
        <f aca="false">IF($R1445="","",INDEX(usia_label,MATCH($R1445,usia_min,1)))</f>
        <v/>
      </c>
      <c r="T1445" s="36"/>
      <c r="U1445" s="41"/>
      <c r="V1445" s="36"/>
      <c r="W1445" s="36"/>
      <c r="X1445" s="40" t="str">
        <f aca="false">IF($M1445="","",$M1445&amp;"#"&amp;COUNTIF($M$4:$M1445,$M1445))</f>
        <v/>
      </c>
      <c r="Y1445" s="40" t="str">
        <f aca="false">IF($B1445="","",IF($C1445="","NIK kosong",IF(LEN($C1445)&lt;&gt;16,"NIK bukan 16 digit",IF(COUNTIF($C$4:$C$2003,$C1445&amp;"*")&gt;1,"NIK ganda",IF(AND($D1445&lt;&gt;"",LEN($D1445)&lt;&gt;16),"No. KK bukan 16 digit",IF(AND($F1445="",$I1445=""),"Alamat kosong",IF($N1445="","Jabatan kosong",IF($O1445="","No. HP kosong",IF(AND($R1445&lt;&gt;"",$R1445&lt;17),"Usia di bawah 17","")))))))))</f>
        <v/>
      </c>
      <c r="Z1445" s="40" t="str">
        <f aca="false">IF($B1445="","",IF(AND(OR(CARI!$C$5="",ISNUMBER(SEARCH(CARI!$C$5,$B1445&amp;" "&amp;$C1445&amp;" "&amp;$D1445&amp;" "&amp;$O1445&amp;" "&amp;$I1445&amp;" "&amp;$F1445&amp;" "&amp;$J1445&amp;" "&amp;$K1445&amp;" "&amp;$L1445&amp;" "&amp;$V1445))),OR(CARI!$C$6="",$F1445=CARI!$C$6),OR(CARI!$C$7="",$G1445=CARI!$C$7),OR(CARI!$C$8="",$T1445=CARI!$C$8)),MAX($Z$3:Z1444)+1,""))</f>
        <v/>
      </c>
      <c r="AA1445" s="40" t="str">
        <f aca="false">IF($Y1445="","",MAX($AA$3:AA1444)+1)</f>
        <v/>
      </c>
      <c r="AB1445" s="40" t="str">
        <f aca="false">IF($F1445="","",$F1445&amp;"#"&amp;COUNTIF($F$4:$F1445,$F1445))</f>
        <v/>
      </c>
      <c r="AC1445" s="40" t="str">
        <f aca="false">IF($B1445="","",IF(AND(OR(CETAK!$J$10="",$F1445=CETAK!$J$10),OR(CETAK!$J$11="",$G1445=CETAK!$J$11),OR(CETAK!$J$12="",$P1445=CETAK!$J$12),OR(CETAK!$J$13="",$N1445=CETAK!$J$13),OR(CETAK!$J$14="",$T1445=CETAK!$J$14)),MAX($AC$3:AC1444)+1,""))</f>
        <v/>
      </c>
      <c r="AD1445" s="40" t="str">
        <f aca="false">IF($B1445="","",IF(AND(OR(ABSENSI!$H$10="",$F1445=ABSENSI!$H$10),OR(ABSENSI!$H$11="",$G1445=ABSENSI!$H$11),OR(ABSENSI!$H$12="",$P1445=ABSENSI!$H$12)),MAX($AD$3:AD1444)+1,""))</f>
        <v/>
      </c>
      <c r="AE1445" s="40" t="str">
        <f aca="false">IF($B1445="","",IF(AND(OR(KARTU!$K$6="",$F1445=KARTU!$K$6),OR(KARTU!$K$7="",$G1445=KARTU!$K$7),OR(KARTU!$K$8="",$P1445=KARTU!$K$8)),MAX($AE$3:AE1444)+1,""))</f>
        <v/>
      </c>
    </row>
    <row r="1446" customFormat="false" ht="15" hidden="false" customHeight="false" outlineLevel="0" collapsed="false">
      <c r="A1446" s="35" t="str">
        <f aca="false">IF($B1446="","",COUNTA($B$4:$B1446))</f>
        <v/>
      </c>
      <c r="B1446" s="36"/>
      <c r="C1446" s="37"/>
      <c r="D1446" s="37"/>
      <c r="E1446" s="38"/>
      <c r="F1446" s="36"/>
      <c r="G1446" s="39"/>
      <c r="H1446" s="39"/>
      <c r="I1446" s="36"/>
      <c r="J1446" s="36"/>
      <c r="K1446" s="36"/>
      <c r="L1446" s="36"/>
      <c r="M1446" s="40" t="str">
        <f aca="false">IF($F1446="","",$F1446&amp;IF($G1446="",""," - RT "&amp;$G1446&amp;IF($H1446="","","/"&amp;$H1446)))</f>
        <v/>
      </c>
      <c r="N1446" s="36"/>
      <c r="O1446" s="37"/>
      <c r="P1446" s="39"/>
      <c r="Q1446" s="41"/>
      <c r="R1446" s="35" t="str">
        <f aca="true">IF(OR($B1446="",$Q1446=""),"",DATEDIF($Q1446,TODAY(),"Y"))</f>
        <v/>
      </c>
      <c r="S1446" s="40" t="str">
        <f aca="false">IF($R1446="","",INDEX(usia_label,MATCH($R1446,usia_min,1)))</f>
        <v/>
      </c>
      <c r="T1446" s="36"/>
      <c r="U1446" s="41"/>
      <c r="V1446" s="36"/>
      <c r="W1446" s="36"/>
      <c r="X1446" s="40" t="str">
        <f aca="false">IF($M1446="","",$M1446&amp;"#"&amp;COUNTIF($M$4:$M1446,$M1446))</f>
        <v/>
      </c>
      <c r="Y1446" s="40" t="str">
        <f aca="false">IF($B1446="","",IF($C1446="","NIK kosong",IF(LEN($C1446)&lt;&gt;16,"NIK bukan 16 digit",IF(COUNTIF($C$4:$C$2003,$C1446&amp;"*")&gt;1,"NIK ganda",IF(AND($D1446&lt;&gt;"",LEN($D1446)&lt;&gt;16),"No. KK bukan 16 digit",IF(AND($F1446="",$I1446=""),"Alamat kosong",IF($N1446="","Jabatan kosong",IF($O1446="","No. HP kosong",IF(AND($R1446&lt;&gt;"",$R1446&lt;17),"Usia di bawah 17","")))))))))</f>
        <v/>
      </c>
      <c r="Z1446" s="40" t="str">
        <f aca="false">IF($B1446="","",IF(AND(OR(CARI!$C$5="",ISNUMBER(SEARCH(CARI!$C$5,$B1446&amp;" "&amp;$C1446&amp;" "&amp;$D1446&amp;" "&amp;$O1446&amp;" "&amp;$I1446&amp;" "&amp;$F1446&amp;" "&amp;$J1446&amp;" "&amp;$K1446&amp;" "&amp;$L1446&amp;" "&amp;$V1446))),OR(CARI!$C$6="",$F1446=CARI!$C$6),OR(CARI!$C$7="",$G1446=CARI!$C$7),OR(CARI!$C$8="",$T1446=CARI!$C$8)),MAX($Z$3:Z1445)+1,""))</f>
        <v/>
      </c>
      <c r="AA1446" s="40" t="str">
        <f aca="false">IF($Y1446="","",MAX($AA$3:AA1445)+1)</f>
        <v/>
      </c>
      <c r="AB1446" s="40" t="str">
        <f aca="false">IF($F1446="","",$F1446&amp;"#"&amp;COUNTIF($F$4:$F1446,$F1446))</f>
        <v/>
      </c>
      <c r="AC1446" s="40" t="str">
        <f aca="false">IF($B1446="","",IF(AND(OR(CETAK!$J$10="",$F1446=CETAK!$J$10),OR(CETAK!$J$11="",$G1446=CETAK!$J$11),OR(CETAK!$J$12="",$P1446=CETAK!$J$12),OR(CETAK!$J$13="",$N1446=CETAK!$J$13),OR(CETAK!$J$14="",$T1446=CETAK!$J$14)),MAX($AC$3:AC1445)+1,""))</f>
        <v/>
      </c>
      <c r="AD1446" s="40" t="str">
        <f aca="false">IF($B1446="","",IF(AND(OR(ABSENSI!$H$10="",$F1446=ABSENSI!$H$10),OR(ABSENSI!$H$11="",$G1446=ABSENSI!$H$11),OR(ABSENSI!$H$12="",$P1446=ABSENSI!$H$12)),MAX($AD$3:AD1445)+1,""))</f>
        <v/>
      </c>
      <c r="AE1446" s="40" t="str">
        <f aca="false">IF($B1446="","",IF(AND(OR(KARTU!$K$6="",$F1446=KARTU!$K$6),OR(KARTU!$K$7="",$G1446=KARTU!$K$7),OR(KARTU!$K$8="",$P1446=KARTU!$K$8)),MAX($AE$3:AE1445)+1,""))</f>
        <v/>
      </c>
    </row>
    <row r="1447" customFormat="false" ht="15" hidden="false" customHeight="false" outlineLevel="0" collapsed="false">
      <c r="A1447" s="35" t="str">
        <f aca="false">IF($B1447="","",COUNTA($B$4:$B1447))</f>
        <v/>
      </c>
      <c r="B1447" s="36"/>
      <c r="C1447" s="37"/>
      <c r="D1447" s="37"/>
      <c r="E1447" s="38"/>
      <c r="F1447" s="36"/>
      <c r="G1447" s="39"/>
      <c r="H1447" s="39"/>
      <c r="I1447" s="36"/>
      <c r="J1447" s="36"/>
      <c r="K1447" s="36"/>
      <c r="L1447" s="36"/>
      <c r="M1447" s="40" t="str">
        <f aca="false">IF($F1447="","",$F1447&amp;IF($G1447="",""," - RT "&amp;$G1447&amp;IF($H1447="","","/"&amp;$H1447)))</f>
        <v/>
      </c>
      <c r="N1447" s="36"/>
      <c r="O1447" s="37"/>
      <c r="P1447" s="39"/>
      <c r="Q1447" s="41"/>
      <c r="R1447" s="35" t="str">
        <f aca="true">IF(OR($B1447="",$Q1447=""),"",DATEDIF($Q1447,TODAY(),"Y"))</f>
        <v/>
      </c>
      <c r="S1447" s="40" t="str">
        <f aca="false">IF($R1447="","",INDEX(usia_label,MATCH($R1447,usia_min,1)))</f>
        <v/>
      </c>
      <c r="T1447" s="36"/>
      <c r="U1447" s="41"/>
      <c r="V1447" s="36"/>
      <c r="W1447" s="36"/>
      <c r="X1447" s="40" t="str">
        <f aca="false">IF($M1447="","",$M1447&amp;"#"&amp;COUNTIF($M$4:$M1447,$M1447))</f>
        <v/>
      </c>
      <c r="Y1447" s="40" t="str">
        <f aca="false">IF($B1447="","",IF($C1447="","NIK kosong",IF(LEN($C1447)&lt;&gt;16,"NIK bukan 16 digit",IF(COUNTIF($C$4:$C$2003,$C1447&amp;"*")&gt;1,"NIK ganda",IF(AND($D1447&lt;&gt;"",LEN($D1447)&lt;&gt;16),"No. KK bukan 16 digit",IF(AND($F1447="",$I1447=""),"Alamat kosong",IF($N1447="","Jabatan kosong",IF($O1447="","No. HP kosong",IF(AND($R1447&lt;&gt;"",$R1447&lt;17),"Usia di bawah 17","")))))))))</f>
        <v/>
      </c>
      <c r="Z1447" s="40" t="str">
        <f aca="false">IF($B1447="","",IF(AND(OR(CARI!$C$5="",ISNUMBER(SEARCH(CARI!$C$5,$B1447&amp;" "&amp;$C1447&amp;" "&amp;$D1447&amp;" "&amp;$O1447&amp;" "&amp;$I1447&amp;" "&amp;$F1447&amp;" "&amp;$J1447&amp;" "&amp;$K1447&amp;" "&amp;$L1447&amp;" "&amp;$V1447))),OR(CARI!$C$6="",$F1447=CARI!$C$6),OR(CARI!$C$7="",$G1447=CARI!$C$7),OR(CARI!$C$8="",$T1447=CARI!$C$8)),MAX($Z$3:Z1446)+1,""))</f>
        <v/>
      </c>
      <c r="AA1447" s="40" t="str">
        <f aca="false">IF($Y1447="","",MAX($AA$3:AA1446)+1)</f>
        <v/>
      </c>
      <c r="AB1447" s="40" t="str">
        <f aca="false">IF($F1447="","",$F1447&amp;"#"&amp;COUNTIF($F$4:$F1447,$F1447))</f>
        <v/>
      </c>
      <c r="AC1447" s="40" t="str">
        <f aca="false">IF($B1447="","",IF(AND(OR(CETAK!$J$10="",$F1447=CETAK!$J$10),OR(CETAK!$J$11="",$G1447=CETAK!$J$11),OR(CETAK!$J$12="",$P1447=CETAK!$J$12),OR(CETAK!$J$13="",$N1447=CETAK!$J$13),OR(CETAK!$J$14="",$T1447=CETAK!$J$14)),MAX($AC$3:AC1446)+1,""))</f>
        <v/>
      </c>
      <c r="AD1447" s="40" t="str">
        <f aca="false">IF($B1447="","",IF(AND(OR(ABSENSI!$H$10="",$F1447=ABSENSI!$H$10),OR(ABSENSI!$H$11="",$G1447=ABSENSI!$H$11),OR(ABSENSI!$H$12="",$P1447=ABSENSI!$H$12)),MAX($AD$3:AD1446)+1,""))</f>
        <v/>
      </c>
      <c r="AE1447" s="40" t="str">
        <f aca="false">IF($B1447="","",IF(AND(OR(KARTU!$K$6="",$F1447=KARTU!$K$6),OR(KARTU!$K$7="",$G1447=KARTU!$K$7),OR(KARTU!$K$8="",$P1447=KARTU!$K$8)),MAX($AE$3:AE1446)+1,""))</f>
        <v/>
      </c>
    </row>
    <row r="1448" customFormat="false" ht="15" hidden="false" customHeight="false" outlineLevel="0" collapsed="false">
      <c r="A1448" s="35" t="str">
        <f aca="false">IF($B1448="","",COUNTA($B$4:$B1448))</f>
        <v/>
      </c>
      <c r="B1448" s="36"/>
      <c r="C1448" s="37"/>
      <c r="D1448" s="37"/>
      <c r="E1448" s="38"/>
      <c r="F1448" s="36"/>
      <c r="G1448" s="39"/>
      <c r="H1448" s="39"/>
      <c r="I1448" s="36"/>
      <c r="J1448" s="36"/>
      <c r="K1448" s="36"/>
      <c r="L1448" s="36"/>
      <c r="M1448" s="40" t="str">
        <f aca="false">IF($F1448="","",$F1448&amp;IF($G1448="",""," - RT "&amp;$G1448&amp;IF($H1448="","","/"&amp;$H1448)))</f>
        <v/>
      </c>
      <c r="N1448" s="36"/>
      <c r="O1448" s="37"/>
      <c r="P1448" s="39"/>
      <c r="Q1448" s="41"/>
      <c r="R1448" s="35" t="str">
        <f aca="true">IF(OR($B1448="",$Q1448=""),"",DATEDIF($Q1448,TODAY(),"Y"))</f>
        <v/>
      </c>
      <c r="S1448" s="40" t="str">
        <f aca="false">IF($R1448="","",INDEX(usia_label,MATCH($R1448,usia_min,1)))</f>
        <v/>
      </c>
      <c r="T1448" s="36"/>
      <c r="U1448" s="41"/>
      <c r="V1448" s="36"/>
      <c r="W1448" s="36"/>
      <c r="X1448" s="40" t="str">
        <f aca="false">IF($M1448="","",$M1448&amp;"#"&amp;COUNTIF($M$4:$M1448,$M1448))</f>
        <v/>
      </c>
      <c r="Y1448" s="40" t="str">
        <f aca="false">IF($B1448="","",IF($C1448="","NIK kosong",IF(LEN($C1448)&lt;&gt;16,"NIK bukan 16 digit",IF(COUNTIF($C$4:$C$2003,$C1448&amp;"*")&gt;1,"NIK ganda",IF(AND($D1448&lt;&gt;"",LEN($D1448)&lt;&gt;16),"No. KK bukan 16 digit",IF(AND($F1448="",$I1448=""),"Alamat kosong",IF($N1448="","Jabatan kosong",IF($O1448="","No. HP kosong",IF(AND($R1448&lt;&gt;"",$R1448&lt;17),"Usia di bawah 17","")))))))))</f>
        <v/>
      </c>
      <c r="Z1448" s="40" t="str">
        <f aca="false">IF($B1448="","",IF(AND(OR(CARI!$C$5="",ISNUMBER(SEARCH(CARI!$C$5,$B1448&amp;" "&amp;$C1448&amp;" "&amp;$D1448&amp;" "&amp;$O1448&amp;" "&amp;$I1448&amp;" "&amp;$F1448&amp;" "&amp;$J1448&amp;" "&amp;$K1448&amp;" "&amp;$L1448&amp;" "&amp;$V1448))),OR(CARI!$C$6="",$F1448=CARI!$C$6),OR(CARI!$C$7="",$G1448=CARI!$C$7),OR(CARI!$C$8="",$T1448=CARI!$C$8)),MAX($Z$3:Z1447)+1,""))</f>
        <v/>
      </c>
      <c r="AA1448" s="40" t="str">
        <f aca="false">IF($Y1448="","",MAX($AA$3:AA1447)+1)</f>
        <v/>
      </c>
      <c r="AB1448" s="40" t="str">
        <f aca="false">IF($F1448="","",$F1448&amp;"#"&amp;COUNTIF($F$4:$F1448,$F1448))</f>
        <v/>
      </c>
      <c r="AC1448" s="40" t="str">
        <f aca="false">IF($B1448="","",IF(AND(OR(CETAK!$J$10="",$F1448=CETAK!$J$10),OR(CETAK!$J$11="",$G1448=CETAK!$J$11),OR(CETAK!$J$12="",$P1448=CETAK!$J$12),OR(CETAK!$J$13="",$N1448=CETAK!$J$13),OR(CETAK!$J$14="",$T1448=CETAK!$J$14)),MAX($AC$3:AC1447)+1,""))</f>
        <v/>
      </c>
      <c r="AD1448" s="40" t="str">
        <f aca="false">IF($B1448="","",IF(AND(OR(ABSENSI!$H$10="",$F1448=ABSENSI!$H$10),OR(ABSENSI!$H$11="",$G1448=ABSENSI!$H$11),OR(ABSENSI!$H$12="",$P1448=ABSENSI!$H$12)),MAX($AD$3:AD1447)+1,""))</f>
        <v/>
      </c>
      <c r="AE1448" s="40" t="str">
        <f aca="false">IF($B1448="","",IF(AND(OR(KARTU!$K$6="",$F1448=KARTU!$K$6),OR(KARTU!$K$7="",$G1448=KARTU!$K$7),OR(KARTU!$K$8="",$P1448=KARTU!$K$8)),MAX($AE$3:AE1447)+1,""))</f>
        <v/>
      </c>
    </row>
    <row r="1449" customFormat="false" ht="15" hidden="false" customHeight="false" outlineLevel="0" collapsed="false">
      <c r="A1449" s="35" t="str">
        <f aca="false">IF($B1449="","",COUNTA($B$4:$B1449))</f>
        <v/>
      </c>
      <c r="B1449" s="36"/>
      <c r="C1449" s="37"/>
      <c r="D1449" s="37"/>
      <c r="E1449" s="38"/>
      <c r="F1449" s="36"/>
      <c r="G1449" s="39"/>
      <c r="H1449" s="39"/>
      <c r="I1449" s="36"/>
      <c r="J1449" s="36"/>
      <c r="K1449" s="36"/>
      <c r="L1449" s="36"/>
      <c r="M1449" s="40" t="str">
        <f aca="false">IF($F1449="","",$F1449&amp;IF($G1449="",""," - RT "&amp;$G1449&amp;IF($H1449="","","/"&amp;$H1449)))</f>
        <v/>
      </c>
      <c r="N1449" s="36"/>
      <c r="O1449" s="37"/>
      <c r="P1449" s="39"/>
      <c r="Q1449" s="41"/>
      <c r="R1449" s="35" t="str">
        <f aca="true">IF(OR($B1449="",$Q1449=""),"",DATEDIF($Q1449,TODAY(),"Y"))</f>
        <v/>
      </c>
      <c r="S1449" s="40" t="str">
        <f aca="false">IF($R1449="","",INDEX(usia_label,MATCH($R1449,usia_min,1)))</f>
        <v/>
      </c>
      <c r="T1449" s="36"/>
      <c r="U1449" s="41"/>
      <c r="V1449" s="36"/>
      <c r="W1449" s="36"/>
      <c r="X1449" s="40" t="str">
        <f aca="false">IF($M1449="","",$M1449&amp;"#"&amp;COUNTIF($M$4:$M1449,$M1449))</f>
        <v/>
      </c>
      <c r="Y1449" s="40" t="str">
        <f aca="false">IF($B1449="","",IF($C1449="","NIK kosong",IF(LEN($C1449)&lt;&gt;16,"NIK bukan 16 digit",IF(COUNTIF($C$4:$C$2003,$C1449&amp;"*")&gt;1,"NIK ganda",IF(AND($D1449&lt;&gt;"",LEN($D1449)&lt;&gt;16),"No. KK bukan 16 digit",IF(AND($F1449="",$I1449=""),"Alamat kosong",IF($N1449="","Jabatan kosong",IF($O1449="","No. HP kosong",IF(AND($R1449&lt;&gt;"",$R1449&lt;17),"Usia di bawah 17","")))))))))</f>
        <v/>
      </c>
      <c r="Z1449" s="40" t="str">
        <f aca="false">IF($B1449="","",IF(AND(OR(CARI!$C$5="",ISNUMBER(SEARCH(CARI!$C$5,$B1449&amp;" "&amp;$C1449&amp;" "&amp;$D1449&amp;" "&amp;$O1449&amp;" "&amp;$I1449&amp;" "&amp;$F1449&amp;" "&amp;$J1449&amp;" "&amp;$K1449&amp;" "&amp;$L1449&amp;" "&amp;$V1449))),OR(CARI!$C$6="",$F1449=CARI!$C$6),OR(CARI!$C$7="",$G1449=CARI!$C$7),OR(CARI!$C$8="",$T1449=CARI!$C$8)),MAX($Z$3:Z1448)+1,""))</f>
        <v/>
      </c>
      <c r="AA1449" s="40" t="str">
        <f aca="false">IF($Y1449="","",MAX($AA$3:AA1448)+1)</f>
        <v/>
      </c>
      <c r="AB1449" s="40" t="str">
        <f aca="false">IF($F1449="","",$F1449&amp;"#"&amp;COUNTIF($F$4:$F1449,$F1449))</f>
        <v/>
      </c>
      <c r="AC1449" s="40" t="str">
        <f aca="false">IF($B1449="","",IF(AND(OR(CETAK!$J$10="",$F1449=CETAK!$J$10),OR(CETAK!$J$11="",$G1449=CETAK!$J$11),OR(CETAK!$J$12="",$P1449=CETAK!$J$12),OR(CETAK!$J$13="",$N1449=CETAK!$J$13),OR(CETAK!$J$14="",$T1449=CETAK!$J$14)),MAX($AC$3:AC1448)+1,""))</f>
        <v/>
      </c>
      <c r="AD1449" s="40" t="str">
        <f aca="false">IF($B1449="","",IF(AND(OR(ABSENSI!$H$10="",$F1449=ABSENSI!$H$10),OR(ABSENSI!$H$11="",$G1449=ABSENSI!$H$11),OR(ABSENSI!$H$12="",$P1449=ABSENSI!$H$12)),MAX($AD$3:AD1448)+1,""))</f>
        <v/>
      </c>
      <c r="AE1449" s="40" t="str">
        <f aca="false">IF($B1449="","",IF(AND(OR(KARTU!$K$6="",$F1449=KARTU!$K$6),OR(KARTU!$K$7="",$G1449=KARTU!$K$7),OR(KARTU!$K$8="",$P1449=KARTU!$K$8)),MAX($AE$3:AE1448)+1,""))</f>
        <v/>
      </c>
    </row>
    <row r="1450" customFormat="false" ht="15" hidden="false" customHeight="false" outlineLevel="0" collapsed="false">
      <c r="A1450" s="35" t="str">
        <f aca="false">IF($B1450="","",COUNTA($B$4:$B1450))</f>
        <v/>
      </c>
      <c r="B1450" s="36"/>
      <c r="C1450" s="37"/>
      <c r="D1450" s="37"/>
      <c r="E1450" s="38"/>
      <c r="F1450" s="36"/>
      <c r="G1450" s="39"/>
      <c r="H1450" s="39"/>
      <c r="I1450" s="36"/>
      <c r="J1450" s="36"/>
      <c r="K1450" s="36"/>
      <c r="L1450" s="36"/>
      <c r="M1450" s="40" t="str">
        <f aca="false">IF($F1450="","",$F1450&amp;IF($G1450="",""," - RT "&amp;$G1450&amp;IF($H1450="","","/"&amp;$H1450)))</f>
        <v/>
      </c>
      <c r="N1450" s="36"/>
      <c r="O1450" s="37"/>
      <c r="P1450" s="39"/>
      <c r="Q1450" s="41"/>
      <c r="R1450" s="35" t="str">
        <f aca="true">IF(OR($B1450="",$Q1450=""),"",DATEDIF($Q1450,TODAY(),"Y"))</f>
        <v/>
      </c>
      <c r="S1450" s="40" t="str">
        <f aca="false">IF($R1450="","",INDEX(usia_label,MATCH($R1450,usia_min,1)))</f>
        <v/>
      </c>
      <c r="T1450" s="36"/>
      <c r="U1450" s="41"/>
      <c r="V1450" s="36"/>
      <c r="W1450" s="36"/>
      <c r="X1450" s="40" t="str">
        <f aca="false">IF($M1450="","",$M1450&amp;"#"&amp;COUNTIF($M$4:$M1450,$M1450))</f>
        <v/>
      </c>
      <c r="Y1450" s="40" t="str">
        <f aca="false">IF($B1450="","",IF($C1450="","NIK kosong",IF(LEN($C1450)&lt;&gt;16,"NIK bukan 16 digit",IF(COUNTIF($C$4:$C$2003,$C1450&amp;"*")&gt;1,"NIK ganda",IF(AND($D1450&lt;&gt;"",LEN($D1450)&lt;&gt;16),"No. KK bukan 16 digit",IF(AND($F1450="",$I1450=""),"Alamat kosong",IF($N1450="","Jabatan kosong",IF($O1450="","No. HP kosong",IF(AND($R1450&lt;&gt;"",$R1450&lt;17),"Usia di bawah 17","")))))))))</f>
        <v/>
      </c>
      <c r="Z1450" s="40" t="str">
        <f aca="false">IF($B1450="","",IF(AND(OR(CARI!$C$5="",ISNUMBER(SEARCH(CARI!$C$5,$B1450&amp;" "&amp;$C1450&amp;" "&amp;$D1450&amp;" "&amp;$O1450&amp;" "&amp;$I1450&amp;" "&amp;$F1450&amp;" "&amp;$J1450&amp;" "&amp;$K1450&amp;" "&amp;$L1450&amp;" "&amp;$V1450))),OR(CARI!$C$6="",$F1450=CARI!$C$6),OR(CARI!$C$7="",$G1450=CARI!$C$7),OR(CARI!$C$8="",$T1450=CARI!$C$8)),MAX($Z$3:Z1449)+1,""))</f>
        <v/>
      </c>
      <c r="AA1450" s="40" t="str">
        <f aca="false">IF($Y1450="","",MAX($AA$3:AA1449)+1)</f>
        <v/>
      </c>
      <c r="AB1450" s="40" t="str">
        <f aca="false">IF($F1450="","",$F1450&amp;"#"&amp;COUNTIF($F$4:$F1450,$F1450))</f>
        <v/>
      </c>
      <c r="AC1450" s="40" t="str">
        <f aca="false">IF($B1450="","",IF(AND(OR(CETAK!$J$10="",$F1450=CETAK!$J$10),OR(CETAK!$J$11="",$G1450=CETAK!$J$11),OR(CETAK!$J$12="",$P1450=CETAK!$J$12),OR(CETAK!$J$13="",$N1450=CETAK!$J$13),OR(CETAK!$J$14="",$T1450=CETAK!$J$14)),MAX($AC$3:AC1449)+1,""))</f>
        <v/>
      </c>
      <c r="AD1450" s="40" t="str">
        <f aca="false">IF($B1450="","",IF(AND(OR(ABSENSI!$H$10="",$F1450=ABSENSI!$H$10),OR(ABSENSI!$H$11="",$G1450=ABSENSI!$H$11),OR(ABSENSI!$H$12="",$P1450=ABSENSI!$H$12)),MAX($AD$3:AD1449)+1,""))</f>
        <v/>
      </c>
      <c r="AE1450" s="40" t="str">
        <f aca="false">IF($B1450="","",IF(AND(OR(KARTU!$K$6="",$F1450=KARTU!$K$6),OR(KARTU!$K$7="",$G1450=KARTU!$K$7),OR(KARTU!$K$8="",$P1450=KARTU!$K$8)),MAX($AE$3:AE1449)+1,""))</f>
        <v/>
      </c>
    </row>
    <row r="1451" customFormat="false" ht="15" hidden="false" customHeight="false" outlineLevel="0" collapsed="false">
      <c r="A1451" s="35" t="str">
        <f aca="false">IF($B1451="","",COUNTA($B$4:$B1451))</f>
        <v/>
      </c>
      <c r="B1451" s="36"/>
      <c r="C1451" s="37"/>
      <c r="D1451" s="37"/>
      <c r="E1451" s="38"/>
      <c r="F1451" s="36"/>
      <c r="G1451" s="39"/>
      <c r="H1451" s="39"/>
      <c r="I1451" s="36"/>
      <c r="J1451" s="36"/>
      <c r="K1451" s="36"/>
      <c r="L1451" s="36"/>
      <c r="M1451" s="40" t="str">
        <f aca="false">IF($F1451="","",$F1451&amp;IF($G1451="",""," - RT "&amp;$G1451&amp;IF($H1451="","","/"&amp;$H1451)))</f>
        <v/>
      </c>
      <c r="N1451" s="36"/>
      <c r="O1451" s="37"/>
      <c r="P1451" s="39"/>
      <c r="Q1451" s="41"/>
      <c r="R1451" s="35" t="str">
        <f aca="true">IF(OR($B1451="",$Q1451=""),"",DATEDIF($Q1451,TODAY(),"Y"))</f>
        <v/>
      </c>
      <c r="S1451" s="40" t="str">
        <f aca="false">IF($R1451="","",INDEX(usia_label,MATCH($R1451,usia_min,1)))</f>
        <v/>
      </c>
      <c r="T1451" s="36"/>
      <c r="U1451" s="41"/>
      <c r="V1451" s="36"/>
      <c r="W1451" s="36"/>
      <c r="X1451" s="40" t="str">
        <f aca="false">IF($M1451="","",$M1451&amp;"#"&amp;COUNTIF($M$4:$M1451,$M1451))</f>
        <v/>
      </c>
      <c r="Y1451" s="40" t="str">
        <f aca="false">IF($B1451="","",IF($C1451="","NIK kosong",IF(LEN($C1451)&lt;&gt;16,"NIK bukan 16 digit",IF(COUNTIF($C$4:$C$2003,$C1451&amp;"*")&gt;1,"NIK ganda",IF(AND($D1451&lt;&gt;"",LEN($D1451)&lt;&gt;16),"No. KK bukan 16 digit",IF(AND($F1451="",$I1451=""),"Alamat kosong",IF($N1451="","Jabatan kosong",IF($O1451="","No. HP kosong",IF(AND($R1451&lt;&gt;"",$R1451&lt;17),"Usia di bawah 17","")))))))))</f>
        <v/>
      </c>
      <c r="Z1451" s="40" t="str">
        <f aca="false">IF($B1451="","",IF(AND(OR(CARI!$C$5="",ISNUMBER(SEARCH(CARI!$C$5,$B1451&amp;" "&amp;$C1451&amp;" "&amp;$D1451&amp;" "&amp;$O1451&amp;" "&amp;$I1451&amp;" "&amp;$F1451&amp;" "&amp;$J1451&amp;" "&amp;$K1451&amp;" "&amp;$L1451&amp;" "&amp;$V1451))),OR(CARI!$C$6="",$F1451=CARI!$C$6),OR(CARI!$C$7="",$G1451=CARI!$C$7),OR(CARI!$C$8="",$T1451=CARI!$C$8)),MAX($Z$3:Z1450)+1,""))</f>
        <v/>
      </c>
      <c r="AA1451" s="40" t="str">
        <f aca="false">IF($Y1451="","",MAX($AA$3:AA1450)+1)</f>
        <v/>
      </c>
      <c r="AB1451" s="40" t="str">
        <f aca="false">IF($F1451="","",$F1451&amp;"#"&amp;COUNTIF($F$4:$F1451,$F1451))</f>
        <v/>
      </c>
      <c r="AC1451" s="40" t="str">
        <f aca="false">IF($B1451="","",IF(AND(OR(CETAK!$J$10="",$F1451=CETAK!$J$10),OR(CETAK!$J$11="",$G1451=CETAK!$J$11),OR(CETAK!$J$12="",$P1451=CETAK!$J$12),OR(CETAK!$J$13="",$N1451=CETAK!$J$13),OR(CETAK!$J$14="",$T1451=CETAK!$J$14)),MAX($AC$3:AC1450)+1,""))</f>
        <v/>
      </c>
      <c r="AD1451" s="40" t="str">
        <f aca="false">IF($B1451="","",IF(AND(OR(ABSENSI!$H$10="",$F1451=ABSENSI!$H$10),OR(ABSENSI!$H$11="",$G1451=ABSENSI!$H$11),OR(ABSENSI!$H$12="",$P1451=ABSENSI!$H$12)),MAX($AD$3:AD1450)+1,""))</f>
        <v/>
      </c>
      <c r="AE1451" s="40" t="str">
        <f aca="false">IF($B1451="","",IF(AND(OR(KARTU!$K$6="",$F1451=KARTU!$K$6),OR(KARTU!$K$7="",$G1451=KARTU!$K$7),OR(KARTU!$K$8="",$P1451=KARTU!$K$8)),MAX($AE$3:AE1450)+1,""))</f>
        <v/>
      </c>
    </row>
    <row r="1452" customFormat="false" ht="15" hidden="false" customHeight="false" outlineLevel="0" collapsed="false">
      <c r="A1452" s="35" t="str">
        <f aca="false">IF($B1452="","",COUNTA($B$4:$B1452))</f>
        <v/>
      </c>
      <c r="B1452" s="36"/>
      <c r="C1452" s="37"/>
      <c r="D1452" s="37"/>
      <c r="E1452" s="38"/>
      <c r="F1452" s="36"/>
      <c r="G1452" s="39"/>
      <c r="H1452" s="39"/>
      <c r="I1452" s="36"/>
      <c r="J1452" s="36"/>
      <c r="K1452" s="36"/>
      <c r="L1452" s="36"/>
      <c r="M1452" s="40" t="str">
        <f aca="false">IF($F1452="","",$F1452&amp;IF($G1452="",""," - RT "&amp;$G1452&amp;IF($H1452="","","/"&amp;$H1452)))</f>
        <v/>
      </c>
      <c r="N1452" s="36"/>
      <c r="O1452" s="37"/>
      <c r="P1452" s="39"/>
      <c r="Q1452" s="41"/>
      <c r="R1452" s="35" t="str">
        <f aca="true">IF(OR($B1452="",$Q1452=""),"",DATEDIF($Q1452,TODAY(),"Y"))</f>
        <v/>
      </c>
      <c r="S1452" s="40" t="str">
        <f aca="false">IF($R1452="","",INDEX(usia_label,MATCH($R1452,usia_min,1)))</f>
        <v/>
      </c>
      <c r="T1452" s="36"/>
      <c r="U1452" s="41"/>
      <c r="V1452" s="36"/>
      <c r="W1452" s="36"/>
      <c r="X1452" s="40" t="str">
        <f aca="false">IF($M1452="","",$M1452&amp;"#"&amp;COUNTIF($M$4:$M1452,$M1452))</f>
        <v/>
      </c>
      <c r="Y1452" s="40" t="str">
        <f aca="false">IF($B1452="","",IF($C1452="","NIK kosong",IF(LEN($C1452)&lt;&gt;16,"NIK bukan 16 digit",IF(COUNTIF($C$4:$C$2003,$C1452&amp;"*")&gt;1,"NIK ganda",IF(AND($D1452&lt;&gt;"",LEN($D1452)&lt;&gt;16),"No. KK bukan 16 digit",IF(AND($F1452="",$I1452=""),"Alamat kosong",IF($N1452="","Jabatan kosong",IF($O1452="","No. HP kosong",IF(AND($R1452&lt;&gt;"",$R1452&lt;17),"Usia di bawah 17","")))))))))</f>
        <v/>
      </c>
      <c r="Z1452" s="40" t="str">
        <f aca="false">IF($B1452="","",IF(AND(OR(CARI!$C$5="",ISNUMBER(SEARCH(CARI!$C$5,$B1452&amp;" "&amp;$C1452&amp;" "&amp;$D1452&amp;" "&amp;$O1452&amp;" "&amp;$I1452&amp;" "&amp;$F1452&amp;" "&amp;$J1452&amp;" "&amp;$K1452&amp;" "&amp;$L1452&amp;" "&amp;$V1452))),OR(CARI!$C$6="",$F1452=CARI!$C$6),OR(CARI!$C$7="",$G1452=CARI!$C$7),OR(CARI!$C$8="",$T1452=CARI!$C$8)),MAX($Z$3:Z1451)+1,""))</f>
        <v/>
      </c>
      <c r="AA1452" s="40" t="str">
        <f aca="false">IF($Y1452="","",MAX($AA$3:AA1451)+1)</f>
        <v/>
      </c>
      <c r="AB1452" s="40" t="str">
        <f aca="false">IF($F1452="","",$F1452&amp;"#"&amp;COUNTIF($F$4:$F1452,$F1452))</f>
        <v/>
      </c>
      <c r="AC1452" s="40" t="str">
        <f aca="false">IF($B1452="","",IF(AND(OR(CETAK!$J$10="",$F1452=CETAK!$J$10),OR(CETAK!$J$11="",$G1452=CETAK!$J$11),OR(CETAK!$J$12="",$P1452=CETAK!$J$12),OR(CETAK!$J$13="",$N1452=CETAK!$J$13),OR(CETAK!$J$14="",$T1452=CETAK!$J$14)),MAX($AC$3:AC1451)+1,""))</f>
        <v/>
      </c>
      <c r="AD1452" s="40" t="str">
        <f aca="false">IF($B1452="","",IF(AND(OR(ABSENSI!$H$10="",$F1452=ABSENSI!$H$10),OR(ABSENSI!$H$11="",$G1452=ABSENSI!$H$11),OR(ABSENSI!$H$12="",$P1452=ABSENSI!$H$12)),MAX($AD$3:AD1451)+1,""))</f>
        <v/>
      </c>
      <c r="AE1452" s="40" t="str">
        <f aca="false">IF($B1452="","",IF(AND(OR(KARTU!$K$6="",$F1452=KARTU!$K$6),OR(KARTU!$K$7="",$G1452=KARTU!$K$7),OR(KARTU!$K$8="",$P1452=KARTU!$K$8)),MAX($AE$3:AE1451)+1,""))</f>
        <v/>
      </c>
    </row>
    <row r="1453" customFormat="false" ht="15" hidden="false" customHeight="false" outlineLevel="0" collapsed="false">
      <c r="A1453" s="35" t="str">
        <f aca="false">IF($B1453="","",COUNTA($B$4:$B1453))</f>
        <v/>
      </c>
      <c r="B1453" s="36"/>
      <c r="C1453" s="37"/>
      <c r="D1453" s="37"/>
      <c r="E1453" s="38"/>
      <c r="F1453" s="36"/>
      <c r="G1453" s="39"/>
      <c r="H1453" s="39"/>
      <c r="I1453" s="36"/>
      <c r="J1453" s="36"/>
      <c r="K1453" s="36"/>
      <c r="L1453" s="36"/>
      <c r="M1453" s="40" t="str">
        <f aca="false">IF($F1453="","",$F1453&amp;IF($G1453="",""," - RT "&amp;$G1453&amp;IF($H1453="","","/"&amp;$H1453)))</f>
        <v/>
      </c>
      <c r="N1453" s="36"/>
      <c r="O1453" s="37"/>
      <c r="P1453" s="39"/>
      <c r="Q1453" s="41"/>
      <c r="R1453" s="35" t="str">
        <f aca="true">IF(OR($B1453="",$Q1453=""),"",DATEDIF($Q1453,TODAY(),"Y"))</f>
        <v/>
      </c>
      <c r="S1453" s="40" t="str">
        <f aca="false">IF($R1453="","",INDEX(usia_label,MATCH($R1453,usia_min,1)))</f>
        <v/>
      </c>
      <c r="T1453" s="36"/>
      <c r="U1453" s="41"/>
      <c r="V1453" s="36"/>
      <c r="W1453" s="36"/>
      <c r="X1453" s="40" t="str">
        <f aca="false">IF($M1453="","",$M1453&amp;"#"&amp;COUNTIF($M$4:$M1453,$M1453))</f>
        <v/>
      </c>
      <c r="Y1453" s="40" t="str">
        <f aca="false">IF($B1453="","",IF($C1453="","NIK kosong",IF(LEN($C1453)&lt;&gt;16,"NIK bukan 16 digit",IF(COUNTIF($C$4:$C$2003,$C1453&amp;"*")&gt;1,"NIK ganda",IF(AND($D1453&lt;&gt;"",LEN($D1453)&lt;&gt;16),"No. KK bukan 16 digit",IF(AND($F1453="",$I1453=""),"Alamat kosong",IF($N1453="","Jabatan kosong",IF($O1453="","No. HP kosong",IF(AND($R1453&lt;&gt;"",$R1453&lt;17),"Usia di bawah 17","")))))))))</f>
        <v/>
      </c>
      <c r="Z1453" s="40" t="str">
        <f aca="false">IF($B1453="","",IF(AND(OR(CARI!$C$5="",ISNUMBER(SEARCH(CARI!$C$5,$B1453&amp;" "&amp;$C1453&amp;" "&amp;$D1453&amp;" "&amp;$O1453&amp;" "&amp;$I1453&amp;" "&amp;$F1453&amp;" "&amp;$J1453&amp;" "&amp;$K1453&amp;" "&amp;$L1453&amp;" "&amp;$V1453))),OR(CARI!$C$6="",$F1453=CARI!$C$6),OR(CARI!$C$7="",$G1453=CARI!$C$7),OR(CARI!$C$8="",$T1453=CARI!$C$8)),MAX($Z$3:Z1452)+1,""))</f>
        <v/>
      </c>
      <c r="AA1453" s="40" t="str">
        <f aca="false">IF($Y1453="","",MAX($AA$3:AA1452)+1)</f>
        <v/>
      </c>
      <c r="AB1453" s="40" t="str">
        <f aca="false">IF($F1453="","",$F1453&amp;"#"&amp;COUNTIF($F$4:$F1453,$F1453))</f>
        <v/>
      </c>
      <c r="AC1453" s="40" t="str">
        <f aca="false">IF($B1453="","",IF(AND(OR(CETAK!$J$10="",$F1453=CETAK!$J$10),OR(CETAK!$J$11="",$G1453=CETAK!$J$11),OR(CETAK!$J$12="",$P1453=CETAK!$J$12),OR(CETAK!$J$13="",$N1453=CETAK!$J$13),OR(CETAK!$J$14="",$T1453=CETAK!$J$14)),MAX($AC$3:AC1452)+1,""))</f>
        <v/>
      </c>
      <c r="AD1453" s="40" t="str">
        <f aca="false">IF($B1453="","",IF(AND(OR(ABSENSI!$H$10="",$F1453=ABSENSI!$H$10),OR(ABSENSI!$H$11="",$G1453=ABSENSI!$H$11),OR(ABSENSI!$H$12="",$P1453=ABSENSI!$H$12)),MAX($AD$3:AD1452)+1,""))</f>
        <v/>
      </c>
      <c r="AE1453" s="40" t="str">
        <f aca="false">IF($B1453="","",IF(AND(OR(KARTU!$K$6="",$F1453=KARTU!$K$6),OR(KARTU!$K$7="",$G1453=KARTU!$K$7),OR(KARTU!$K$8="",$P1453=KARTU!$K$8)),MAX($AE$3:AE1452)+1,""))</f>
        <v/>
      </c>
    </row>
    <row r="1454" customFormat="false" ht="15" hidden="false" customHeight="false" outlineLevel="0" collapsed="false">
      <c r="A1454" s="35" t="str">
        <f aca="false">IF($B1454="","",COUNTA($B$4:$B1454))</f>
        <v/>
      </c>
      <c r="B1454" s="36"/>
      <c r="C1454" s="37"/>
      <c r="D1454" s="37"/>
      <c r="E1454" s="38"/>
      <c r="F1454" s="36"/>
      <c r="G1454" s="39"/>
      <c r="H1454" s="39"/>
      <c r="I1454" s="36"/>
      <c r="J1454" s="36"/>
      <c r="K1454" s="36"/>
      <c r="L1454" s="36"/>
      <c r="M1454" s="40" t="str">
        <f aca="false">IF($F1454="","",$F1454&amp;IF($G1454="",""," - RT "&amp;$G1454&amp;IF($H1454="","","/"&amp;$H1454)))</f>
        <v/>
      </c>
      <c r="N1454" s="36"/>
      <c r="O1454" s="37"/>
      <c r="P1454" s="39"/>
      <c r="Q1454" s="41"/>
      <c r="R1454" s="35" t="str">
        <f aca="true">IF(OR($B1454="",$Q1454=""),"",DATEDIF($Q1454,TODAY(),"Y"))</f>
        <v/>
      </c>
      <c r="S1454" s="40" t="str">
        <f aca="false">IF($R1454="","",INDEX(usia_label,MATCH($R1454,usia_min,1)))</f>
        <v/>
      </c>
      <c r="T1454" s="36"/>
      <c r="U1454" s="41"/>
      <c r="V1454" s="36"/>
      <c r="W1454" s="36"/>
      <c r="X1454" s="40" t="str">
        <f aca="false">IF($M1454="","",$M1454&amp;"#"&amp;COUNTIF($M$4:$M1454,$M1454))</f>
        <v/>
      </c>
      <c r="Y1454" s="40" t="str">
        <f aca="false">IF($B1454="","",IF($C1454="","NIK kosong",IF(LEN($C1454)&lt;&gt;16,"NIK bukan 16 digit",IF(COUNTIF($C$4:$C$2003,$C1454&amp;"*")&gt;1,"NIK ganda",IF(AND($D1454&lt;&gt;"",LEN($D1454)&lt;&gt;16),"No. KK bukan 16 digit",IF(AND($F1454="",$I1454=""),"Alamat kosong",IF($N1454="","Jabatan kosong",IF($O1454="","No. HP kosong",IF(AND($R1454&lt;&gt;"",$R1454&lt;17),"Usia di bawah 17","")))))))))</f>
        <v/>
      </c>
      <c r="Z1454" s="40" t="str">
        <f aca="false">IF($B1454="","",IF(AND(OR(CARI!$C$5="",ISNUMBER(SEARCH(CARI!$C$5,$B1454&amp;" "&amp;$C1454&amp;" "&amp;$D1454&amp;" "&amp;$O1454&amp;" "&amp;$I1454&amp;" "&amp;$F1454&amp;" "&amp;$J1454&amp;" "&amp;$K1454&amp;" "&amp;$L1454&amp;" "&amp;$V1454))),OR(CARI!$C$6="",$F1454=CARI!$C$6),OR(CARI!$C$7="",$G1454=CARI!$C$7),OR(CARI!$C$8="",$T1454=CARI!$C$8)),MAX($Z$3:Z1453)+1,""))</f>
        <v/>
      </c>
      <c r="AA1454" s="40" t="str">
        <f aca="false">IF($Y1454="","",MAX($AA$3:AA1453)+1)</f>
        <v/>
      </c>
      <c r="AB1454" s="40" t="str">
        <f aca="false">IF($F1454="","",$F1454&amp;"#"&amp;COUNTIF($F$4:$F1454,$F1454))</f>
        <v/>
      </c>
      <c r="AC1454" s="40" t="str">
        <f aca="false">IF($B1454="","",IF(AND(OR(CETAK!$J$10="",$F1454=CETAK!$J$10),OR(CETAK!$J$11="",$G1454=CETAK!$J$11),OR(CETAK!$J$12="",$P1454=CETAK!$J$12),OR(CETAK!$J$13="",$N1454=CETAK!$J$13),OR(CETAK!$J$14="",$T1454=CETAK!$J$14)),MAX($AC$3:AC1453)+1,""))</f>
        <v/>
      </c>
      <c r="AD1454" s="40" t="str">
        <f aca="false">IF($B1454="","",IF(AND(OR(ABSENSI!$H$10="",$F1454=ABSENSI!$H$10),OR(ABSENSI!$H$11="",$G1454=ABSENSI!$H$11),OR(ABSENSI!$H$12="",$P1454=ABSENSI!$H$12)),MAX($AD$3:AD1453)+1,""))</f>
        <v/>
      </c>
      <c r="AE1454" s="40" t="str">
        <f aca="false">IF($B1454="","",IF(AND(OR(KARTU!$K$6="",$F1454=KARTU!$K$6),OR(KARTU!$K$7="",$G1454=KARTU!$K$7),OR(KARTU!$K$8="",$P1454=KARTU!$K$8)),MAX($AE$3:AE1453)+1,""))</f>
        <v/>
      </c>
    </row>
    <row r="1455" customFormat="false" ht="15" hidden="false" customHeight="false" outlineLevel="0" collapsed="false">
      <c r="A1455" s="35" t="str">
        <f aca="false">IF($B1455="","",COUNTA($B$4:$B1455))</f>
        <v/>
      </c>
      <c r="B1455" s="36"/>
      <c r="C1455" s="37"/>
      <c r="D1455" s="37"/>
      <c r="E1455" s="38"/>
      <c r="F1455" s="36"/>
      <c r="G1455" s="39"/>
      <c r="H1455" s="39"/>
      <c r="I1455" s="36"/>
      <c r="J1455" s="36"/>
      <c r="K1455" s="36"/>
      <c r="L1455" s="36"/>
      <c r="M1455" s="40" t="str">
        <f aca="false">IF($F1455="","",$F1455&amp;IF($G1455="",""," - RT "&amp;$G1455&amp;IF($H1455="","","/"&amp;$H1455)))</f>
        <v/>
      </c>
      <c r="N1455" s="36"/>
      <c r="O1455" s="37"/>
      <c r="P1455" s="39"/>
      <c r="Q1455" s="41"/>
      <c r="R1455" s="35" t="str">
        <f aca="true">IF(OR($B1455="",$Q1455=""),"",DATEDIF($Q1455,TODAY(),"Y"))</f>
        <v/>
      </c>
      <c r="S1455" s="40" t="str">
        <f aca="false">IF($R1455="","",INDEX(usia_label,MATCH($R1455,usia_min,1)))</f>
        <v/>
      </c>
      <c r="T1455" s="36"/>
      <c r="U1455" s="41"/>
      <c r="V1455" s="36"/>
      <c r="W1455" s="36"/>
      <c r="X1455" s="40" t="str">
        <f aca="false">IF($M1455="","",$M1455&amp;"#"&amp;COUNTIF($M$4:$M1455,$M1455))</f>
        <v/>
      </c>
      <c r="Y1455" s="40" t="str">
        <f aca="false">IF($B1455="","",IF($C1455="","NIK kosong",IF(LEN($C1455)&lt;&gt;16,"NIK bukan 16 digit",IF(COUNTIF($C$4:$C$2003,$C1455&amp;"*")&gt;1,"NIK ganda",IF(AND($D1455&lt;&gt;"",LEN($D1455)&lt;&gt;16),"No. KK bukan 16 digit",IF(AND($F1455="",$I1455=""),"Alamat kosong",IF($N1455="","Jabatan kosong",IF($O1455="","No. HP kosong",IF(AND($R1455&lt;&gt;"",$R1455&lt;17),"Usia di bawah 17","")))))))))</f>
        <v/>
      </c>
      <c r="Z1455" s="40" t="str">
        <f aca="false">IF($B1455="","",IF(AND(OR(CARI!$C$5="",ISNUMBER(SEARCH(CARI!$C$5,$B1455&amp;" "&amp;$C1455&amp;" "&amp;$D1455&amp;" "&amp;$O1455&amp;" "&amp;$I1455&amp;" "&amp;$F1455&amp;" "&amp;$J1455&amp;" "&amp;$K1455&amp;" "&amp;$L1455&amp;" "&amp;$V1455))),OR(CARI!$C$6="",$F1455=CARI!$C$6),OR(CARI!$C$7="",$G1455=CARI!$C$7),OR(CARI!$C$8="",$T1455=CARI!$C$8)),MAX($Z$3:Z1454)+1,""))</f>
        <v/>
      </c>
      <c r="AA1455" s="40" t="str">
        <f aca="false">IF($Y1455="","",MAX($AA$3:AA1454)+1)</f>
        <v/>
      </c>
      <c r="AB1455" s="40" t="str">
        <f aca="false">IF($F1455="","",$F1455&amp;"#"&amp;COUNTIF($F$4:$F1455,$F1455))</f>
        <v/>
      </c>
      <c r="AC1455" s="40" t="str">
        <f aca="false">IF($B1455="","",IF(AND(OR(CETAK!$J$10="",$F1455=CETAK!$J$10),OR(CETAK!$J$11="",$G1455=CETAK!$J$11),OR(CETAK!$J$12="",$P1455=CETAK!$J$12),OR(CETAK!$J$13="",$N1455=CETAK!$J$13),OR(CETAK!$J$14="",$T1455=CETAK!$J$14)),MAX($AC$3:AC1454)+1,""))</f>
        <v/>
      </c>
      <c r="AD1455" s="40" t="str">
        <f aca="false">IF($B1455="","",IF(AND(OR(ABSENSI!$H$10="",$F1455=ABSENSI!$H$10),OR(ABSENSI!$H$11="",$G1455=ABSENSI!$H$11),OR(ABSENSI!$H$12="",$P1455=ABSENSI!$H$12)),MAX($AD$3:AD1454)+1,""))</f>
        <v/>
      </c>
      <c r="AE1455" s="40" t="str">
        <f aca="false">IF($B1455="","",IF(AND(OR(KARTU!$K$6="",$F1455=KARTU!$K$6),OR(KARTU!$K$7="",$G1455=KARTU!$K$7),OR(KARTU!$K$8="",$P1455=KARTU!$K$8)),MAX($AE$3:AE1454)+1,""))</f>
        <v/>
      </c>
    </row>
    <row r="1456" customFormat="false" ht="15" hidden="false" customHeight="false" outlineLevel="0" collapsed="false">
      <c r="A1456" s="35" t="str">
        <f aca="false">IF($B1456="","",COUNTA($B$4:$B1456))</f>
        <v/>
      </c>
      <c r="B1456" s="36"/>
      <c r="C1456" s="37"/>
      <c r="D1456" s="37"/>
      <c r="E1456" s="38"/>
      <c r="F1456" s="36"/>
      <c r="G1456" s="39"/>
      <c r="H1456" s="39"/>
      <c r="I1456" s="36"/>
      <c r="J1456" s="36"/>
      <c r="K1456" s="36"/>
      <c r="L1456" s="36"/>
      <c r="M1456" s="40" t="str">
        <f aca="false">IF($F1456="","",$F1456&amp;IF($G1456="",""," - RT "&amp;$G1456&amp;IF($H1456="","","/"&amp;$H1456)))</f>
        <v/>
      </c>
      <c r="N1456" s="36"/>
      <c r="O1456" s="37"/>
      <c r="P1456" s="39"/>
      <c r="Q1456" s="41"/>
      <c r="R1456" s="35" t="str">
        <f aca="true">IF(OR($B1456="",$Q1456=""),"",DATEDIF($Q1456,TODAY(),"Y"))</f>
        <v/>
      </c>
      <c r="S1456" s="40" t="str">
        <f aca="false">IF($R1456="","",INDEX(usia_label,MATCH($R1456,usia_min,1)))</f>
        <v/>
      </c>
      <c r="T1456" s="36"/>
      <c r="U1456" s="41"/>
      <c r="V1456" s="36"/>
      <c r="W1456" s="36"/>
      <c r="X1456" s="40" t="str">
        <f aca="false">IF($M1456="","",$M1456&amp;"#"&amp;COUNTIF($M$4:$M1456,$M1456))</f>
        <v/>
      </c>
      <c r="Y1456" s="40" t="str">
        <f aca="false">IF($B1456="","",IF($C1456="","NIK kosong",IF(LEN($C1456)&lt;&gt;16,"NIK bukan 16 digit",IF(COUNTIF($C$4:$C$2003,$C1456&amp;"*")&gt;1,"NIK ganda",IF(AND($D1456&lt;&gt;"",LEN($D1456)&lt;&gt;16),"No. KK bukan 16 digit",IF(AND($F1456="",$I1456=""),"Alamat kosong",IF($N1456="","Jabatan kosong",IF($O1456="","No. HP kosong",IF(AND($R1456&lt;&gt;"",$R1456&lt;17),"Usia di bawah 17","")))))))))</f>
        <v/>
      </c>
      <c r="Z1456" s="40" t="str">
        <f aca="false">IF($B1456="","",IF(AND(OR(CARI!$C$5="",ISNUMBER(SEARCH(CARI!$C$5,$B1456&amp;" "&amp;$C1456&amp;" "&amp;$D1456&amp;" "&amp;$O1456&amp;" "&amp;$I1456&amp;" "&amp;$F1456&amp;" "&amp;$J1456&amp;" "&amp;$K1456&amp;" "&amp;$L1456&amp;" "&amp;$V1456))),OR(CARI!$C$6="",$F1456=CARI!$C$6),OR(CARI!$C$7="",$G1456=CARI!$C$7),OR(CARI!$C$8="",$T1456=CARI!$C$8)),MAX($Z$3:Z1455)+1,""))</f>
        <v/>
      </c>
      <c r="AA1456" s="40" t="str">
        <f aca="false">IF($Y1456="","",MAX($AA$3:AA1455)+1)</f>
        <v/>
      </c>
      <c r="AB1456" s="40" t="str">
        <f aca="false">IF($F1456="","",$F1456&amp;"#"&amp;COUNTIF($F$4:$F1456,$F1456))</f>
        <v/>
      </c>
      <c r="AC1456" s="40" t="str">
        <f aca="false">IF($B1456="","",IF(AND(OR(CETAK!$J$10="",$F1456=CETAK!$J$10),OR(CETAK!$J$11="",$G1456=CETAK!$J$11),OR(CETAK!$J$12="",$P1456=CETAK!$J$12),OR(CETAK!$J$13="",$N1456=CETAK!$J$13),OR(CETAK!$J$14="",$T1456=CETAK!$J$14)),MAX($AC$3:AC1455)+1,""))</f>
        <v/>
      </c>
      <c r="AD1456" s="40" t="str">
        <f aca="false">IF($B1456="","",IF(AND(OR(ABSENSI!$H$10="",$F1456=ABSENSI!$H$10),OR(ABSENSI!$H$11="",$G1456=ABSENSI!$H$11),OR(ABSENSI!$H$12="",$P1456=ABSENSI!$H$12)),MAX($AD$3:AD1455)+1,""))</f>
        <v/>
      </c>
      <c r="AE1456" s="40" t="str">
        <f aca="false">IF($B1456="","",IF(AND(OR(KARTU!$K$6="",$F1456=KARTU!$K$6),OR(KARTU!$K$7="",$G1456=KARTU!$K$7),OR(KARTU!$K$8="",$P1456=KARTU!$K$8)),MAX($AE$3:AE1455)+1,""))</f>
        <v/>
      </c>
    </row>
    <row r="1457" customFormat="false" ht="15" hidden="false" customHeight="false" outlineLevel="0" collapsed="false">
      <c r="A1457" s="35" t="str">
        <f aca="false">IF($B1457="","",COUNTA($B$4:$B1457))</f>
        <v/>
      </c>
      <c r="B1457" s="36"/>
      <c r="C1457" s="37"/>
      <c r="D1457" s="37"/>
      <c r="E1457" s="38"/>
      <c r="F1457" s="36"/>
      <c r="G1457" s="39"/>
      <c r="H1457" s="39"/>
      <c r="I1457" s="36"/>
      <c r="J1457" s="36"/>
      <c r="K1457" s="36"/>
      <c r="L1457" s="36"/>
      <c r="M1457" s="40" t="str">
        <f aca="false">IF($F1457="","",$F1457&amp;IF($G1457="",""," - RT "&amp;$G1457&amp;IF($H1457="","","/"&amp;$H1457)))</f>
        <v/>
      </c>
      <c r="N1457" s="36"/>
      <c r="O1457" s="37"/>
      <c r="P1457" s="39"/>
      <c r="Q1457" s="41"/>
      <c r="R1457" s="35" t="str">
        <f aca="true">IF(OR($B1457="",$Q1457=""),"",DATEDIF($Q1457,TODAY(),"Y"))</f>
        <v/>
      </c>
      <c r="S1457" s="40" t="str">
        <f aca="false">IF($R1457="","",INDEX(usia_label,MATCH($R1457,usia_min,1)))</f>
        <v/>
      </c>
      <c r="T1457" s="36"/>
      <c r="U1457" s="41"/>
      <c r="V1457" s="36"/>
      <c r="W1457" s="36"/>
      <c r="X1457" s="40" t="str">
        <f aca="false">IF($M1457="","",$M1457&amp;"#"&amp;COUNTIF($M$4:$M1457,$M1457))</f>
        <v/>
      </c>
      <c r="Y1457" s="40" t="str">
        <f aca="false">IF($B1457="","",IF($C1457="","NIK kosong",IF(LEN($C1457)&lt;&gt;16,"NIK bukan 16 digit",IF(COUNTIF($C$4:$C$2003,$C1457&amp;"*")&gt;1,"NIK ganda",IF(AND($D1457&lt;&gt;"",LEN($D1457)&lt;&gt;16),"No. KK bukan 16 digit",IF(AND($F1457="",$I1457=""),"Alamat kosong",IF($N1457="","Jabatan kosong",IF($O1457="","No. HP kosong",IF(AND($R1457&lt;&gt;"",$R1457&lt;17),"Usia di bawah 17","")))))))))</f>
        <v/>
      </c>
      <c r="Z1457" s="40" t="str">
        <f aca="false">IF($B1457="","",IF(AND(OR(CARI!$C$5="",ISNUMBER(SEARCH(CARI!$C$5,$B1457&amp;" "&amp;$C1457&amp;" "&amp;$D1457&amp;" "&amp;$O1457&amp;" "&amp;$I1457&amp;" "&amp;$F1457&amp;" "&amp;$J1457&amp;" "&amp;$K1457&amp;" "&amp;$L1457&amp;" "&amp;$V1457))),OR(CARI!$C$6="",$F1457=CARI!$C$6),OR(CARI!$C$7="",$G1457=CARI!$C$7),OR(CARI!$C$8="",$T1457=CARI!$C$8)),MAX($Z$3:Z1456)+1,""))</f>
        <v/>
      </c>
      <c r="AA1457" s="40" t="str">
        <f aca="false">IF($Y1457="","",MAX($AA$3:AA1456)+1)</f>
        <v/>
      </c>
      <c r="AB1457" s="40" t="str">
        <f aca="false">IF($F1457="","",$F1457&amp;"#"&amp;COUNTIF($F$4:$F1457,$F1457))</f>
        <v/>
      </c>
      <c r="AC1457" s="40" t="str">
        <f aca="false">IF($B1457="","",IF(AND(OR(CETAK!$J$10="",$F1457=CETAK!$J$10),OR(CETAK!$J$11="",$G1457=CETAK!$J$11),OR(CETAK!$J$12="",$P1457=CETAK!$J$12),OR(CETAK!$J$13="",$N1457=CETAK!$J$13),OR(CETAK!$J$14="",$T1457=CETAK!$J$14)),MAX($AC$3:AC1456)+1,""))</f>
        <v/>
      </c>
      <c r="AD1457" s="40" t="str">
        <f aca="false">IF($B1457="","",IF(AND(OR(ABSENSI!$H$10="",$F1457=ABSENSI!$H$10),OR(ABSENSI!$H$11="",$G1457=ABSENSI!$H$11),OR(ABSENSI!$H$12="",$P1457=ABSENSI!$H$12)),MAX($AD$3:AD1456)+1,""))</f>
        <v/>
      </c>
      <c r="AE1457" s="40" t="str">
        <f aca="false">IF($B1457="","",IF(AND(OR(KARTU!$K$6="",$F1457=KARTU!$K$6),OR(KARTU!$K$7="",$G1457=KARTU!$K$7),OR(KARTU!$K$8="",$P1457=KARTU!$K$8)),MAX($AE$3:AE1456)+1,""))</f>
        <v/>
      </c>
    </row>
    <row r="1458" customFormat="false" ht="15" hidden="false" customHeight="false" outlineLevel="0" collapsed="false">
      <c r="A1458" s="35" t="str">
        <f aca="false">IF($B1458="","",COUNTA($B$4:$B1458))</f>
        <v/>
      </c>
      <c r="B1458" s="36"/>
      <c r="C1458" s="37"/>
      <c r="D1458" s="37"/>
      <c r="E1458" s="38"/>
      <c r="F1458" s="36"/>
      <c r="G1458" s="39"/>
      <c r="H1458" s="39"/>
      <c r="I1458" s="36"/>
      <c r="J1458" s="36"/>
      <c r="K1458" s="36"/>
      <c r="L1458" s="36"/>
      <c r="M1458" s="40" t="str">
        <f aca="false">IF($F1458="","",$F1458&amp;IF($G1458="",""," - RT "&amp;$G1458&amp;IF($H1458="","","/"&amp;$H1458)))</f>
        <v/>
      </c>
      <c r="N1458" s="36"/>
      <c r="O1458" s="37"/>
      <c r="P1458" s="39"/>
      <c r="Q1458" s="41"/>
      <c r="R1458" s="35" t="str">
        <f aca="true">IF(OR($B1458="",$Q1458=""),"",DATEDIF($Q1458,TODAY(),"Y"))</f>
        <v/>
      </c>
      <c r="S1458" s="40" t="str">
        <f aca="false">IF($R1458="","",INDEX(usia_label,MATCH($R1458,usia_min,1)))</f>
        <v/>
      </c>
      <c r="T1458" s="36"/>
      <c r="U1458" s="41"/>
      <c r="V1458" s="36"/>
      <c r="W1458" s="36"/>
      <c r="X1458" s="40" t="str">
        <f aca="false">IF($M1458="","",$M1458&amp;"#"&amp;COUNTIF($M$4:$M1458,$M1458))</f>
        <v/>
      </c>
      <c r="Y1458" s="40" t="str">
        <f aca="false">IF($B1458="","",IF($C1458="","NIK kosong",IF(LEN($C1458)&lt;&gt;16,"NIK bukan 16 digit",IF(COUNTIF($C$4:$C$2003,$C1458&amp;"*")&gt;1,"NIK ganda",IF(AND($D1458&lt;&gt;"",LEN($D1458)&lt;&gt;16),"No. KK bukan 16 digit",IF(AND($F1458="",$I1458=""),"Alamat kosong",IF($N1458="","Jabatan kosong",IF($O1458="","No. HP kosong",IF(AND($R1458&lt;&gt;"",$R1458&lt;17),"Usia di bawah 17","")))))))))</f>
        <v/>
      </c>
      <c r="Z1458" s="40" t="str">
        <f aca="false">IF($B1458="","",IF(AND(OR(CARI!$C$5="",ISNUMBER(SEARCH(CARI!$C$5,$B1458&amp;" "&amp;$C1458&amp;" "&amp;$D1458&amp;" "&amp;$O1458&amp;" "&amp;$I1458&amp;" "&amp;$F1458&amp;" "&amp;$J1458&amp;" "&amp;$K1458&amp;" "&amp;$L1458&amp;" "&amp;$V1458))),OR(CARI!$C$6="",$F1458=CARI!$C$6),OR(CARI!$C$7="",$G1458=CARI!$C$7),OR(CARI!$C$8="",$T1458=CARI!$C$8)),MAX($Z$3:Z1457)+1,""))</f>
        <v/>
      </c>
      <c r="AA1458" s="40" t="str">
        <f aca="false">IF($Y1458="","",MAX($AA$3:AA1457)+1)</f>
        <v/>
      </c>
      <c r="AB1458" s="40" t="str">
        <f aca="false">IF($F1458="","",$F1458&amp;"#"&amp;COUNTIF($F$4:$F1458,$F1458))</f>
        <v/>
      </c>
      <c r="AC1458" s="40" t="str">
        <f aca="false">IF($B1458="","",IF(AND(OR(CETAK!$J$10="",$F1458=CETAK!$J$10),OR(CETAK!$J$11="",$G1458=CETAK!$J$11),OR(CETAK!$J$12="",$P1458=CETAK!$J$12),OR(CETAK!$J$13="",$N1458=CETAK!$J$13),OR(CETAK!$J$14="",$T1458=CETAK!$J$14)),MAX($AC$3:AC1457)+1,""))</f>
        <v/>
      </c>
      <c r="AD1458" s="40" t="str">
        <f aca="false">IF($B1458="","",IF(AND(OR(ABSENSI!$H$10="",$F1458=ABSENSI!$H$10),OR(ABSENSI!$H$11="",$G1458=ABSENSI!$H$11),OR(ABSENSI!$H$12="",$P1458=ABSENSI!$H$12)),MAX($AD$3:AD1457)+1,""))</f>
        <v/>
      </c>
      <c r="AE1458" s="40" t="str">
        <f aca="false">IF($B1458="","",IF(AND(OR(KARTU!$K$6="",$F1458=KARTU!$K$6),OR(KARTU!$K$7="",$G1458=KARTU!$K$7),OR(KARTU!$K$8="",$P1458=KARTU!$K$8)),MAX($AE$3:AE1457)+1,""))</f>
        <v/>
      </c>
    </row>
    <row r="1459" customFormat="false" ht="15" hidden="false" customHeight="false" outlineLevel="0" collapsed="false">
      <c r="A1459" s="35" t="str">
        <f aca="false">IF($B1459="","",COUNTA($B$4:$B1459))</f>
        <v/>
      </c>
      <c r="B1459" s="36"/>
      <c r="C1459" s="37"/>
      <c r="D1459" s="37"/>
      <c r="E1459" s="38"/>
      <c r="F1459" s="36"/>
      <c r="G1459" s="39"/>
      <c r="H1459" s="39"/>
      <c r="I1459" s="36"/>
      <c r="J1459" s="36"/>
      <c r="K1459" s="36"/>
      <c r="L1459" s="36"/>
      <c r="M1459" s="40" t="str">
        <f aca="false">IF($F1459="","",$F1459&amp;IF($G1459="",""," - RT "&amp;$G1459&amp;IF($H1459="","","/"&amp;$H1459)))</f>
        <v/>
      </c>
      <c r="N1459" s="36"/>
      <c r="O1459" s="37"/>
      <c r="P1459" s="39"/>
      <c r="Q1459" s="41"/>
      <c r="R1459" s="35" t="str">
        <f aca="true">IF(OR($B1459="",$Q1459=""),"",DATEDIF($Q1459,TODAY(),"Y"))</f>
        <v/>
      </c>
      <c r="S1459" s="40" t="str">
        <f aca="false">IF($R1459="","",INDEX(usia_label,MATCH($R1459,usia_min,1)))</f>
        <v/>
      </c>
      <c r="T1459" s="36"/>
      <c r="U1459" s="41"/>
      <c r="V1459" s="36"/>
      <c r="W1459" s="36"/>
      <c r="X1459" s="40" t="str">
        <f aca="false">IF($M1459="","",$M1459&amp;"#"&amp;COUNTIF($M$4:$M1459,$M1459))</f>
        <v/>
      </c>
      <c r="Y1459" s="40" t="str">
        <f aca="false">IF($B1459="","",IF($C1459="","NIK kosong",IF(LEN($C1459)&lt;&gt;16,"NIK bukan 16 digit",IF(COUNTIF($C$4:$C$2003,$C1459&amp;"*")&gt;1,"NIK ganda",IF(AND($D1459&lt;&gt;"",LEN($D1459)&lt;&gt;16),"No. KK bukan 16 digit",IF(AND($F1459="",$I1459=""),"Alamat kosong",IF($N1459="","Jabatan kosong",IF($O1459="","No. HP kosong",IF(AND($R1459&lt;&gt;"",$R1459&lt;17),"Usia di bawah 17","")))))))))</f>
        <v/>
      </c>
      <c r="Z1459" s="40" t="str">
        <f aca="false">IF($B1459="","",IF(AND(OR(CARI!$C$5="",ISNUMBER(SEARCH(CARI!$C$5,$B1459&amp;" "&amp;$C1459&amp;" "&amp;$D1459&amp;" "&amp;$O1459&amp;" "&amp;$I1459&amp;" "&amp;$F1459&amp;" "&amp;$J1459&amp;" "&amp;$K1459&amp;" "&amp;$L1459&amp;" "&amp;$V1459))),OR(CARI!$C$6="",$F1459=CARI!$C$6),OR(CARI!$C$7="",$G1459=CARI!$C$7),OR(CARI!$C$8="",$T1459=CARI!$C$8)),MAX($Z$3:Z1458)+1,""))</f>
        <v/>
      </c>
      <c r="AA1459" s="40" t="str">
        <f aca="false">IF($Y1459="","",MAX($AA$3:AA1458)+1)</f>
        <v/>
      </c>
      <c r="AB1459" s="40" t="str">
        <f aca="false">IF($F1459="","",$F1459&amp;"#"&amp;COUNTIF($F$4:$F1459,$F1459))</f>
        <v/>
      </c>
      <c r="AC1459" s="40" t="str">
        <f aca="false">IF($B1459="","",IF(AND(OR(CETAK!$J$10="",$F1459=CETAK!$J$10),OR(CETAK!$J$11="",$G1459=CETAK!$J$11),OR(CETAK!$J$12="",$P1459=CETAK!$J$12),OR(CETAK!$J$13="",$N1459=CETAK!$J$13),OR(CETAK!$J$14="",$T1459=CETAK!$J$14)),MAX($AC$3:AC1458)+1,""))</f>
        <v/>
      </c>
      <c r="AD1459" s="40" t="str">
        <f aca="false">IF($B1459="","",IF(AND(OR(ABSENSI!$H$10="",$F1459=ABSENSI!$H$10),OR(ABSENSI!$H$11="",$G1459=ABSENSI!$H$11),OR(ABSENSI!$H$12="",$P1459=ABSENSI!$H$12)),MAX($AD$3:AD1458)+1,""))</f>
        <v/>
      </c>
      <c r="AE1459" s="40" t="str">
        <f aca="false">IF($B1459="","",IF(AND(OR(KARTU!$K$6="",$F1459=KARTU!$K$6),OR(KARTU!$K$7="",$G1459=KARTU!$K$7),OR(KARTU!$K$8="",$P1459=KARTU!$K$8)),MAX($AE$3:AE1458)+1,""))</f>
        <v/>
      </c>
    </row>
    <row r="1460" customFormat="false" ht="15" hidden="false" customHeight="false" outlineLevel="0" collapsed="false">
      <c r="A1460" s="35" t="str">
        <f aca="false">IF($B1460="","",COUNTA($B$4:$B1460))</f>
        <v/>
      </c>
      <c r="B1460" s="36"/>
      <c r="C1460" s="37"/>
      <c r="D1460" s="37"/>
      <c r="E1460" s="38"/>
      <c r="F1460" s="36"/>
      <c r="G1460" s="39"/>
      <c r="H1460" s="39"/>
      <c r="I1460" s="36"/>
      <c r="J1460" s="36"/>
      <c r="K1460" s="36"/>
      <c r="L1460" s="36"/>
      <c r="M1460" s="40" t="str">
        <f aca="false">IF($F1460="","",$F1460&amp;IF($G1460="",""," - RT "&amp;$G1460&amp;IF($H1460="","","/"&amp;$H1460)))</f>
        <v/>
      </c>
      <c r="N1460" s="36"/>
      <c r="O1460" s="37"/>
      <c r="P1460" s="39"/>
      <c r="Q1460" s="41"/>
      <c r="R1460" s="35" t="str">
        <f aca="true">IF(OR($B1460="",$Q1460=""),"",DATEDIF($Q1460,TODAY(),"Y"))</f>
        <v/>
      </c>
      <c r="S1460" s="40" t="str">
        <f aca="false">IF($R1460="","",INDEX(usia_label,MATCH($R1460,usia_min,1)))</f>
        <v/>
      </c>
      <c r="T1460" s="36"/>
      <c r="U1460" s="41"/>
      <c r="V1460" s="36"/>
      <c r="W1460" s="36"/>
      <c r="X1460" s="40" t="str">
        <f aca="false">IF($M1460="","",$M1460&amp;"#"&amp;COUNTIF($M$4:$M1460,$M1460))</f>
        <v/>
      </c>
      <c r="Y1460" s="40" t="str">
        <f aca="false">IF($B1460="","",IF($C1460="","NIK kosong",IF(LEN($C1460)&lt;&gt;16,"NIK bukan 16 digit",IF(COUNTIF($C$4:$C$2003,$C1460&amp;"*")&gt;1,"NIK ganda",IF(AND($D1460&lt;&gt;"",LEN($D1460)&lt;&gt;16),"No. KK bukan 16 digit",IF(AND($F1460="",$I1460=""),"Alamat kosong",IF($N1460="","Jabatan kosong",IF($O1460="","No. HP kosong",IF(AND($R1460&lt;&gt;"",$R1460&lt;17),"Usia di bawah 17","")))))))))</f>
        <v/>
      </c>
      <c r="Z1460" s="40" t="str">
        <f aca="false">IF($B1460="","",IF(AND(OR(CARI!$C$5="",ISNUMBER(SEARCH(CARI!$C$5,$B1460&amp;" "&amp;$C1460&amp;" "&amp;$D1460&amp;" "&amp;$O1460&amp;" "&amp;$I1460&amp;" "&amp;$F1460&amp;" "&amp;$J1460&amp;" "&amp;$K1460&amp;" "&amp;$L1460&amp;" "&amp;$V1460))),OR(CARI!$C$6="",$F1460=CARI!$C$6),OR(CARI!$C$7="",$G1460=CARI!$C$7),OR(CARI!$C$8="",$T1460=CARI!$C$8)),MAX($Z$3:Z1459)+1,""))</f>
        <v/>
      </c>
      <c r="AA1460" s="40" t="str">
        <f aca="false">IF($Y1460="","",MAX($AA$3:AA1459)+1)</f>
        <v/>
      </c>
      <c r="AB1460" s="40" t="str">
        <f aca="false">IF($F1460="","",$F1460&amp;"#"&amp;COUNTIF($F$4:$F1460,$F1460))</f>
        <v/>
      </c>
      <c r="AC1460" s="40" t="str">
        <f aca="false">IF($B1460="","",IF(AND(OR(CETAK!$J$10="",$F1460=CETAK!$J$10),OR(CETAK!$J$11="",$G1460=CETAK!$J$11),OR(CETAK!$J$12="",$P1460=CETAK!$J$12),OR(CETAK!$J$13="",$N1460=CETAK!$J$13),OR(CETAK!$J$14="",$T1460=CETAK!$J$14)),MAX($AC$3:AC1459)+1,""))</f>
        <v/>
      </c>
      <c r="AD1460" s="40" t="str">
        <f aca="false">IF($B1460="","",IF(AND(OR(ABSENSI!$H$10="",$F1460=ABSENSI!$H$10),OR(ABSENSI!$H$11="",$G1460=ABSENSI!$H$11),OR(ABSENSI!$H$12="",$P1460=ABSENSI!$H$12)),MAX($AD$3:AD1459)+1,""))</f>
        <v/>
      </c>
      <c r="AE1460" s="40" t="str">
        <f aca="false">IF($B1460="","",IF(AND(OR(KARTU!$K$6="",$F1460=KARTU!$K$6),OR(KARTU!$K$7="",$G1460=KARTU!$K$7),OR(KARTU!$K$8="",$P1460=KARTU!$K$8)),MAX($AE$3:AE1459)+1,""))</f>
        <v/>
      </c>
    </row>
    <row r="1461" customFormat="false" ht="15" hidden="false" customHeight="false" outlineLevel="0" collapsed="false">
      <c r="A1461" s="35" t="str">
        <f aca="false">IF($B1461="","",COUNTA($B$4:$B1461))</f>
        <v/>
      </c>
      <c r="B1461" s="36"/>
      <c r="C1461" s="37"/>
      <c r="D1461" s="37"/>
      <c r="E1461" s="38"/>
      <c r="F1461" s="36"/>
      <c r="G1461" s="39"/>
      <c r="H1461" s="39"/>
      <c r="I1461" s="36"/>
      <c r="J1461" s="36"/>
      <c r="K1461" s="36"/>
      <c r="L1461" s="36"/>
      <c r="M1461" s="40" t="str">
        <f aca="false">IF($F1461="","",$F1461&amp;IF($G1461="",""," - RT "&amp;$G1461&amp;IF($H1461="","","/"&amp;$H1461)))</f>
        <v/>
      </c>
      <c r="N1461" s="36"/>
      <c r="O1461" s="37"/>
      <c r="P1461" s="39"/>
      <c r="Q1461" s="41"/>
      <c r="R1461" s="35" t="str">
        <f aca="true">IF(OR($B1461="",$Q1461=""),"",DATEDIF($Q1461,TODAY(),"Y"))</f>
        <v/>
      </c>
      <c r="S1461" s="40" t="str">
        <f aca="false">IF($R1461="","",INDEX(usia_label,MATCH($R1461,usia_min,1)))</f>
        <v/>
      </c>
      <c r="T1461" s="36"/>
      <c r="U1461" s="41"/>
      <c r="V1461" s="36"/>
      <c r="W1461" s="36"/>
      <c r="X1461" s="40" t="str">
        <f aca="false">IF($M1461="","",$M1461&amp;"#"&amp;COUNTIF($M$4:$M1461,$M1461))</f>
        <v/>
      </c>
      <c r="Y1461" s="40" t="str">
        <f aca="false">IF($B1461="","",IF($C1461="","NIK kosong",IF(LEN($C1461)&lt;&gt;16,"NIK bukan 16 digit",IF(COUNTIF($C$4:$C$2003,$C1461&amp;"*")&gt;1,"NIK ganda",IF(AND($D1461&lt;&gt;"",LEN($D1461)&lt;&gt;16),"No. KK bukan 16 digit",IF(AND($F1461="",$I1461=""),"Alamat kosong",IF($N1461="","Jabatan kosong",IF($O1461="","No. HP kosong",IF(AND($R1461&lt;&gt;"",$R1461&lt;17),"Usia di bawah 17","")))))))))</f>
        <v/>
      </c>
      <c r="Z1461" s="40" t="str">
        <f aca="false">IF($B1461="","",IF(AND(OR(CARI!$C$5="",ISNUMBER(SEARCH(CARI!$C$5,$B1461&amp;" "&amp;$C1461&amp;" "&amp;$D1461&amp;" "&amp;$O1461&amp;" "&amp;$I1461&amp;" "&amp;$F1461&amp;" "&amp;$J1461&amp;" "&amp;$K1461&amp;" "&amp;$L1461&amp;" "&amp;$V1461))),OR(CARI!$C$6="",$F1461=CARI!$C$6),OR(CARI!$C$7="",$G1461=CARI!$C$7),OR(CARI!$C$8="",$T1461=CARI!$C$8)),MAX($Z$3:Z1460)+1,""))</f>
        <v/>
      </c>
      <c r="AA1461" s="40" t="str">
        <f aca="false">IF($Y1461="","",MAX($AA$3:AA1460)+1)</f>
        <v/>
      </c>
      <c r="AB1461" s="40" t="str">
        <f aca="false">IF($F1461="","",$F1461&amp;"#"&amp;COUNTIF($F$4:$F1461,$F1461))</f>
        <v/>
      </c>
      <c r="AC1461" s="40" t="str">
        <f aca="false">IF($B1461="","",IF(AND(OR(CETAK!$J$10="",$F1461=CETAK!$J$10),OR(CETAK!$J$11="",$G1461=CETAK!$J$11),OR(CETAK!$J$12="",$P1461=CETAK!$J$12),OR(CETAK!$J$13="",$N1461=CETAK!$J$13),OR(CETAK!$J$14="",$T1461=CETAK!$J$14)),MAX($AC$3:AC1460)+1,""))</f>
        <v/>
      </c>
      <c r="AD1461" s="40" t="str">
        <f aca="false">IF($B1461="","",IF(AND(OR(ABSENSI!$H$10="",$F1461=ABSENSI!$H$10),OR(ABSENSI!$H$11="",$G1461=ABSENSI!$H$11),OR(ABSENSI!$H$12="",$P1461=ABSENSI!$H$12)),MAX($AD$3:AD1460)+1,""))</f>
        <v/>
      </c>
      <c r="AE1461" s="40" t="str">
        <f aca="false">IF($B1461="","",IF(AND(OR(KARTU!$K$6="",$F1461=KARTU!$K$6),OR(KARTU!$K$7="",$G1461=KARTU!$K$7),OR(KARTU!$K$8="",$P1461=KARTU!$K$8)),MAX($AE$3:AE1460)+1,""))</f>
        <v/>
      </c>
    </row>
    <row r="1462" customFormat="false" ht="15" hidden="false" customHeight="false" outlineLevel="0" collapsed="false">
      <c r="A1462" s="35" t="str">
        <f aca="false">IF($B1462="","",COUNTA($B$4:$B1462))</f>
        <v/>
      </c>
      <c r="B1462" s="36"/>
      <c r="C1462" s="37"/>
      <c r="D1462" s="37"/>
      <c r="E1462" s="38"/>
      <c r="F1462" s="36"/>
      <c r="G1462" s="39"/>
      <c r="H1462" s="39"/>
      <c r="I1462" s="36"/>
      <c r="J1462" s="36"/>
      <c r="K1462" s="36"/>
      <c r="L1462" s="36"/>
      <c r="M1462" s="40" t="str">
        <f aca="false">IF($F1462="","",$F1462&amp;IF($G1462="",""," - RT "&amp;$G1462&amp;IF($H1462="","","/"&amp;$H1462)))</f>
        <v/>
      </c>
      <c r="N1462" s="36"/>
      <c r="O1462" s="37"/>
      <c r="P1462" s="39"/>
      <c r="Q1462" s="41"/>
      <c r="R1462" s="35" t="str">
        <f aca="true">IF(OR($B1462="",$Q1462=""),"",DATEDIF($Q1462,TODAY(),"Y"))</f>
        <v/>
      </c>
      <c r="S1462" s="40" t="str">
        <f aca="false">IF($R1462="","",INDEX(usia_label,MATCH($R1462,usia_min,1)))</f>
        <v/>
      </c>
      <c r="T1462" s="36"/>
      <c r="U1462" s="41"/>
      <c r="V1462" s="36"/>
      <c r="W1462" s="36"/>
      <c r="X1462" s="40" t="str">
        <f aca="false">IF($M1462="","",$M1462&amp;"#"&amp;COUNTIF($M$4:$M1462,$M1462))</f>
        <v/>
      </c>
      <c r="Y1462" s="40" t="str">
        <f aca="false">IF($B1462="","",IF($C1462="","NIK kosong",IF(LEN($C1462)&lt;&gt;16,"NIK bukan 16 digit",IF(COUNTIF($C$4:$C$2003,$C1462&amp;"*")&gt;1,"NIK ganda",IF(AND($D1462&lt;&gt;"",LEN($D1462)&lt;&gt;16),"No. KK bukan 16 digit",IF(AND($F1462="",$I1462=""),"Alamat kosong",IF($N1462="","Jabatan kosong",IF($O1462="","No. HP kosong",IF(AND($R1462&lt;&gt;"",$R1462&lt;17),"Usia di bawah 17","")))))))))</f>
        <v/>
      </c>
      <c r="Z1462" s="40" t="str">
        <f aca="false">IF($B1462="","",IF(AND(OR(CARI!$C$5="",ISNUMBER(SEARCH(CARI!$C$5,$B1462&amp;" "&amp;$C1462&amp;" "&amp;$D1462&amp;" "&amp;$O1462&amp;" "&amp;$I1462&amp;" "&amp;$F1462&amp;" "&amp;$J1462&amp;" "&amp;$K1462&amp;" "&amp;$L1462&amp;" "&amp;$V1462))),OR(CARI!$C$6="",$F1462=CARI!$C$6),OR(CARI!$C$7="",$G1462=CARI!$C$7),OR(CARI!$C$8="",$T1462=CARI!$C$8)),MAX($Z$3:Z1461)+1,""))</f>
        <v/>
      </c>
      <c r="AA1462" s="40" t="str">
        <f aca="false">IF($Y1462="","",MAX($AA$3:AA1461)+1)</f>
        <v/>
      </c>
      <c r="AB1462" s="40" t="str">
        <f aca="false">IF($F1462="","",$F1462&amp;"#"&amp;COUNTIF($F$4:$F1462,$F1462))</f>
        <v/>
      </c>
      <c r="AC1462" s="40" t="str">
        <f aca="false">IF($B1462="","",IF(AND(OR(CETAK!$J$10="",$F1462=CETAK!$J$10),OR(CETAK!$J$11="",$G1462=CETAK!$J$11),OR(CETAK!$J$12="",$P1462=CETAK!$J$12),OR(CETAK!$J$13="",$N1462=CETAK!$J$13),OR(CETAK!$J$14="",$T1462=CETAK!$J$14)),MAX($AC$3:AC1461)+1,""))</f>
        <v/>
      </c>
      <c r="AD1462" s="40" t="str">
        <f aca="false">IF($B1462="","",IF(AND(OR(ABSENSI!$H$10="",$F1462=ABSENSI!$H$10),OR(ABSENSI!$H$11="",$G1462=ABSENSI!$H$11),OR(ABSENSI!$H$12="",$P1462=ABSENSI!$H$12)),MAX($AD$3:AD1461)+1,""))</f>
        <v/>
      </c>
      <c r="AE1462" s="40" t="str">
        <f aca="false">IF($B1462="","",IF(AND(OR(KARTU!$K$6="",$F1462=KARTU!$K$6),OR(KARTU!$K$7="",$G1462=KARTU!$K$7),OR(KARTU!$K$8="",$P1462=KARTU!$K$8)),MAX($AE$3:AE1461)+1,""))</f>
        <v/>
      </c>
    </row>
    <row r="1463" customFormat="false" ht="15" hidden="false" customHeight="false" outlineLevel="0" collapsed="false">
      <c r="A1463" s="35" t="str">
        <f aca="false">IF($B1463="","",COUNTA($B$4:$B1463))</f>
        <v/>
      </c>
      <c r="B1463" s="36"/>
      <c r="C1463" s="37"/>
      <c r="D1463" s="37"/>
      <c r="E1463" s="38"/>
      <c r="F1463" s="36"/>
      <c r="G1463" s="39"/>
      <c r="H1463" s="39"/>
      <c r="I1463" s="36"/>
      <c r="J1463" s="36"/>
      <c r="K1463" s="36"/>
      <c r="L1463" s="36"/>
      <c r="M1463" s="40" t="str">
        <f aca="false">IF($F1463="","",$F1463&amp;IF($G1463="",""," - RT "&amp;$G1463&amp;IF($H1463="","","/"&amp;$H1463)))</f>
        <v/>
      </c>
      <c r="N1463" s="36"/>
      <c r="O1463" s="37"/>
      <c r="P1463" s="39"/>
      <c r="Q1463" s="41"/>
      <c r="R1463" s="35" t="str">
        <f aca="true">IF(OR($B1463="",$Q1463=""),"",DATEDIF($Q1463,TODAY(),"Y"))</f>
        <v/>
      </c>
      <c r="S1463" s="40" t="str">
        <f aca="false">IF($R1463="","",INDEX(usia_label,MATCH($R1463,usia_min,1)))</f>
        <v/>
      </c>
      <c r="T1463" s="36"/>
      <c r="U1463" s="41"/>
      <c r="V1463" s="36"/>
      <c r="W1463" s="36"/>
      <c r="X1463" s="40" t="str">
        <f aca="false">IF($M1463="","",$M1463&amp;"#"&amp;COUNTIF($M$4:$M1463,$M1463))</f>
        <v/>
      </c>
      <c r="Y1463" s="40" t="str">
        <f aca="false">IF($B1463="","",IF($C1463="","NIK kosong",IF(LEN($C1463)&lt;&gt;16,"NIK bukan 16 digit",IF(COUNTIF($C$4:$C$2003,$C1463&amp;"*")&gt;1,"NIK ganda",IF(AND($D1463&lt;&gt;"",LEN($D1463)&lt;&gt;16),"No. KK bukan 16 digit",IF(AND($F1463="",$I1463=""),"Alamat kosong",IF($N1463="","Jabatan kosong",IF($O1463="","No. HP kosong",IF(AND($R1463&lt;&gt;"",$R1463&lt;17),"Usia di bawah 17","")))))))))</f>
        <v/>
      </c>
      <c r="Z1463" s="40" t="str">
        <f aca="false">IF($B1463="","",IF(AND(OR(CARI!$C$5="",ISNUMBER(SEARCH(CARI!$C$5,$B1463&amp;" "&amp;$C1463&amp;" "&amp;$D1463&amp;" "&amp;$O1463&amp;" "&amp;$I1463&amp;" "&amp;$F1463&amp;" "&amp;$J1463&amp;" "&amp;$K1463&amp;" "&amp;$L1463&amp;" "&amp;$V1463))),OR(CARI!$C$6="",$F1463=CARI!$C$6),OR(CARI!$C$7="",$G1463=CARI!$C$7),OR(CARI!$C$8="",$T1463=CARI!$C$8)),MAX($Z$3:Z1462)+1,""))</f>
        <v/>
      </c>
      <c r="AA1463" s="40" t="str">
        <f aca="false">IF($Y1463="","",MAX($AA$3:AA1462)+1)</f>
        <v/>
      </c>
      <c r="AB1463" s="40" t="str">
        <f aca="false">IF($F1463="","",$F1463&amp;"#"&amp;COUNTIF($F$4:$F1463,$F1463))</f>
        <v/>
      </c>
      <c r="AC1463" s="40" t="str">
        <f aca="false">IF($B1463="","",IF(AND(OR(CETAK!$J$10="",$F1463=CETAK!$J$10),OR(CETAK!$J$11="",$G1463=CETAK!$J$11),OR(CETAK!$J$12="",$P1463=CETAK!$J$12),OR(CETAK!$J$13="",$N1463=CETAK!$J$13),OR(CETAK!$J$14="",$T1463=CETAK!$J$14)),MAX($AC$3:AC1462)+1,""))</f>
        <v/>
      </c>
      <c r="AD1463" s="40" t="str">
        <f aca="false">IF($B1463="","",IF(AND(OR(ABSENSI!$H$10="",$F1463=ABSENSI!$H$10),OR(ABSENSI!$H$11="",$G1463=ABSENSI!$H$11),OR(ABSENSI!$H$12="",$P1463=ABSENSI!$H$12)),MAX($AD$3:AD1462)+1,""))</f>
        <v/>
      </c>
      <c r="AE1463" s="40" t="str">
        <f aca="false">IF($B1463="","",IF(AND(OR(KARTU!$K$6="",$F1463=KARTU!$K$6),OR(KARTU!$K$7="",$G1463=KARTU!$K$7),OR(KARTU!$K$8="",$P1463=KARTU!$K$8)),MAX($AE$3:AE1462)+1,""))</f>
        <v/>
      </c>
    </row>
    <row r="1464" customFormat="false" ht="15" hidden="false" customHeight="false" outlineLevel="0" collapsed="false">
      <c r="A1464" s="35" t="str">
        <f aca="false">IF($B1464="","",COUNTA($B$4:$B1464))</f>
        <v/>
      </c>
      <c r="B1464" s="36"/>
      <c r="C1464" s="37"/>
      <c r="D1464" s="37"/>
      <c r="E1464" s="38"/>
      <c r="F1464" s="36"/>
      <c r="G1464" s="39"/>
      <c r="H1464" s="39"/>
      <c r="I1464" s="36"/>
      <c r="J1464" s="36"/>
      <c r="K1464" s="36"/>
      <c r="L1464" s="36"/>
      <c r="M1464" s="40" t="str">
        <f aca="false">IF($F1464="","",$F1464&amp;IF($G1464="",""," - RT "&amp;$G1464&amp;IF($H1464="","","/"&amp;$H1464)))</f>
        <v/>
      </c>
      <c r="N1464" s="36"/>
      <c r="O1464" s="37"/>
      <c r="P1464" s="39"/>
      <c r="Q1464" s="41"/>
      <c r="R1464" s="35" t="str">
        <f aca="true">IF(OR($B1464="",$Q1464=""),"",DATEDIF($Q1464,TODAY(),"Y"))</f>
        <v/>
      </c>
      <c r="S1464" s="40" t="str">
        <f aca="false">IF($R1464="","",INDEX(usia_label,MATCH($R1464,usia_min,1)))</f>
        <v/>
      </c>
      <c r="T1464" s="36"/>
      <c r="U1464" s="41"/>
      <c r="V1464" s="36"/>
      <c r="W1464" s="36"/>
      <c r="X1464" s="40" t="str">
        <f aca="false">IF($M1464="","",$M1464&amp;"#"&amp;COUNTIF($M$4:$M1464,$M1464))</f>
        <v/>
      </c>
      <c r="Y1464" s="40" t="str">
        <f aca="false">IF($B1464="","",IF($C1464="","NIK kosong",IF(LEN($C1464)&lt;&gt;16,"NIK bukan 16 digit",IF(COUNTIF($C$4:$C$2003,$C1464&amp;"*")&gt;1,"NIK ganda",IF(AND($D1464&lt;&gt;"",LEN($D1464)&lt;&gt;16),"No. KK bukan 16 digit",IF(AND($F1464="",$I1464=""),"Alamat kosong",IF($N1464="","Jabatan kosong",IF($O1464="","No. HP kosong",IF(AND($R1464&lt;&gt;"",$R1464&lt;17),"Usia di bawah 17","")))))))))</f>
        <v/>
      </c>
      <c r="Z1464" s="40" t="str">
        <f aca="false">IF($B1464="","",IF(AND(OR(CARI!$C$5="",ISNUMBER(SEARCH(CARI!$C$5,$B1464&amp;" "&amp;$C1464&amp;" "&amp;$D1464&amp;" "&amp;$O1464&amp;" "&amp;$I1464&amp;" "&amp;$F1464&amp;" "&amp;$J1464&amp;" "&amp;$K1464&amp;" "&amp;$L1464&amp;" "&amp;$V1464))),OR(CARI!$C$6="",$F1464=CARI!$C$6),OR(CARI!$C$7="",$G1464=CARI!$C$7),OR(CARI!$C$8="",$T1464=CARI!$C$8)),MAX($Z$3:Z1463)+1,""))</f>
        <v/>
      </c>
      <c r="AA1464" s="40" t="str">
        <f aca="false">IF($Y1464="","",MAX($AA$3:AA1463)+1)</f>
        <v/>
      </c>
      <c r="AB1464" s="40" t="str">
        <f aca="false">IF($F1464="","",$F1464&amp;"#"&amp;COUNTIF($F$4:$F1464,$F1464))</f>
        <v/>
      </c>
      <c r="AC1464" s="40" t="str">
        <f aca="false">IF($B1464="","",IF(AND(OR(CETAK!$J$10="",$F1464=CETAK!$J$10),OR(CETAK!$J$11="",$G1464=CETAK!$J$11),OR(CETAK!$J$12="",$P1464=CETAK!$J$12),OR(CETAK!$J$13="",$N1464=CETAK!$J$13),OR(CETAK!$J$14="",$T1464=CETAK!$J$14)),MAX($AC$3:AC1463)+1,""))</f>
        <v/>
      </c>
      <c r="AD1464" s="40" t="str">
        <f aca="false">IF($B1464="","",IF(AND(OR(ABSENSI!$H$10="",$F1464=ABSENSI!$H$10),OR(ABSENSI!$H$11="",$G1464=ABSENSI!$H$11),OR(ABSENSI!$H$12="",$P1464=ABSENSI!$H$12)),MAX($AD$3:AD1463)+1,""))</f>
        <v/>
      </c>
      <c r="AE1464" s="40" t="str">
        <f aca="false">IF($B1464="","",IF(AND(OR(KARTU!$K$6="",$F1464=KARTU!$K$6),OR(KARTU!$K$7="",$G1464=KARTU!$K$7),OR(KARTU!$K$8="",$P1464=KARTU!$K$8)),MAX($AE$3:AE1463)+1,""))</f>
        <v/>
      </c>
    </row>
    <row r="1465" customFormat="false" ht="15" hidden="false" customHeight="false" outlineLevel="0" collapsed="false">
      <c r="A1465" s="35" t="str">
        <f aca="false">IF($B1465="","",COUNTA($B$4:$B1465))</f>
        <v/>
      </c>
      <c r="B1465" s="36"/>
      <c r="C1465" s="37"/>
      <c r="D1465" s="37"/>
      <c r="E1465" s="38"/>
      <c r="F1465" s="36"/>
      <c r="G1465" s="39"/>
      <c r="H1465" s="39"/>
      <c r="I1465" s="36"/>
      <c r="J1465" s="36"/>
      <c r="K1465" s="36"/>
      <c r="L1465" s="36"/>
      <c r="M1465" s="40" t="str">
        <f aca="false">IF($F1465="","",$F1465&amp;IF($G1465="",""," - RT "&amp;$G1465&amp;IF($H1465="","","/"&amp;$H1465)))</f>
        <v/>
      </c>
      <c r="N1465" s="36"/>
      <c r="O1465" s="37"/>
      <c r="P1465" s="39"/>
      <c r="Q1465" s="41"/>
      <c r="R1465" s="35" t="str">
        <f aca="true">IF(OR($B1465="",$Q1465=""),"",DATEDIF($Q1465,TODAY(),"Y"))</f>
        <v/>
      </c>
      <c r="S1465" s="40" t="str">
        <f aca="false">IF($R1465="","",INDEX(usia_label,MATCH($R1465,usia_min,1)))</f>
        <v/>
      </c>
      <c r="T1465" s="36"/>
      <c r="U1465" s="41"/>
      <c r="V1465" s="36"/>
      <c r="W1465" s="36"/>
      <c r="X1465" s="40" t="str">
        <f aca="false">IF($M1465="","",$M1465&amp;"#"&amp;COUNTIF($M$4:$M1465,$M1465))</f>
        <v/>
      </c>
      <c r="Y1465" s="40" t="str">
        <f aca="false">IF($B1465="","",IF($C1465="","NIK kosong",IF(LEN($C1465)&lt;&gt;16,"NIK bukan 16 digit",IF(COUNTIF($C$4:$C$2003,$C1465&amp;"*")&gt;1,"NIK ganda",IF(AND($D1465&lt;&gt;"",LEN($D1465)&lt;&gt;16),"No. KK bukan 16 digit",IF(AND($F1465="",$I1465=""),"Alamat kosong",IF($N1465="","Jabatan kosong",IF($O1465="","No. HP kosong",IF(AND($R1465&lt;&gt;"",$R1465&lt;17),"Usia di bawah 17","")))))))))</f>
        <v/>
      </c>
      <c r="Z1465" s="40" t="str">
        <f aca="false">IF($B1465="","",IF(AND(OR(CARI!$C$5="",ISNUMBER(SEARCH(CARI!$C$5,$B1465&amp;" "&amp;$C1465&amp;" "&amp;$D1465&amp;" "&amp;$O1465&amp;" "&amp;$I1465&amp;" "&amp;$F1465&amp;" "&amp;$J1465&amp;" "&amp;$K1465&amp;" "&amp;$L1465&amp;" "&amp;$V1465))),OR(CARI!$C$6="",$F1465=CARI!$C$6),OR(CARI!$C$7="",$G1465=CARI!$C$7),OR(CARI!$C$8="",$T1465=CARI!$C$8)),MAX($Z$3:Z1464)+1,""))</f>
        <v/>
      </c>
      <c r="AA1465" s="40" t="str">
        <f aca="false">IF($Y1465="","",MAX($AA$3:AA1464)+1)</f>
        <v/>
      </c>
      <c r="AB1465" s="40" t="str">
        <f aca="false">IF($F1465="","",$F1465&amp;"#"&amp;COUNTIF($F$4:$F1465,$F1465))</f>
        <v/>
      </c>
      <c r="AC1465" s="40" t="str">
        <f aca="false">IF($B1465="","",IF(AND(OR(CETAK!$J$10="",$F1465=CETAK!$J$10),OR(CETAK!$J$11="",$G1465=CETAK!$J$11),OR(CETAK!$J$12="",$P1465=CETAK!$J$12),OR(CETAK!$J$13="",$N1465=CETAK!$J$13),OR(CETAK!$J$14="",$T1465=CETAK!$J$14)),MAX($AC$3:AC1464)+1,""))</f>
        <v/>
      </c>
      <c r="AD1465" s="40" t="str">
        <f aca="false">IF($B1465="","",IF(AND(OR(ABSENSI!$H$10="",$F1465=ABSENSI!$H$10),OR(ABSENSI!$H$11="",$G1465=ABSENSI!$H$11),OR(ABSENSI!$H$12="",$P1465=ABSENSI!$H$12)),MAX($AD$3:AD1464)+1,""))</f>
        <v/>
      </c>
      <c r="AE1465" s="40" t="str">
        <f aca="false">IF($B1465="","",IF(AND(OR(KARTU!$K$6="",$F1465=KARTU!$K$6),OR(KARTU!$K$7="",$G1465=KARTU!$K$7),OR(KARTU!$K$8="",$P1465=KARTU!$K$8)),MAX($AE$3:AE1464)+1,""))</f>
        <v/>
      </c>
    </row>
    <row r="1466" customFormat="false" ht="15" hidden="false" customHeight="false" outlineLevel="0" collapsed="false">
      <c r="A1466" s="35" t="str">
        <f aca="false">IF($B1466="","",COUNTA($B$4:$B1466))</f>
        <v/>
      </c>
      <c r="B1466" s="36"/>
      <c r="C1466" s="37"/>
      <c r="D1466" s="37"/>
      <c r="E1466" s="38"/>
      <c r="F1466" s="36"/>
      <c r="G1466" s="39"/>
      <c r="H1466" s="39"/>
      <c r="I1466" s="36"/>
      <c r="J1466" s="36"/>
      <c r="K1466" s="36"/>
      <c r="L1466" s="36"/>
      <c r="M1466" s="40" t="str">
        <f aca="false">IF($F1466="","",$F1466&amp;IF($G1466="",""," - RT "&amp;$G1466&amp;IF($H1466="","","/"&amp;$H1466)))</f>
        <v/>
      </c>
      <c r="N1466" s="36"/>
      <c r="O1466" s="37"/>
      <c r="P1466" s="39"/>
      <c r="Q1466" s="41"/>
      <c r="R1466" s="35" t="str">
        <f aca="true">IF(OR($B1466="",$Q1466=""),"",DATEDIF($Q1466,TODAY(),"Y"))</f>
        <v/>
      </c>
      <c r="S1466" s="40" t="str">
        <f aca="false">IF($R1466="","",INDEX(usia_label,MATCH($R1466,usia_min,1)))</f>
        <v/>
      </c>
      <c r="T1466" s="36"/>
      <c r="U1466" s="41"/>
      <c r="V1466" s="36"/>
      <c r="W1466" s="36"/>
      <c r="X1466" s="40" t="str">
        <f aca="false">IF($M1466="","",$M1466&amp;"#"&amp;COUNTIF($M$4:$M1466,$M1466))</f>
        <v/>
      </c>
      <c r="Y1466" s="40" t="str">
        <f aca="false">IF($B1466="","",IF($C1466="","NIK kosong",IF(LEN($C1466)&lt;&gt;16,"NIK bukan 16 digit",IF(COUNTIF($C$4:$C$2003,$C1466&amp;"*")&gt;1,"NIK ganda",IF(AND($D1466&lt;&gt;"",LEN($D1466)&lt;&gt;16),"No. KK bukan 16 digit",IF(AND($F1466="",$I1466=""),"Alamat kosong",IF($N1466="","Jabatan kosong",IF($O1466="","No. HP kosong",IF(AND($R1466&lt;&gt;"",$R1466&lt;17),"Usia di bawah 17","")))))))))</f>
        <v/>
      </c>
      <c r="Z1466" s="40" t="str">
        <f aca="false">IF($B1466="","",IF(AND(OR(CARI!$C$5="",ISNUMBER(SEARCH(CARI!$C$5,$B1466&amp;" "&amp;$C1466&amp;" "&amp;$D1466&amp;" "&amp;$O1466&amp;" "&amp;$I1466&amp;" "&amp;$F1466&amp;" "&amp;$J1466&amp;" "&amp;$K1466&amp;" "&amp;$L1466&amp;" "&amp;$V1466))),OR(CARI!$C$6="",$F1466=CARI!$C$6),OR(CARI!$C$7="",$G1466=CARI!$C$7),OR(CARI!$C$8="",$T1466=CARI!$C$8)),MAX($Z$3:Z1465)+1,""))</f>
        <v/>
      </c>
      <c r="AA1466" s="40" t="str">
        <f aca="false">IF($Y1466="","",MAX($AA$3:AA1465)+1)</f>
        <v/>
      </c>
      <c r="AB1466" s="40" t="str">
        <f aca="false">IF($F1466="","",$F1466&amp;"#"&amp;COUNTIF($F$4:$F1466,$F1466))</f>
        <v/>
      </c>
      <c r="AC1466" s="40" t="str">
        <f aca="false">IF($B1466="","",IF(AND(OR(CETAK!$J$10="",$F1466=CETAK!$J$10),OR(CETAK!$J$11="",$G1466=CETAK!$J$11),OR(CETAK!$J$12="",$P1466=CETAK!$J$12),OR(CETAK!$J$13="",$N1466=CETAK!$J$13),OR(CETAK!$J$14="",$T1466=CETAK!$J$14)),MAX($AC$3:AC1465)+1,""))</f>
        <v/>
      </c>
      <c r="AD1466" s="40" t="str">
        <f aca="false">IF($B1466="","",IF(AND(OR(ABSENSI!$H$10="",$F1466=ABSENSI!$H$10),OR(ABSENSI!$H$11="",$G1466=ABSENSI!$H$11),OR(ABSENSI!$H$12="",$P1466=ABSENSI!$H$12)),MAX($AD$3:AD1465)+1,""))</f>
        <v/>
      </c>
      <c r="AE1466" s="40" t="str">
        <f aca="false">IF($B1466="","",IF(AND(OR(KARTU!$K$6="",$F1466=KARTU!$K$6),OR(KARTU!$K$7="",$G1466=KARTU!$K$7),OR(KARTU!$K$8="",$P1466=KARTU!$K$8)),MAX($AE$3:AE1465)+1,""))</f>
        <v/>
      </c>
    </row>
    <row r="1467" customFormat="false" ht="15" hidden="false" customHeight="false" outlineLevel="0" collapsed="false">
      <c r="A1467" s="35" t="str">
        <f aca="false">IF($B1467="","",COUNTA($B$4:$B1467))</f>
        <v/>
      </c>
      <c r="B1467" s="36"/>
      <c r="C1467" s="37"/>
      <c r="D1467" s="37"/>
      <c r="E1467" s="38"/>
      <c r="F1467" s="36"/>
      <c r="G1467" s="39"/>
      <c r="H1467" s="39"/>
      <c r="I1467" s="36"/>
      <c r="J1467" s="36"/>
      <c r="K1467" s="36"/>
      <c r="L1467" s="36"/>
      <c r="M1467" s="40" t="str">
        <f aca="false">IF($F1467="","",$F1467&amp;IF($G1467="",""," - RT "&amp;$G1467&amp;IF($H1467="","","/"&amp;$H1467)))</f>
        <v/>
      </c>
      <c r="N1467" s="36"/>
      <c r="O1467" s="37"/>
      <c r="P1467" s="39"/>
      <c r="Q1467" s="41"/>
      <c r="R1467" s="35" t="str">
        <f aca="true">IF(OR($B1467="",$Q1467=""),"",DATEDIF($Q1467,TODAY(),"Y"))</f>
        <v/>
      </c>
      <c r="S1467" s="40" t="str">
        <f aca="false">IF($R1467="","",INDEX(usia_label,MATCH($R1467,usia_min,1)))</f>
        <v/>
      </c>
      <c r="T1467" s="36"/>
      <c r="U1467" s="41"/>
      <c r="V1467" s="36"/>
      <c r="W1467" s="36"/>
      <c r="X1467" s="40" t="str">
        <f aca="false">IF($M1467="","",$M1467&amp;"#"&amp;COUNTIF($M$4:$M1467,$M1467))</f>
        <v/>
      </c>
      <c r="Y1467" s="40" t="str">
        <f aca="false">IF($B1467="","",IF($C1467="","NIK kosong",IF(LEN($C1467)&lt;&gt;16,"NIK bukan 16 digit",IF(COUNTIF($C$4:$C$2003,$C1467&amp;"*")&gt;1,"NIK ganda",IF(AND($D1467&lt;&gt;"",LEN($D1467)&lt;&gt;16),"No. KK bukan 16 digit",IF(AND($F1467="",$I1467=""),"Alamat kosong",IF($N1467="","Jabatan kosong",IF($O1467="","No. HP kosong",IF(AND($R1467&lt;&gt;"",$R1467&lt;17),"Usia di bawah 17","")))))))))</f>
        <v/>
      </c>
      <c r="Z1467" s="40" t="str">
        <f aca="false">IF($B1467="","",IF(AND(OR(CARI!$C$5="",ISNUMBER(SEARCH(CARI!$C$5,$B1467&amp;" "&amp;$C1467&amp;" "&amp;$D1467&amp;" "&amp;$O1467&amp;" "&amp;$I1467&amp;" "&amp;$F1467&amp;" "&amp;$J1467&amp;" "&amp;$K1467&amp;" "&amp;$L1467&amp;" "&amp;$V1467))),OR(CARI!$C$6="",$F1467=CARI!$C$6),OR(CARI!$C$7="",$G1467=CARI!$C$7),OR(CARI!$C$8="",$T1467=CARI!$C$8)),MAX($Z$3:Z1466)+1,""))</f>
        <v/>
      </c>
      <c r="AA1467" s="40" t="str">
        <f aca="false">IF($Y1467="","",MAX($AA$3:AA1466)+1)</f>
        <v/>
      </c>
      <c r="AB1467" s="40" t="str">
        <f aca="false">IF($F1467="","",$F1467&amp;"#"&amp;COUNTIF($F$4:$F1467,$F1467))</f>
        <v/>
      </c>
      <c r="AC1467" s="40" t="str">
        <f aca="false">IF($B1467="","",IF(AND(OR(CETAK!$J$10="",$F1467=CETAK!$J$10),OR(CETAK!$J$11="",$G1467=CETAK!$J$11),OR(CETAK!$J$12="",$P1467=CETAK!$J$12),OR(CETAK!$J$13="",$N1467=CETAK!$J$13),OR(CETAK!$J$14="",$T1467=CETAK!$J$14)),MAX($AC$3:AC1466)+1,""))</f>
        <v/>
      </c>
      <c r="AD1467" s="40" t="str">
        <f aca="false">IF($B1467="","",IF(AND(OR(ABSENSI!$H$10="",$F1467=ABSENSI!$H$10),OR(ABSENSI!$H$11="",$G1467=ABSENSI!$H$11),OR(ABSENSI!$H$12="",$P1467=ABSENSI!$H$12)),MAX($AD$3:AD1466)+1,""))</f>
        <v/>
      </c>
      <c r="AE1467" s="40" t="str">
        <f aca="false">IF($B1467="","",IF(AND(OR(KARTU!$K$6="",$F1467=KARTU!$K$6),OR(KARTU!$K$7="",$G1467=KARTU!$K$7),OR(KARTU!$K$8="",$P1467=KARTU!$K$8)),MAX($AE$3:AE1466)+1,""))</f>
        <v/>
      </c>
    </row>
    <row r="1468" customFormat="false" ht="15" hidden="false" customHeight="false" outlineLevel="0" collapsed="false">
      <c r="A1468" s="35" t="str">
        <f aca="false">IF($B1468="","",COUNTA($B$4:$B1468))</f>
        <v/>
      </c>
      <c r="B1468" s="36"/>
      <c r="C1468" s="37"/>
      <c r="D1468" s="37"/>
      <c r="E1468" s="38"/>
      <c r="F1468" s="36"/>
      <c r="G1468" s="39"/>
      <c r="H1468" s="39"/>
      <c r="I1468" s="36"/>
      <c r="J1468" s="36"/>
      <c r="K1468" s="36"/>
      <c r="L1468" s="36"/>
      <c r="M1468" s="40" t="str">
        <f aca="false">IF($F1468="","",$F1468&amp;IF($G1468="",""," - RT "&amp;$G1468&amp;IF($H1468="","","/"&amp;$H1468)))</f>
        <v/>
      </c>
      <c r="N1468" s="36"/>
      <c r="O1468" s="37"/>
      <c r="P1468" s="39"/>
      <c r="Q1468" s="41"/>
      <c r="R1468" s="35" t="str">
        <f aca="true">IF(OR($B1468="",$Q1468=""),"",DATEDIF($Q1468,TODAY(),"Y"))</f>
        <v/>
      </c>
      <c r="S1468" s="40" t="str">
        <f aca="false">IF($R1468="","",INDEX(usia_label,MATCH($R1468,usia_min,1)))</f>
        <v/>
      </c>
      <c r="T1468" s="36"/>
      <c r="U1468" s="41"/>
      <c r="V1468" s="36"/>
      <c r="W1468" s="36"/>
      <c r="X1468" s="40" t="str">
        <f aca="false">IF($M1468="","",$M1468&amp;"#"&amp;COUNTIF($M$4:$M1468,$M1468))</f>
        <v/>
      </c>
      <c r="Y1468" s="40" t="str">
        <f aca="false">IF($B1468="","",IF($C1468="","NIK kosong",IF(LEN($C1468)&lt;&gt;16,"NIK bukan 16 digit",IF(COUNTIF($C$4:$C$2003,$C1468&amp;"*")&gt;1,"NIK ganda",IF(AND($D1468&lt;&gt;"",LEN($D1468)&lt;&gt;16),"No. KK bukan 16 digit",IF(AND($F1468="",$I1468=""),"Alamat kosong",IF($N1468="","Jabatan kosong",IF($O1468="","No. HP kosong",IF(AND($R1468&lt;&gt;"",$R1468&lt;17),"Usia di bawah 17","")))))))))</f>
        <v/>
      </c>
      <c r="Z1468" s="40" t="str">
        <f aca="false">IF($B1468="","",IF(AND(OR(CARI!$C$5="",ISNUMBER(SEARCH(CARI!$C$5,$B1468&amp;" "&amp;$C1468&amp;" "&amp;$D1468&amp;" "&amp;$O1468&amp;" "&amp;$I1468&amp;" "&amp;$F1468&amp;" "&amp;$J1468&amp;" "&amp;$K1468&amp;" "&amp;$L1468&amp;" "&amp;$V1468))),OR(CARI!$C$6="",$F1468=CARI!$C$6),OR(CARI!$C$7="",$G1468=CARI!$C$7),OR(CARI!$C$8="",$T1468=CARI!$C$8)),MAX($Z$3:Z1467)+1,""))</f>
        <v/>
      </c>
      <c r="AA1468" s="40" t="str">
        <f aca="false">IF($Y1468="","",MAX($AA$3:AA1467)+1)</f>
        <v/>
      </c>
      <c r="AB1468" s="40" t="str">
        <f aca="false">IF($F1468="","",$F1468&amp;"#"&amp;COUNTIF($F$4:$F1468,$F1468))</f>
        <v/>
      </c>
      <c r="AC1468" s="40" t="str">
        <f aca="false">IF($B1468="","",IF(AND(OR(CETAK!$J$10="",$F1468=CETAK!$J$10),OR(CETAK!$J$11="",$G1468=CETAK!$J$11),OR(CETAK!$J$12="",$P1468=CETAK!$J$12),OR(CETAK!$J$13="",$N1468=CETAK!$J$13),OR(CETAK!$J$14="",$T1468=CETAK!$J$14)),MAX($AC$3:AC1467)+1,""))</f>
        <v/>
      </c>
      <c r="AD1468" s="40" t="str">
        <f aca="false">IF($B1468="","",IF(AND(OR(ABSENSI!$H$10="",$F1468=ABSENSI!$H$10),OR(ABSENSI!$H$11="",$G1468=ABSENSI!$H$11),OR(ABSENSI!$H$12="",$P1468=ABSENSI!$H$12)),MAX($AD$3:AD1467)+1,""))</f>
        <v/>
      </c>
      <c r="AE1468" s="40" t="str">
        <f aca="false">IF($B1468="","",IF(AND(OR(KARTU!$K$6="",$F1468=KARTU!$K$6),OR(KARTU!$K$7="",$G1468=KARTU!$K$7),OR(KARTU!$K$8="",$P1468=KARTU!$K$8)),MAX($AE$3:AE1467)+1,""))</f>
        <v/>
      </c>
    </row>
    <row r="1469" customFormat="false" ht="15" hidden="false" customHeight="false" outlineLevel="0" collapsed="false">
      <c r="A1469" s="35" t="str">
        <f aca="false">IF($B1469="","",COUNTA($B$4:$B1469))</f>
        <v/>
      </c>
      <c r="B1469" s="36"/>
      <c r="C1469" s="37"/>
      <c r="D1469" s="37"/>
      <c r="E1469" s="38"/>
      <c r="F1469" s="36"/>
      <c r="G1469" s="39"/>
      <c r="H1469" s="39"/>
      <c r="I1469" s="36"/>
      <c r="J1469" s="36"/>
      <c r="K1469" s="36"/>
      <c r="L1469" s="36"/>
      <c r="M1469" s="40" t="str">
        <f aca="false">IF($F1469="","",$F1469&amp;IF($G1469="",""," - RT "&amp;$G1469&amp;IF($H1469="","","/"&amp;$H1469)))</f>
        <v/>
      </c>
      <c r="N1469" s="36"/>
      <c r="O1469" s="37"/>
      <c r="P1469" s="39"/>
      <c r="Q1469" s="41"/>
      <c r="R1469" s="35" t="str">
        <f aca="true">IF(OR($B1469="",$Q1469=""),"",DATEDIF($Q1469,TODAY(),"Y"))</f>
        <v/>
      </c>
      <c r="S1469" s="40" t="str">
        <f aca="false">IF($R1469="","",INDEX(usia_label,MATCH($R1469,usia_min,1)))</f>
        <v/>
      </c>
      <c r="T1469" s="36"/>
      <c r="U1469" s="41"/>
      <c r="V1469" s="36"/>
      <c r="W1469" s="36"/>
      <c r="X1469" s="40" t="str">
        <f aca="false">IF($M1469="","",$M1469&amp;"#"&amp;COUNTIF($M$4:$M1469,$M1469))</f>
        <v/>
      </c>
      <c r="Y1469" s="40" t="str">
        <f aca="false">IF($B1469="","",IF($C1469="","NIK kosong",IF(LEN($C1469)&lt;&gt;16,"NIK bukan 16 digit",IF(COUNTIF($C$4:$C$2003,$C1469&amp;"*")&gt;1,"NIK ganda",IF(AND($D1469&lt;&gt;"",LEN($D1469)&lt;&gt;16),"No. KK bukan 16 digit",IF(AND($F1469="",$I1469=""),"Alamat kosong",IF($N1469="","Jabatan kosong",IF($O1469="","No. HP kosong",IF(AND($R1469&lt;&gt;"",$R1469&lt;17),"Usia di bawah 17","")))))))))</f>
        <v/>
      </c>
      <c r="Z1469" s="40" t="str">
        <f aca="false">IF($B1469="","",IF(AND(OR(CARI!$C$5="",ISNUMBER(SEARCH(CARI!$C$5,$B1469&amp;" "&amp;$C1469&amp;" "&amp;$D1469&amp;" "&amp;$O1469&amp;" "&amp;$I1469&amp;" "&amp;$F1469&amp;" "&amp;$J1469&amp;" "&amp;$K1469&amp;" "&amp;$L1469&amp;" "&amp;$V1469))),OR(CARI!$C$6="",$F1469=CARI!$C$6),OR(CARI!$C$7="",$G1469=CARI!$C$7),OR(CARI!$C$8="",$T1469=CARI!$C$8)),MAX($Z$3:Z1468)+1,""))</f>
        <v/>
      </c>
      <c r="AA1469" s="40" t="str">
        <f aca="false">IF($Y1469="","",MAX($AA$3:AA1468)+1)</f>
        <v/>
      </c>
      <c r="AB1469" s="40" t="str">
        <f aca="false">IF($F1469="","",$F1469&amp;"#"&amp;COUNTIF($F$4:$F1469,$F1469))</f>
        <v/>
      </c>
      <c r="AC1469" s="40" t="str">
        <f aca="false">IF($B1469="","",IF(AND(OR(CETAK!$J$10="",$F1469=CETAK!$J$10),OR(CETAK!$J$11="",$G1469=CETAK!$J$11),OR(CETAK!$J$12="",$P1469=CETAK!$J$12),OR(CETAK!$J$13="",$N1469=CETAK!$J$13),OR(CETAK!$J$14="",$T1469=CETAK!$J$14)),MAX($AC$3:AC1468)+1,""))</f>
        <v/>
      </c>
      <c r="AD1469" s="40" t="str">
        <f aca="false">IF($B1469="","",IF(AND(OR(ABSENSI!$H$10="",$F1469=ABSENSI!$H$10),OR(ABSENSI!$H$11="",$G1469=ABSENSI!$H$11),OR(ABSENSI!$H$12="",$P1469=ABSENSI!$H$12)),MAX($AD$3:AD1468)+1,""))</f>
        <v/>
      </c>
      <c r="AE1469" s="40" t="str">
        <f aca="false">IF($B1469="","",IF(AND(OR(KARTU!$K$6="",$F1469=KARTU!$K$6),OR(KARTU!$K$7="",$G1469=KARTU!$K$7),OR(KARTU!$K$8="",$P1469=KARTU!$K$8)),MAX($AE$3:AE1468)+1,""))</f>
        <v/>
      </c>
    </row>
    <row r="1470" customFormat="false" ht="15" hidden="false" customHeight="false" outlineLevel="0" collapsed="false">
      <c r="A1470" s="35" t="str">
        <f aca="false">IF($B1470="","",COUNTA($B$4:$B1470))</f>
        <v/>
      </c>
      <c r="B1470" s="36"/>
      <c r="C1470" s="37"/>
      <c r="D1470" s="37"/>
      <c r="E1470" s="38"/>
      <c r="F1470" s="36"/>
      <c r="G1470" s="39"/>
      <c r="H1470" s="39"/>
      <c r="I1470" s="36"/>
      <c r="J1470" s="36"/>
      <c r="K1470" s="36"/>
      <c r="L1470" s="36"/>
      <c r="M1470" s="40" t="str">
        <f aca="false">IF($F1470="","",$F1470&amp;IF($G1470="",""," - RT "&amp;$G1470&amp;IF($H1470="","","/"&amp;$H1470)))</f>
        <v/>
      </c>
      <c r="N1470" s="36"/>
      <c r="O1470" s="37"/>
      <c r="P1470" s="39"/>
      <c r="Q1470" s="41"/>
      <c r="R1470" s="35" t="str">
        <f aca="true">IF(OR($B1470="",$Q1470=""),"",DATEDIF($Q1470,TODAY(),"Y"))</f>
        <v/>
      </c>
      <c r="S1470" s="40" t="str">
        <f aca="false">IF($R1470="","",INDEX(usia_label,MATCH($R1470,usia_min,1)))</f>
        <v/>
      </c>
      <c r="T1470" s="36"/>
      <c r="U1470" s="41"/>
      <c r="V1470" s="36"/>
      <c r="W1470" s="36"/>
      <c r="X1470" s="40" t="str">
        <f aca="false">IF($M1470="","",$M1470&amp;"#"&amp;COUNTIF($M$4:$M1470,$M1470))</f>
        <v/>
      </c>
      <c r="Y1470" s="40" t="str">
        <f aca="false">IF($B1470="","",IF($C1470="","NIK kosong",IF(LEN($C1470)&lt;&gt;16,"NIK bukan 16 digit",IF(COUNTIF($C$4:$C$2003,$C1470&amp;"*")&gt;1,"NIK ganda",IF(AND($D1470&lt;&gt;"",LEN($D1470)&lt;&gt;16),"No. KK bukan 16 digit",IF(AND($F1470="",$I1470=""),"Alamat kosong",IF($N1470="","Jabatan kosong",IF($O1470="","No. HP kosong",IF(AND($R1470&lt;&gt;"",$R1470&lt;17),"Usia di bawah 17","")))))))))</f>
        <v/>
      </c>
      <c r="Z1470" s="40" t="str">
        <f aca="false">IF($B1470="","",IF(AND(OR(CARI!$C$5="",ISNUMBER(SEARCH(CARI!$C$5,$B1470&amp;" "&amp;$C1470&amp;" "&amp;$D1470&amp;" "&amp;$O1470&amp;" "&amp;$I1470&amp;" "&amp;$F1470&amp;" "&amp;$J1470&amp;" "&amp;$K1470&amp;" "&amp;$L1470&amp;" "&amp;$V1470))),OR(CARI!$C$6="",$F1470=CARI!$C$6),OR(CARI!$C$7="",$G1470=CARI!$C$7),OR(CARI!$C$8="",$T1470=CARI!$C$8)),MAX($Z$3:Z1469)+1,""))</f>
        <v/>
      </c>
      <c r="AA1470" s="40" t="str">
        <f aca="false">IF($Y1470="","",MAX($AA$3:AA1469)+1)</f>
        <v/>
      </c>
      <c r="AB1470" s="40" t="str">
        <f aca="false">IF($F1470="","",$F1470&amp;"#"&amp;COUNTIF($F$4:$F1470,$F1470))</f>
        <v/>
      </c>
      <c r="AC1470" s="40" t="str">
        <f aca="false">IF($B1470="","",IF(AND(OR(CETAK!$J$10="",$F1470=CETAK!$J$10),OR(CETAK!$J$11="",$G1470=CETAK!$J$11),OR(CETAK!$J$12="",$P1470=CETAK!$J$12),OR(CETAK!$J$13="",$N1470=CETAK!$J$13),OR(CETAK!$J$14="",$T1470=CETAK!$J$14)),MAX($AC$3:AC1469)+1,""))</f>
        <v/>
      </c>
      <c r="AD1470" s="40" t="str">
        <f aca="false">IF($B1470="","",IF(AND(OR(ABSENSI!$H$10="",$F1470=ABSENSI!$H$10),OR(ABSENSI!$H$11="",$G1470=ABSENSI!$H$11),OR(ABSENSI!$H$12="",$P1470=ABSENSI!$H$12)),MAX($AD$3:AD1469)+1,""))</f>
        <v/>
      </c>
      <c r="AE1470" s="40" t="str">
        <f aca="false">IF($B1470="","",IF(AND(OR(KARTU!$K$6="",$F1470=KARTU!$K$6),OR(KARTU!$K$7="",$G1470=KARTU!$K$7),OR(KARTU!$K$8="",$P1470=KARTU!$K$8)),MAX($AE$3:AE1469)+1,""))</f>
        <v/>
      </c>
    </row>
    <row r="1471" customFormat="false" ht="15" hidden="false" customHeight="false" outlineLevel="0" collapsed="false">
      <c r="A1471" s="35" t="str">
        <f aca="false">IF($B1471="","",COUNTA($B$4:$B1471))</f>
        <v/>
      </c>
      <c r="B1471" s="36"/>
      <c r="C1471" s="37"/>
      <c r="D1471" s="37"/>
      <c r="E1471" s="38"/>
      <c r="F1471" s="36"/>
      <c r="G1471" s="39"/>
      <c r="H1471" s="39"/>
      <c r="I1471" s="36"/>
      <c r="J1471" s="36"/>
      <c r="K1471" s="36"/>
      <c r="L1471" s="36"/>
      <c r="M1471" s="40" t="str">
        <f aca="false">IF($F1471="","",$F1471&amp;IF($G1471="",""," - RT "&amp;$G1471&amp;IF($H1471="","","/"&amp;$H1471)))</f>
        <v/>
      </c>
      <c r="N1471" s="36"/>
      <c r="O1471" s="37"/>
      <c r="P1471" s="39"/>
      <c r="Q1471" s="41"/>
      <c r="R1471" s="35" t="str">
        <f aca="true">IF(OR($B1471="",$Q1471=""),"",DATEDIF($Q1471,TODAY(),"Y"))</f>
        <v/>
      </c>
      <c r="S1471" s="40" t="str">
        <f aca="false">IF($R1471="","",INDEX(usia_label,MATCH($R1471,usia_min,1)))</f>
        <v/>
      </c>
      <c r="T1471" s="36"/>
      <c r="U1471" s="41"/>
      <c r="V1471" s="36"/>
      <c r="W1471" s="36"/>
      <c r="X1471" s="40" t="str">
        <f aca="false">IF($M1471="","",$M1471&amp;"#"&amp;COUNTIF($M$4:$M1471,$M1471))</f>
        <v/>
      </c>
      <c r="Y1471" s="40" t="str">
        <f aca="false">IF($B1471="","",IF($C1471="","NIK kosong",IF(LEN($C1471)&lt;&gt;16,"NIK bukan 16 digit",IF(COUNTIF($C$4:$C$2003,$C1471&amp;"*")&gt;1,"NIK ganda",IF(AND($D1471&lt;&gt;"",LEN($D1471)&lt;&gt;16),"No. KK bukan 16 digit",IF(AND($F1471="",$I1471=""),"Alamat kosong",IF($N1471="","Jabatan kosong",IF($O1471="","No. HP kosong",IF(AND($R1471&lt;&gt;"",$R1471&lt;17),"Usia di bawah 17","")))))))))</f>
        <v/>
      </c>
      <c r="Z1471" s="40" t="str">
        <f aca="false">IF($B1471="","",IF(AND(OR(CARI!$C$5="",ISNUMBER(SEARCH(CARI!$C$5,$B1471&amp;" "&amp;$C1471&amp;" "&amp;$D1471&amp;" "&amp;$O1471&amp;" "&amp;$I1471&amp;" "&amp;$F1471&amp;" "&amp;$J1471&amp;" "&amp;$K1471&amp;" "&amp;$L1471&amp;" "&amp;$V1471))),OR(CARI!$C$6="",$F1471=CARI!$C$6),OR(CARI!$C$7="",$G1471=CARI!$C$7),OR(CARI!$C$8="",$T1471=CARI!$C$8)),MAX($Z$3:Z1470)+1,""))</f>
        <v/>
      </c>
      <c r="AA1471" s="40" t="str">
        <f aca="false">IF($Y1471="","",MAX($AA$3:AA1470)+1)</f>
        <v/>
      </c>
      <c r="AB1471" s="40" t="str">
        <f aca="false">IF($F1471="","",$F1471&amp;"#"&amp;COUNTIF($F$4:$F1471,$F1471))</f>
        <v/>
      </c>
      <c r="AC1471" s="40" t="str">
        <f aca="false">IF($B1471="","",IF(AND(OR(CETAK!$J$10="",$F1471=CETAK!$J$10),OR(CETAK!$J$11="",$G1471=CETAK!$J$11),OR(CETAK!$J$12="",$P1471=CETAK!$J$12),OR(CETAK!$J$13="",$N1471=CETAK!$J$13),OR(CETAK!$J$14="",$T1471=CETAK!$J$14)),MAX($AC$3:AC1470)+1,""))</f>
        <v/>
      </c>
      <c r="AD1471" s="40" t="str">
        <f aca="false">IF($B1471="","",IF(AND(OR(ABSENSI!$H$10="",$F1471=ABSENSI!$H$10),OR(ABSENSI!$H$11="",$G1471=ABSENSI!$H$11),OR(ABSENSI!$H$12="",$P1471=ABSENSI!$H$12)),MAX($AD$3:AD1470)+1,""))</f>
        <v/>
      </c>
      <c r="AE1471" s="40" t="str">
        <f aca="false">IF($B1471="","",IF(AND(OR(KARTU!$K$6="",$F1471=KARTU!$K$6),OR(KARTU!$K$7="",$G1471=KARTU!$K$7),OR(KARTU!$K$8="",$P1471=KARTU!$K$8)),MAX($AE$3:AE1470)+1,""))</f>
        <v/>
      </c>
    </row>
    <row r="1472" customFormat="false" ht="15" hidden="false" customHeight="false" outlineLevel="0" collapsed="false">
      <c r="A1472" s="35" t="str">
        <f aca="false">IF($B1472="","",COUNTA($B$4:$B1472))</f>
        <v/>
      </c>
      <c r="B1472" s="36"/>
      <c r="C1472" s="37"/>
      <c r="D1472" s="37"/>
      <c r="E1472" s="38"/>
      <c r="F1472" s="36"/>
      <c r="G1472" s="39"/>
      <c r="H1472" s="39"/>
      <c r="I1472" s="36"/>
      <c r="J1472" s="36"/>
      <c r="K1472" s="36"/>
      <c r="L1472" s="36"/>
      <c r="M1472" s="40" t="str">
        <f aca="false">IF($F1472="","",$F1472&amp;IF($G1472="",""," - RT "&amp;$G1472&amp;IF($H1472="","","/"&amp;$H1472)))</f>
        <v/>
      </c>
      <c r="N1472" s="36"/>
      <c r="O1472" s="37"/>
      <c r="P1472" s="39"/>
      <c r="Q1472" s="41"/>
      <c r="R1472" s="35" t="str">
        <f aca="true">IF(OR($B1472="",$Q1472=""),"",DATEDIF($Q1472,TODAY(),"Y"))</f>
        <v/>
      </c>
      <c r="S1472" s="40" t="str">
        <f aca="false">IF($R1472="","",INDEX(usia_label,MATCH($R1472,usia_min,1)))</f>
        <v/>
      </c>
      <c r="T1472" s="36"/>
      <c r="U1472" s="41"/>
      <c r="V1472" s="36"/>
      <c r="W1472" s="36"/>
      <c r="X1472" s="40" t="str">
        <f aca="false">IF($M1472="","",$M1472&amp;"#"&amp;COUNTIF($M$4:$M1472,$M1472))</f>
        <v/>
      </c>
      <c r="Y1472" s="40" t="str">
        <f aca="false">IF($B1472="","",IF($C1472="","NIK kosong",IF(LEN($C1472)&lt;&gt;16,"NIK bukan 16 digit",IF(COUNTIF($C$4:$C$2003,$C1472&amp;"*")&gt;1,"NIK ganda",IF(AND($D1472&lt;&gt;"",LEN($D1472)&lt;&gt;16),"No. KK bukan 16 digit",IF(AND($F1472="",$I1472=""),"Alamat kosong",IF($N1472="","Jabatan kosong",IF($O1472="","No. HP kosong",IF(AND($R1472&lt;&gt;"",$R1472&lt;17),"Usia di bawah 17","")))))))))</f>
        <v/>
      </c>
      <c r="Z1472" s="40" t="str">
        <f aca="false">IF($B1472="","",IF(AND(OR(CARI!$C$5="",ISNUMBER(SEARCH(CARI!$C$5,$B1472&amp;" "&amp;$C1472&amp;" "&amp;$D1472&amp;" "&amp;$O1472&amp;" "&amp;$I1472&amp;" "&amp;$F1472&amp;" "&amp;$J1472&amp;" "&amp;$K1472&amp;" "&amp;$L1472&amp;" "&amp;$V1472))),OR(CARI!$C$6="",$F1472=CARI!$C$6),OR(CARI!$C$7="",$G1472=CARI!$C$7),OR(CARI!$C$8="",$T1472=CARI!$C$8)),MAX($Z$3:Z1471)+1,""))</f>
        <v/>
      </c>
      <c r="AA1472" s="40" t="str">
        <f aca="false">IF($Y1472="","",MAX($AA$3:AA1471)+1)</f>
        <v/>
      </c>
      <c r="AB1472" s="40" t="str">
        <f aca="false">IF($F1472="","",$F1472&amp;"#"&amp;COUNTIF($F$4:$F1472,$F1472))</f>
        <v/>
      </c>
      <c r="AC1472" s="40" t="str">
        <f aca="false">IF($B1472="","",IF(AND(OR(CETAK!$J$10="",$F1472=CETAK!$J$10),OR(CETAK!$J$11="",$G1472=CETAK!$J$11),OR(CETAK!$J$12="",$P1472=CETAK!$J$12),OR(CETAK!$J$13="",$N1472=CETAK!$J$13),OR(CETAK!$J$14="",$T1472=CETAK!$J$14)),MAX($AC$3:AC1471)+1,""))</f>
        <v/>
      </c>
      <c r="AD1472" s="40" t="str">
        <f aca="false">IF($B1472="","",IF(AND(OR(ABSENSI!$H$10="",$F1472=ABSENSI!$H$10),OR(ABSENSI!$H$11="",$G1472=ABSENSI!$H$11),OR(ABSENSI!$H$12="",$P1472=ABSENSI!$H$12)),MAX($AD$3:AD1471)+1,""))</f>
        <v/>
      </c>
      <c r="AE1472" s="40" t="str">
        <f aca="false">IF($B1472="","",IF(AND(OR(KARTU!$K$6="",$F1472=KARTU!$K$6),OR(KARTU!$K$7="",$G1472=KARTU!$K$7),OR(KARTU!$K$8="",$P1472=KARTU!$K$8)),MAX($AE$3:AE1471)+1,""))</f>
        <v/>
      </c>
    </row>
    <row r="1473" customFormat="false" ht="15" hidden="false" customHeight="false" outlineLevel="0" collapsed="false">
      <c r="A1473" s="35" t="str">
        <f aca="false">IF($B1473="","",COUNTA($B$4:$B1473))</f>
        <v/>
      </c>
      <c r="B1473" s="36"/>
      <c r="C1473" s="37"/>
      <c r="D1473" s="37"/>
      <c r="E1473" s="38"/>
      <c r="F1473" s="36"/>
      <c r="G1473" s="39"/>
      <c r="H1473" s="39"/>
      <c r="I1473" s="36"/>
      <c r="J1473" s="36"/>
      <c r="K1473" s="36"/>
      <c r="L1473" s="36"/>
      <c r="M1473" s="40" t="str">
        <f aca="false">IF($F1473="","",$F1473&amp;IF($G1473="",""," - RT "&amp;$G1473&amp;IF($H1473="","","/"&amp;$H1473)))</f>
        <v/>
      </c>
      <c r="N1473" s="36"/>
      <c r="O1473" s="37"/>
      <c r="P1473" s="39"/>
      <c r="Q1473" s="41"/>
      <c r="R1473" s="35" t="str">
        <f aca="true">IF(OR($B1473="",$Q1473=""),"",DATEDIF($Q1473,TODAY(),"Y"))</f>
        <v/>
      </c>
      <c r="S1473" s="40" t="str">
        <f aca="false">IF($R1473="","",INDEX(usia_label,MATCH($R1473,usia_min,1)))</f>
        <v/>
      </c>
      <c r="T1473" s="36"/>
      <c r="U1473" s="41"/>
      <c r="V1473" s="36"/>
      <c r="W1473" s="36"/>
      <c r="X1473" s="40" t="str">
        <f aca="false">IF($M1473="","",$M1473&amp;"#"&amp;COUNTIF($M$4:$M1473,$M1473))</f>
        <v/>
      </c>
      <c r="Y1473" s="40" t="str">
        <f aca="false">IF($B1473="","",IF($C1473="","NIK kosong",IF(LEN($C1473)&lt;&gt;16,"NIK bukan 16 digit",IF(COUNTIF($C$4:$C$2003,$C1473&amp;"*")&gt;1,"NIK ganda",IF(AND($D1473&lt;&gt;"",LEN($D1473)&lt;&gt;16),"No. KK bukan 16 digit",IF(AND($F1473="",$I1473=""),"Alamat kosong",IF($N1473="","Jabatan kosong",IF($O1473="","No. HP kosong",IF(AND($R1473&lt;&gt;"",$R1473&lt;17),"Usia di bawah 17","")))))))))</f>
        <v/>
      </c>
      <c r="Z1473" s="40" t="str">
        <f aca="false">IF($B1473="","",IF(AND(OR(CARI!$C$5="",ISNUMBER(SEARCH(CARI!$C$5,$B1473&amp;" "&amp;$C1473&amp;" "&amp;$D1473&amp;" "&amp;$O1473&amp;" "&amp;$I1473&amp;" "&amp;$F1473&amp;" "&amp;$J1473&amp;" "&amp;$K1473&amp;" "&amp;$L1473&amp;" "&amp;$V1473))),OR(CARI!$C$6="",$F1473=CARI!$C$6),OR(CARI!$C$7="",$G1473=CARI!$C$7),OR(CARI!$C$8="",$T1473=CARI!$C$8)),MAX($Z$3:Z1472)+1,""))</f>
        <v/>
      </c>
      <c r="AA1473" s="40" t="str">
        <f aca="false">IF($Y1473="","",MAX($AA$3:AA1472)+1)</f>
        <v/>
      </c>
      <c r="AB1473" s="40" t="str">
        <f aca="false">IF($F1473="","",$F1473&amp;"#"&amp;COUNTIF($F$4:$F1473,$F1473))</f>
        <v/>
      </c>
      <c r="AC1473" s="40" t="str">
        <f aca="false">IF($B1473="","",IF(AND(OR(CETAK!$J$10="",$F1473=CETAK!$J$10),OR(CETAK!$J$11="",$G1473=CETAK!$J$11),OR(CETAK!$J$12="",$P1473=CETAK!$J$12),OR(CETAK!$J$13="",$N1473=CETAK!$J$13),OR(CETAK!$J$14="",$T1473=CETAK!$J$14)),MAX($AC$3:AC1472)+1,""))</f>
        <v/>
      </c>
      <c r="AD1473" s="40" t="str">
        <f aca="false">IF($B1473="","",IF(AND(OR(ABSENSI!$H$10="",$F1473=ABSENSI!$H$10),OR(ABSENSI!$H$11="",$G1473=ABSENSI!$H$11),OR(ABSENSI!$H$12="",$P1473=ABSENSI!$H$12)),MAX($AD$3:AD1472)+1,""))</f>
        <v/>
      </c>
      <c r="AE1473" s="40" t="str">
        <f aca="false">IF($B1473="","",IF(AND(OR(KARTU!$K$6="",$F1473=KARTU!$K$6),OR(KARTU!$K$7="",$G1473=KARTU!$K$7),OR(KARTU!$K$8="",$P1473=KARTU!$K$8)),MAX($AE$3:AE1472)+1,""))</f>
        <v/>
      </c>
    </row>
    <row r="1474" customFormat="false" ht="15" hidden="false" customHeight="false" outlineLevel="0" collapsed="false">
      <c r="A1474" s="35" t="str">
        <f aca="false">IF($B1474="","",COUNTA($B$4:$B1474))</f>
        <v/>
      </c>
      <c r="B1474" s="36"/>
      <c r="C1474" s="37"/>
      <c r="D1474" s="37"/>
      <c r="E1474" s="38"/>
      <c r="F1474" s="36"/>
      <c r="G1474" s="39"/>
      <c r="H1474" s="39"/>
      <c r="I1474" s="36"/>
      <c r="J1474" s="36"/>
      <c r="K1474" s="36"/>
      <c r="L1474" s="36"/>
      <c r="M1474" s="40" t="str">
        <f aca="false">IF($F1474="","",$F1474&amp;IF($G1474="",""," - RT "&amp;$G1474&amp;IF($H1474="","","/"&amp;$H1474)))</f>
        <v/>
      </c>
      <c r="N1474" s="36"/>
      <c r="O1474" s="37"/>
      <c r="P1474" s="39"/>
      <c r="Q1474" s="41"/>
      <c r="R1474" s="35" t="str">
        <f aca="true">IF(OR($B1474="",$Q1474=""),"",DATEDIF($Q1474,TODAY(),"Y"))</f>
        <v/>
      </c>
      <c r="S1474" s="40" t="str">
        <f aca="false">IF($R1474="","",INDEX(usia_label,MATCH($R1474,usia_min,1)))</f>
        <v/>
      </c>
      <c r="T1474" s="36"/>
      <c r="U1474" s="41"/>
      <c r="V1474" s="36"/>
      <c r="W1474" s="36"/>
      <c r="X1474" s="40" t="str">
        <f aca="false">IF($M1474="","",$M1474&amp;"#"&amp;COUNTIF($M$4:$M1474,$M1474))</f>
        <v/>
      </c>
      <c r="Y1474" s="40" t="str">
        <f aca="false">IF($B1474="","",IF($C1474="","NIK kosong",IF(LEN($C1474)&lt;&gt;16,"NIK bukan 16 digit",IF(COUNTIF($C$4:$C$2003,$C1474&amp;"*")&gt;1,"NIK ganda",IF(AND($D1474&lt;&gt;"",LEN($D1474)&lt;&gt;16),"No. KK bukan 16 digit",IF(AND($F1474="",$I1474=""),"Alamat kosong",IF($N1474="","Jabatan kosong",IF($O1474="","No. HP kosong",IF(AND($R1474&lt;&gt;"",$R1474&lt;17),"Usia di bawah 17","")))))))))</f>
        <v/>
      </c>
      <c r="Z1474" s="40" t="str">
        <f aca="false">IF($B1474="","",IF(AND(OR(CARI!$C$5="",ISNUMBER(SEARCH(CARI!$C$5,$B1474&amp;" "&amp;$C1474&amp;" "&amp;$D1474&amp;" "&amp;$O1474&amp;" "&amp;$I1474&amp;" "&amp;$F1474&amp;" "&amp;$J1474&amp;" "&amp;$K1474&amp;" "&amp;$L1474&amp;" "&amp;$V1474))),OR(CARI!$C$6="",$F1474=CARI!$C$6),OR(CARI!$C$7="",$G1474=CARI!$C$7),OR(CARI!$C$8="",$T1474=CARI!$C$8)),MAX($Z$3:Z1473)+1,""))</f>
        <v/>
      </c>
      <c r="AA1474" s="40" t="str">
        <f aca="false">IF($Y1474="","",MAX($AA$3:AA1473)+1)</f>
        <v/>
      </c>
      <c r="AB1474" s="40" t="str">
        <f aca="false">IF($F1474="","",$F1474&amp;"#"&amp;COUNTIF($F$4:$F1474,$F1474))</f>
        <v/>
      </c>
      <c r="AC1474" s="40" t="str">
        <f aca="false">IF($B1474="","",IF(AND(OR(CETAK!$J$10="",$F1474=CETAK!$J$10),OR(CETAK!$J$11="",$G1474=CETAK!$J$11),OR(CETAK!$J$12="",$P1474=CETAK!$J$12),OR(CETAK!$J$13="",$N1474=CETAK!$J$13),OR(CETAK!$J$14="",$T1474=CETAK!$J$14)),MAX($AC$3:AC1473)+1,""))</f>
        <v/>
      </c>
      <c r="AD1474" s="40" t="str">
        <f aca="false">IF($B1474="","",IF(AND(OR(ABSENSI!$H$10="",$F1474=ABSENSI!$H$10),OR(ABSENSI!$H$11="",$G1474=ABSENSI!$H$11),OR(ABSENSI!$H$12="",$P1474=ABSENSI!$H$12)),MAX($AD$3:AD1473)+1,""))</f>
        <v/>
      </c>
      <c r="AE1474" s="40" t="str">
        <f aca="false">IF($B1474="","",IF(AND(OR(KARTU!$K$6="",$F1474=KARTU!$K$6),OR(KARTU!$K$7="",$G1474=KARTU!$K$7),OR(KARTU!$K$8="",$P1474=KARTU!$K$8)),MAX($AE$3:AE1473)+1,""))</f>
        <v/>
      </c>
    </row>
    <row r="1475" customFormat="false" ht="15" hidden="false" customHeight="false" outlineLevel="0" collapsed="false">
      <c r="A1475" s="35" t="str">
        <f aca="false">IF($B1475="","",COUNTA($B$4:$B1475))</f>
        <v/>
      </c>
      <c r="B1475" s="36"/>
      <c r="C1475" s="37"/>
      <c r="D1475" s="37"/>
      <c r="E1475" s="38"/>
      <c r="F1475" s="36"/>
      <c r="G1475" s="39"/>
      <c r="H1475" s="39"/>
      <c r="I1475" s="36"/>
      <c r="J1475" s="36"/>
      <c r="K1475" s="36"/>
      <c r="L1475" s="36"/>
      <c r="M1475" s="40" t="str">
        <f aca="false">IF($F1475="","",$F1475&amp;IF($G1475="",""," - RT "&amp;$G1475&amp;IF($H1475="","","/"&amp;$H1475)))</f>
        <v/>
      </c>
      <c r="N1475" s="36"/>
      <c r="O1475" s="37"/>
      <c r="P1475" s="39"/>
      <c r="Q1475" s="41"/>
      <c r="R1475" s="35" t="str">
        <f aca="true">IF(OR($B1475="",$Q1475=""),"",DATEDIF($Q1475,TODAY(),"Y"))</f>
        <v/>
      </c>
      <c r="S1475" s="40" t="str">
        <f aca="false">IF($R1475="","",INDEX(usia_label,MATCH($R1475,usia_min,1)))</f>
        <v/>
      </c>
      <c r="T1475" s="36"/>
      <c r="U1475" s="41"/>
      <c r="V1475" s="36"/>
      <c r="W1475" s="36"/>
      <c r="X1475" s="40" t="str">
        <f aca="false">IF($M1475="","",$M1475&amp;"#"&amp;COUNTIF($M$4:$M1475,$M1475))</f>
        <v/>
      </c>
      <c r="Y1475" s="40" t="str">
        <f aca="false">IF($B1475="","",IF($C1475="","NIK kosong",IF(LEN($C1475)&lt;&gt;16,"NIK bukan 16 digit",IF(COUNTIF($C$4:$C$2003,$C1475&amp;"*")&gt;1,"NIK ganda",IF(AND($D1475&lt;&gt;"",LEN($D1475)&lt;&gt;16),"No. KK bukan 16 digit",IF(AND($F1475="",$I1475=""),"Alamat kosong",IF($N1475="","Jabatan kosong",IF($O1475="","No. HP kosong",IF(AND($R1475&lt;&gt;"",$R1475&lt;17),"Usia di bawah 17","")))))))))</f>
        <v/>
      </c>
      <c r="Z1475" s="40" t="str">
        <f aca="false">IF($B1475="","",IF(AND(OR(CARI!$C$5="",ISNUMBER(SEARCH(CARI!$C$5,$B1475&amp;" "&amp;$C1475&amp;" "&amp;$D1475&amp;" "&amp;$O1475&amp;" "&amp;$I1475&amp;" "&amp;$F1475&amp;" "&amp;$J1475&amp;" "&amp;$K1475&amp;" "&amp;$L1475&amp;" "&amp;$V1475))),OR(CARI!$C$6="",$F1475=CARI!$C$6),OR(CARI!$C$7="",$G1475=CARI!$C$7),OR(CARI!$C$8="",$T1475=CARI!$C$8)),MAX($Z$3:Z1474)+1,""))</f>
        <v/>
      </c>
      <c r="AA1475" s="40" t="str">
        <f aca="false">IF($Y1475="","",MAX($AA$3:AA1474)+1)</f>
        <v/>
      </c>
      <c r="AB1475" s="40" t="str">
        <f aca="false">IF($F1475="","",$F1475&amp;"#"&amp;COUNTIF($F$4:$F1475,$F1475))</f>
        <v/>
      </c>
      <c r="AC1475" s="40" t="str">
        <f aca="false">IF($B1475="","",IF(AND(OR(CETAK!$J$10="",$F1475=CETAK!$J$10),OR(CETAK!$J$11="",$G1475=CETAK!$J$11),OR(CETAK!$J$12="",$P1475=CETAK!$J$12),OR(CETAK!$J$13="",$N1475=CETAK!$J$13),OR(CETAK!$J$14="",$T1475=CETAK!$J$14)),MAX($AC$3:AC1474)+1,""))</f>
        <v/>
      </c>
      <c r="AD1475" s="40" t="str">
        <f aca="false">IF($B1475="","",IF(AND(OR(ABSENSI!$H$10="",$F1475=ABSENSI!$H$10),OR(ABSENSI!$H$11="",$G1475=ABSENSI!$H$11),OR(ABSENSI!$H$12="",$P1475=ABSENSI!$H$12)),MAX($AD$3:AD1474)+1,""))</f>
        <v/>
      </c>
      <c r="AE1475" s="40" t="str">
        <f aca="false">IF($B1475="","",IF(AND(OR(KARTU!$K$6="",$F1475=KARTU!$K$6),OR(KARTU!$K$7="",$G1475=KARTU!$K$7),OR(KARTU!$K$8="",$P1475=KARTU!$K$8)),MAX($AE$3:AE1474)+1,""))</f>
        <v/>
      </c>
    </row>
    <row r="1476" customFormat="false" ht="15" hidden="false" customHeight="false" outlineLevel="0" collapsed="false">
      <c r="A1476" s="35" t="str">
        <f aca="false">IF($B1476="","",COUNTA($B$4:$B1476))</f>
        <v/>
      </c>
      <c r="B1476" s="36"/>
      <c r="C1476" s="37"/>
      <c r="D1476" s="37"/>
      <c r="E1476" s="38"/>
      <c r="F1476" s="36"/>
      <c r="G1476" s="39"/>
      <c r="H1476" s="39"/>
      <c r="I1476" s="36"/>
      <c r="J1476" s="36"/>
      <c r="K1476" s="36"/>
      <c r="L1476" s="36"/>
      <c r="M1476" s="40" t="str">
        <f aca="false">IF($F1476="","",$F1476&amp;IF($G1476="",""," - RT "&amp;$G1476&amp;IF($H1476="","","/"&amp;$H1476)))</f>
        <v/>
      </c>
      <c r="N1476" s="36"/>
      <c r="O1476" s="37"/>
      <c r="P1476" s="39"/>
      <c r="Q1476" s="41"/>
      <c r="R1476" s="35" t="str">
        <f aca="true">IF(OR($B1476="",$Q1476=""),"",DATEDIF($Q1476,TODAY(),"Y"))</f>
        <v/>
      </c>
      <c r="S1476" s="40" t="str">
        <f aca="false">IF($R1476="","",INDEX(usia_label,MATCH($R1476,usia_min,1)))</f>
        <v/>
      </c>
      <c r="T1476" s="36"/>
      <c r="U1476" s="41"/>
      <c r="V1476" s="36"/>
      <c r="W1476" s="36"/>
      <c r="X1476" s="40" t="str">
        <f aca="false">IF($M1476="","",$M1476&amp;"#"&amp;COUNTIF($M$4:$M1476,$M1476))</f>
        <v/>
      </c>
      <c r="Y1476" s="40" t="str">
        <f aca="false">IF($B1476="","",IF($C1476="","NIK kosong",IF(LEN($C1476)&lt;&gt;16,"NIK bukan 16 digit",IF(COUNTIF($C$4:$C$2003,$C1476&amp;"*")&gt;1,"NIK ganda",IF(AND($D1476&lt;&gt;"",LEN($D1476)&lt;&gt;16),"No. KK bukan 16 digit",IF(AND($F1476="",$I1476=""),"Alamat kosong",IF($N1476="","Jabatan kosong",IF($O1476="","No. HP kosong",IF(AND($R1476&lt;&gt;"",$R1476&lt;17),"Usia di bawah 17","")))))))))</f>
        <v/>
      </c>
      <c r="Z1476" s="40" t="str">
        <f aca="false">IF($B1476="","",IF(AND(OR(CARI!$C$5="",ISNUMBER(SEARCH(CARI!$C$5,$B1476&amp;" "&amp;$C1476&amp;" "&amp;$D1476&amp;" "&amp;$O1476&amp;" "&amp;$I1476&amp;" "&amp;$F1476&amp;" "&amp;$J1476&amp;" "&amp;$K1476&amp;" "&amp;$L1476&amp;" "&amp;$V1476))),OR(CARI!$C$6="",$F1476=CARI!$C$6),OR(CARI!$C$7="",$G1476=CARI!$C$7),OR(CARI!$C$8="",$T1476=CARI!$C$8)),MAX($Z$3:Z1475)+1,""))</f>
        <v/>
      </c>
      <c r="AA1476" s="40" t="str">
        <f aca="false">IF($Y1476="","",MAX($AA$3:AA1475)+1)</f>
        <v/>
      </c>
      <c r="AB1476" s="40" t="str">
        <f aca="false">IF($F1476="","",$F1476&amp;"#"&amp;COUNTIF($F$4:$F1476,$F1476))</f>
        <v/>
      </c>
      <c r="AC1476" s="40" t="str">
        <f aca="false">IF($B1476="","",IF(AND(OR(CETAK!$J$10="",$F1476=CETAK!$J$10),OR(CETAK!$J$11="",$G1476=CETAK!$J$11),OR(CETAK!$J$12="",$P1476=CETAK!$J$12),OR(CETAK!$J$13="",$N1476=CETAK!$J$13),OR(CETAK!$J$14="",$T1476=CETAK!$J$14)),MAX($AC$3:AC1475)+1,""))</f>
        <v/>
      </c>
      <c r="AD1476" s="40" t="str">
        <f aca="false">IF($B1476="","",IF(AND(OR(ABSENSI!$H$10="",$F1476=ABSENSI!$H$10),OR(ABSENSI!$H$11="",$G1476=ABSENSI!$H$11),OR(ABSENSI!$H$12="",$P1476=ABSENSI!$H$12)),MAX($AD$3:AD1475)+1,""))</f>
        <v/>
      </c>
      <c r="AE1476" s="40" t="str">
        <f aca="false">IF($B1476="","",IF(AND(OR(KARTU!$K$6="",$F1476=KARTU!$K$6),OR(KARTU!$K$7="",$G1476=KARTU!$K$7),OR(KARTU!$K$8="",$P1476=KARTU!$K$8)),MAX($AE$3:AE1475)+1,""))</f>
        <v/>
      </c>
    </row>
    <row r="1477" customFormat="false" ht="15" hidden="false" customHeight="false" outlineLevel="0" collapsed="false">
      <c r="A1477" s="35" t="str">
        <f aca="false">IF($B1477="","",COUNTA($B$4:$B1477))</f>
        <v/>
      </c>
      <c r="B1477" s="36"/>
      <c r="C1477" s="37"/>
      <c r="D1477" s="37"/>
      <c r="E1477" s="38"/>
      <c r="F1477" s="36"/>
      <c r="G1477" s="39"/>
      <c r="H1477" s="39"/>
      <c r="I1477" s="36"/>
      <c r="J1477" s="36"/>
      <c r="K1477" s="36"/>
      <c r="L1477" s="36"/>
      <c r="M1477" s="40" t="str">
        <f aca="false">IF($F1477="","",$F1477&amp;IF($G1477="",""," - RT "&amp;$G1477&amp;IF($H1477="","","/"&amp;$H1477)))</f>
        <v/>
      </c>
      <c r="N1477" s="36"/>
      <c r="O1477" s="37"/>
      <c r="P1477" s="39"/>
      <c r="Q1477" s="41"/>
      <c r="R1477" s="35" t="str">
        <f aca="true">IF(OR($B1477="",$Q1477=""),"",DATEDIF($Q1477,TODAY(),"Y"))</f>
        <v/>
      </c>
      <c r="S1477" s="40" t="str">
        <f aca="false">IF($R1477="","",INDEX(usia_label,MATCH($R1477,usia_min,1)))</f>
        <v/>
      </c>
      <c r="T1477" s="36"/>
      <c r="U1477" s="41"/>
      <c r="V1477" s="36"/>
      <c r="W1477" s="36"/>
      <c r="X1477" s="40" t="str">
        <f aca="false">IF($M1477="","",$M1477&amp;"#"&amp;COUNTIF($M$4:$M1477,$M1477))</f>
        <v/>
      </c>
      <c r="Y1477" s="40" t="str">
        <f aca="false">IF($B1477="","",IF($C1477="","NIK kosong",IF(LEN($C1477)&lt;&gt;16,"NIK bukan 16 digit",IF(COUNTIF($C$4:$C$2003,$C1477&amp;"*")&gt;1,"NIK ganda",IF(AND($D1477&lt;&gt;"",LEN($D1477)&lt;&gt;16),"No. KK bukan 16 digit",IF(AND($F1477="",$I1477=""),"Alamat kosong",IF($N1477="","Jabatan kosong",IF($O1477="","No. HP kosong",IF(AND($R1477&lt;&gt;"",$R1477&lt;17),"Usia di bawah 17","")))))))))</f>
        <v/>
      </c>
      <c r="Z1477" s="40" t="str">
        <f aca="false">IF($B1477="","",IF(AND(OR(CARI!$C$5="",ISNUMBER(SEARCH(CARI!$C$5,$B1477&amp;" "&amp;$C1477&amp;" "&amp;$D1477&amp;" "&amp;$O1477&amp;" "&amp;$I1477&amp;" "&amp;$F1477&amp;" "&amp;$J1477&amp;" "&amp;$K1477&amp;" "&amp;$L1477&amp;" "&amp;$V1477))),OR(CARI!$C$6="",$F1477=CARI!$C$6),OR(CARI!$C$7="",$G1477=CARI!$C$7),OR(CARI!$C$8="",$T1477=CARI!$C$8)),MAX($Z$3:Z1476)+1,""))</f>
        <v/>
      </c>
      <c r="AA1477" s="40" t="str">
        <f aca="false">IF($Y1477="","",MAX($AA$3:AA1476)+1)</f>
        <v/>
      </c>
      <c r="AB1477" s="40" t="str">
        <f aca="false">IF($F1477="","",$F1477&amp;"#"&amp;COUNTIF($F$4:$F1477,$F1477))</f>
        <v/>
      </c>
      <c r="AC1477" s="40" t="str">
        <f aca="false">IF($B1477="","",IF(AND(OR(CETAK!$J$10="",$F1477=CETAK!$J$10),OR(CETAK!$J$11="",$G1477=CETAK!$J$11),OR(CETAK!$J$12="",$P1477=CETAK!$J$12),OR(CETAK!$J$13="",$N1477=CETAK!$J$13),OR(CETAK!$J$14="",$T1477=CETAK!$J$14)),MAX($AC$3:AC1476)+1,""))</f>
        <v/>
      </c>
      <c r="AD1477" s="40" t="str">
        <f aca="false">IF($B1477="","",IF(AND(OR(ABSENSI!$H$10="",$F1477=ABSENSI!$H$10),OR(ABSENSI!$H$11="",$G1477=ABSENSI!$H$11),OR(ABSENSI!$H$12="",$P1477=ABSENSI!$H$12)),MAX($AD$3:AD1476)+1,""))</f>
        <v/>
      </c>
      <c r="AE1477" s="40" t="str">
        <f aca="false">IF($B1477="","",IF(AND(OR(KARTU!$K$6="",$F1477=KARTU!$K$6),OR(KARTU!$K$7="",$G1477=KARTU!$K$7),OR(KARTU!$K$8="",$P1477=KARTU!$K$8)),MAX($AE$3:AE1476)+1,""))</f>
        <v/>
      </c>
    </row>
    <row r="1478" customFormat="false" ht="15" hidden="false" customHeight="false" outlineLevel="0" collapsed="false">
      <c r="A1478" s="35" t="str">
        <f aca="false">IF($B1478="","",COUNTA($B$4:$B1478))</f>
        <v/>
      </c>
      <c r="B1478" s="36"/>
      <c r="C1478" s="37"/>
      <c r="D1478" s="37"/>
      <c r="E1478" s="38"/>
      <c r="F1478" s="36"/>
      <c r="G1478" s="39"/>
      <c r="H1478" s="39"/>
      <c r="I1478" s="36"/>
      <c r="J1478" s="36"/>
      <c r="K1478" s="36"/>
      <c r="L1478" s="36"/>
      <c r="M1478" s="40" t="str">
        <f aca="false">IF($F1478="","",$F1478&amp;IF($G1478="",""," - RT "&amp;$G1478&amp;IF($H1478="","","/"&amp;$H1478)))</f>
        <v/>
      </c>
      <c r="N1478" s="36"/>
      <c r="O1478" s="37"/>
      <c r="P1478" s="39"/>
      <c r="Q1478" s="41"/>
      <c r="R1478" s="35" t="str">
        <f aca="true">IF(OR($B1478="",$Q1478=""),"",DATEDIF($Q1478,TODAY(),"Y"))</f>
        <v/>
      </c>
      <c r="S1478" s="40" t="str">
        <f aca="false">IF($R1478="","",INDEX(usia_label,MATCH($R1478,usia_min,1)))</f>
        <v/>
      </c>
      <c r="T1478" s="36"/>
      <c r="U1478" s="41"/>
      <c r="V1478" s="36"/>
      <c r="W1478" s="36"/>
      <c r="X1478" s="40" t="str">
        <f aca="false">IF($M1478="","",$M1478&amp;"#"&amp;COUNTIF($M$4:$M1478,$M1478))</f>
        <v/>
      </c>
      <c r="Y1478" s="40" t="str">
        <f aca="false">IF($B1478="","",IF($C1478="","NIK kosong",IF(LEN($C1478)&lt;&gt;16,"NIK bukan 16 digit",IF(COUNTIF($C$4:$C$2003,$C1478&amp;"*")&gt;1,"NIK ganda",IF(AND($D1478&lt;&gt;"",LEN($D1478)&lt;&gt;16),"No. KK bukan 16 digit",IF(AND($F1478="",$I1478=""),"Alamat kosong",IF($N1478="","Jabatan kosong",IF($O1478="","No. HP kosong",IF(AND($R1478&lt;&gt;"",$R1478&lt;17),"Usia di bawah 17","")))))))))</f>
        <v/>
      </c>
      <c r="Z1478" s="40" t="str">
        <f aca="false">IF($B1478="","",IF(AND(OR(CARI!$C$5="",ISNUMBER(SEARCH(CARI!$C$5,$B1478&amp;" "&amp;$C1478&amp;" "&amp;$D1478&amp;" "&amp;$O1478&amp;" "&amp;$I1478&amp;" "&amp;$F1478&amp;" "&amp;$J1478&amp;" "&amp;$K1478&amp;" "&amp;$L1478&amp;" "&amp;$V1478))),OR(CARI!$C$6="",$F1478=CARI!$C$6),OR(CARI!$C$7="",$G1478=CARI!$C$7),OR(CARI!$C$8="",$T1478=CARI!$C$8)),MAX($Z$3:Z1477)+1,""))</f>
        <v/>
      </c>
      <c r="AA1478" s="40" t="str">
        <f aca="false">IF($Y1478="","",MAX($AA$3:AA1477)+1)</f>
        <v/>
      </c>
      <c r="AB1478" s="40" t="str">
        <f aca="false">IF($F1478="","",$F1478&amp;"#"&amp;COUNTIF($F$4:$F1478,$F1478))</f>
        <v/>
      </c>
      <c r="AC1478" s="40" t="str">
        <f aca="false">IF($B1478="","",IF(AND(OR(CETAK!$J$10="",$F1478=CETAK!$J$10),OR(CETAK!$J$11="",$G1478=CETAK!$J$11),OR(CETAK!$J$12="",$P1478=CETAK!$J$12),OR(CETAK!$J$13="",$N1478=CETAK!$J$13),OR(CETAK!$J$14="",$T1478=CETAK!$J$14)),MAX($AC$3:AC1477)+1,""))</f>
        <v/>
      </c>
      <c r="AD1478" s="40" t="str">
        <f aca="false">IF($B1478="","",IF(AND(OR(ABSENSI!$H$10="",$F1478=ABSENSI!$H$10),OR(ABSENSI!$H$11="",$G1478=ABSENSI!$H$11),OR(ABSENSI!$H$12="",$P1478=ABSENSI!$H$12)),MAX($AD$3:AD1477)+1,""))</f>
        <v/>
      </c>
      <c r="AE1478" s="40" t="str">
        <f aca="false">IF($B1478="","",IF(AND(OR(KARTU!$K$6="",$F1478=KARTU!$K$6),OR(KARTU!$K$7="",$G1478=KARTU!$K$7),OR(KARTU!$K$8="",$P1478=KARTU!$K$8)),MAX($AE$3:AE1477)+1,""))</f>
        <v/>
      </c>
    </row>
    <row r="1479" customFormat="false" ht="15" hidden="false" customHeight="false" outlineLevel="0" collapsed="false">
      <c r="A1479" s="35" t="str">
        <f aca="false">IF($B1479="","",COUNTA($B$4:$B1479))</f>
        <v/>
      </c>
      <c r="B1479" s="36"/>
      <c r="C1479" s="37"/>
      <c r="D1479" s="37"/>
      <c r="E1479" s="38"/>
      <c r="F1479" s="36"/>
      <c r="G1479" s="39"/>
      <c r="H1479" s="39"/>
      <c r="I1479" s="36"/>
      <c r="J1479" s="36"/>
      <c r="K1479" s="36"/>
      <c r="L1479" s="36"/>
      <c r="M1479" s="40" t="str">
        <f aca="false">IF($F1479="","",$F1479&amp;IF($G1479="",""," - RT "&amp;$G1479&amp;IF($H1479="","","/"&amp;$H1479)))</f>
        <v/>
      </c>
      <c r="N1479" s="36"/>
      <c r="O1479" s="37"/>
      <c r="P1479" s="39"/>
      <c r="Q1479" s="41"/>
      <c r="R1479" s="35" t="str">
        <f aca="true">IF(OR($B1479="",$Q1479=""),"",DATEDIF($Q1479,TODAY(),"Y"))</f>
        <v/>
      </c>
      <c r="S1479" s="40" t="str">
        <f aca="false">IF($R1479="","",INDEX(usia_label,MATCH($R1479,usia_min,1)))</f>
        <v/>
      </c>
      <c r="T1479" s="36"/>
      <c r="U1479" s="41"/>
      <c r="V1479" s="36"/>
      <c r="W1479" s="36"/>
      <c r="X1479" s="40" t="str">
        <f aca="false">IF($M1479="","",$M1479&amp;"#"&amp;COUNTIF($M$4:$M1479,$M1479))</f>
        <v/>
      </c>
      <c r="Y1479" s="40" t="str">
        <f aca="false">IF($B1479="","",IF($C1479="","NIK kosong",IF(LEN($C1479)&lt;&gt;16,"NIK bukan 16 digit",IF(COUNTIF($C$4:$C$2003,$C1479&amp;"*")&gt;1,"NIK ganda",IF(AND($D1479&lt;&gt;"",LEN($D1479)&lt;&gt;16),"No. KK bukan 16 digit",IF(AND($F1479="",$I1479=""),"Alamat kosong",IF($N1479="","Jabatan kosong",IF($O1479="","No. HP kosong",IF(AND($R1479&lt;&gt;"",$R1479&lt;17),"Usia di bawah 17","")))))))))</f>
        <v/>
      </c>
      <c r="Z1479" s="40" t="str">
        <f aca="false">IF($B1479="","",IF(AND(OR(CARI!$C$5="",ISNUMBER(SEARCH(CARI!$C$5,$B1479&amp;" "&amp;$C1479&amp;" "&amp;$D1479&amp;" "&amp;$O1479&amp;" "&amp;$I1479&amp;" "&amp;$F1479&amp;" "&amp;$J1479&amp;" "&amp;$K1479&amp;" "&amp;$L1479&amp;" "&amp;$V1479))),OR(CARI!$C$6="",$F1479=CARI!$C$6),OR(CARI!$C$7="",$G1479=CARI!$C$7),OR(CARI!$C$8="",$T1479=CARI!$C$8)),MAX($Z$3:Z1478)+1,""))</f>
        <v/>
      </c>
      <c r="AA1479" s="40" t="str">
        <f aca="false">IF($Y1479="","",MAX($AA$3:AA1478)+1)</f>
        <v/>
      </c>
      <c r="AB1479" s="40" t="str">
        <f aca="false">IF($F1479="","",$F1479&amp;"#"&amp;COUNTIF($F$4:$F1479,$F1479))</f>
        <v/>
      </c>
      <c r="AC1479" s="40" t="str">
        <f aca="false">IF($B1479="","",IF(AND(OR(CETAK!$J$10="",$F1479=CETAK!$J$10),OR(CETAK!$J$11="",$G1479=CETAK!$J$11),OR(CETAK!$J$12="",$P1479=CETAK!$J$12),OR(CETAK!$J$13="",$N1479=CETAK!$J$13),OR(CETAK!$J$14="",$T1479=CETAK!$J$14)),MAX($AC$3:AC1478)+1,""))</f>
        <v/>
      </c>
      <c r="AD1479" s="40" t="str">
        <f aca="false">IF($B1479="","",IF(AND(OR(ABSENSI!$H$10="",$F1479=ABSENSI!$H$10),OR(ABSENSI!$H$11="",$G1479=ABSENSI!$H$11),OR(ABSENSI!$H$12="",$P1479=ABSENSI!$H$12)),MAX($AD$3:AD1478)+1,""))</f>
        <v/>
      </c>
      <c r="AE1479" s="40" t="str">
        <f aca="false">IF($B1479="","",IF(AND(OR(KARTU!$K$6="",$F1479=KARTU!$K$6),OR(KARTU!$K$7="",$G1479=KARTU!$K$7),OR(KARTU!$K$8="",$P1479=KARTU!$K$8)),MAX($AE$3:AE1478)+1,""))</f>
        <v/>
      </c>
    </row>
    <row r="1480" customFormat="false" ht="15" hidden="false" customHeight="false" outlineLevel="0" collapsed="false">
      <c r="A1480" s="35" t="str">
        <f aca="false">IF($B1480="","",COUNTA($B$4:$B1480))</f>
        <v/>
      </c>
      <c r="B1480" s="36"/>
      <c r="C1480" s="37"/>
      <c r="D1480" s="37"/>
      <c r="E1480" s="38"/>
      <c r="F1480" s="36"/>
      <c r="G1480" s="39"/>
      <c r="H1480" s="39"/>
      <c r="I1480" s="36"/>
      <c r="J1480" s="36"/>
      <c r="K1480" s="36"/>
      <c r="L1480" s="36"/>
      <c r="M1480" s="40" t="str">
        <f aca="false">IF($F1480="","",$F1480&amp;IF($G1480="",""," - RT "&amp;$G1480&amp;IF($H1480="","","/"&amp;$H1480)))</f>
        <v/>
      </c>
      <c r="N1480" s="36"/>
      <c r="O1480" s="37"/>
      <c r="P1480" s="39"/>
      <c r="Q1480" s="41"/>
      <c r="R1480" s="35" t="str">
        <f aca="true">IF(OR($B1480="",$Q1480=""),"",DATEDIF($Q1480,TODAY(),"Y"))</f>
        <v/>
      </c>
      <c r="S1480" s="40" t="str">
        <f aca="false">IF($R1480="","",INDEX(usia_label,MATCH($R1480,usia_min,1)))</f>
        <v/>
      </c>
      <c r="T1480" s="36"/>
      <c r="U1480" s="41"/>
      <c r="V1480" s="36"/>
      <c r="W1480" s="36"/>
      <c r="X1480" s="40" t="str">
        <f aca="false">IF($M1480="","",$M1480&amp;"#"&amp;COUNTIF($M$4:$M1480,$M1480))</f>
        <v/>
      </c>
      <c r="Y1480" s="40" t="str">
        <f aca="false">IF($B1480="","",IF($C1480="","NIK kosong",IF(LEN($C1480)&lt;&gt;16,"NIK bukan 16 digit",IF(COUNTIF($C$4:$C$2003,$C1480&amp;"*")&gt;1,"NIK ganda",IF(AND($D1480&lt;&gt;"",LEN($D1480)&lt;&gt;16),"No. KK bukan 16 digit",IF(AND($F1480="",$I1480=""),"Alamat kosong",IF($N1480="","Jabatan kosong",IF($O1480="","No. HP kosong",IF(AND($R1480&lt;&gt;"",$R1480&lt;17),"Usia di bawah 17","")))))))))</f>
        <v/>
      </c>
      <c r="Z1480" s="40" t="str">
        <f aca="false">IF($B1480="","",IF(AND(OR(CARI!$C$5="",ISNUMBER(SEARCH(CARI!$C$5,$B1480&amp;" "&amp;$C1480&amp;" "&amp;$D1480&amp;" "&amp;$O1480&amp;" "&amp;$I1480&amp;" "&amp;$F1480&amp;" "&amp;$J1480&amp;" "&amp;$K1480&amp;" "&amp;$L1480&amp;" "&amp;$V1480))),OR(CARI!$C$6="",$F1480=CARI!$C$6),OR(CARI!$C$7="",$G1480=CARI!$C$7),OR(CARI!$C$8="",$T1480=CARI!$C$8)),MAX($Z$3:Z1479)+1,""))</f>
        <v/>
      </c>
      <c r="AA1480" s="40" t="str">
        <f aca="false">IF($Y1480="","",MAX($AA$3:AA1479)+1)</f>
        <v/>
      </c>
      <c r="AB1480" s="40" t="str">
        <f aca="false">IF($F1480="","",$F1480&amp;"#"&amp;COUNTIF($F$4:$F1480,$F1480))</f>
        <v/>
      </c>
      <c r="AC1480" s="40" t="str">
        <f aca="false">IF($B1480="","",IF(AND(OR(CETAK!$J$10="",$F1480=CETAK!$J$10),OR(CETAK!$J$11="",$G1480=CETAK!$J$11),OR(CETAK!$J$12="",$P1480=CETAK!$J$12),OR(CETAK!$J$13="",$N1480=CETAK!$J$13),OR(CETAK!$J$14="",$T1480=CETAK!$J$14)),MAX($AC$3:AC1479)+1,""))</f>
        <v/>
      </c>
      <c r="AD1480" s="40" t="str">
        <f aca="false">IF($B1480="","",IF(AND(OR(ABSENSI!$H$10="",$F1480=ABSENSI!$H$10),OR(ABSENSI!$H$11="",$G1480=ABSENSI!$H$11),OR(ABSENSI!$H$12="",$P1480=ABSENSI!$H$12)),MAX($AD$3:AD1479)+1,""))</f>
        <v/>
      </c>
      <c r="AE1480" s="40" t="str">
        <f aca="false">IF($B1480="","",IF(AND(OR(KARTU!$K$6="",$F1480=KARTU!$K$6),OR(KARTU!$K$7="",$G1480=KARTU!$K$7),OR(KARTU!$K$8="",$P1480=KARTU!$K$8)),MAX($AE$3:AE1479)+1,""))</f>
        <v/>
      </c>
    </row>
    <row r="1481" customFormat="false" ht="15" hidden="false" customHeight="false" outlineLevel="0" collapsed="false">
      <c r="A1481" s="35" t="str">
        <f aca="false">IF($B1481="","",COUNTA($B$4:$B1481))</f>
        <v/>
      </c>
      <c r="B1481" s="36"/>
      <c r="C1481" s="37"/>
      <c r="D1481" s="37"/>
      <c r="E1481" s="38"/>
      <c r="F1481" s="36"/>
      <c r="G1481" s="39"/>
      <c r="H1481" s="39"/>
      <c r="I1481" s="36"/>
      <c r="J1481" s="36"/>
      <c r="K1481" s="36"/>
      <c r="L1481" s="36"/>
      <c r="M1481" s="40" t="str">
        <f aca="false">IF($F1481="","",$F1481&amp;IF($G1481="",""," - RT "&amp;$G1481&amp;IF($H1481="","","/"&amp;$H1481)))</f>
        <v/>
      </c>
      <c r="N1481" s="36"/>
      <c r="O1481" s="37"/>
      <c r="P1481" s="39"/>
      <c r="Q1481" s="41"/>
      <c r="R1481" s="35" t="str">
        <f aca="true">IF(OR($B1481="",$Q1481=""),"",DATEDIF($Q1481,TODAY(),"Y"))</f>
        <v/>
      </c>
      <c r="S1481" s="40" t="str">
        <f aca="false">IF($R1481="","",INDEX(usia_label,MATCH($R1481,usia_min,1)))</f>
        <v/>
      </c>
      <c r="T1481" s="36"/>
      <c r="U1481" s="41"/>
      <c r="V1481" s="36"/>
      <c r="W1481" s="36"/>
      <c r="X1481" s="40" t="str">
        <f aca="false">IF($M1481="","",$M1481&amp;"#"&amp;COUNTIF($M$4:$M1481,$M1481))</f>
        <v/>
      </c>
      <c r="Y1481" s="40" t="str">
        <f aca="false">IF($B1481="","",IF($C1481="","NIK kosong",IF(LEN($C1481)&lt;&gt;16,"NIK bukan 16 digit",IF(COUNTIF($C$4:$C$2003,$C1481&amp;"*")&gt;1,"NIK ganda",IF(AND($D1481&lt;&gt;"",LEN($D1481)&lt;&gt;16),"No. KK bukan 16 digit",IF(AND($F1481="",$I1481=""),"Alamat kosong",IF($N1481="","Jabatan kosong",IF($O1481="","No. HP kosong",IF(AND($R1481&lt;&gt;"",$R1481&lt;17),"Usia di bawah 17","")))))))))</f>
        <v/>
      </c>
      <c r="Z1481" s="40" t="str">
        <f aca="false">IF($B1481="","",IF(AND(OR(CARI!$C$5="",ISNUMBER(SEARCH(CARI!$C$5,$B1481&amp;" "&amp;$C1481&amp;" "&amp;$D1481&amp;" "&amp;$O1481&amp;" "&amp;$I1481&amp;" "&amp;$F1481&amp;" "&amp;$J1481&amp;" "&amp;$K1481&amp;" "&amp;$L1481&amp;" "&amp;$V1481))),OR(CARI!$C$6="",$F1481=CARI!$C$6),OR(CARI!$C$7="",$G1481=CARI!$C$7),OR(CARI!$C$8="",$T1481=CARI!$C$8)),MAX($Z$3:Z1480)+1,""))</f>
        <v/>
      </c>
      <c r="AA1481" s="40" t="str">
        <f aca="false">IF($Y1481="","",MAX($AA$3:AA1480)+1)</f>
        <v/>
      </c>
      <c r="AB1481" s="40" t="str">
        <f aca="false">IF($F1481="","",$F1481&amp;"#"&amp;COUNTIF($F$4:$F1481,$F1481))</f>
        <v/>
      </c>
      <c r="AC1481" s="40" t="str">
        <f aca="false">IF($B1481="","",IF(AND(OR(CETAK!$J$10="",$F1481=CETAK!$J$10),OR(CETAK!$J$11="",$G1481=CETAK!$J$11),OR(CETAK!$J$12="",$P1481=CETAK!$J$12),OR(CETAK!$J$13="",$N1481=CETAK!$J$13),OR(CETAK!$J$14="",$T1481=CETAK!$J$14)),MAX($AC$3:AC1480)+1,""))</f>
        <v/>
      </c>
      <c r="AD1481" s="40" t="str">
        <f aca="false">IF($B1481="","",IF(AND(OR(ABSENSI!$H$10="",$F1481=ABSENSI!$H$10),OR(ABSENSI!$H$11="",$G1481=ABSENSI!$H$11),OR(ABSENSI!$H$12="",$P1481=ABSENSI!$H$12)),MAX($AD$3:AD1480)+1,""))</f>
        <v/>
      </c>
      <c r="AE1481" s="40" t="str">
        <f aca="false">IF($B1481="","",IF(AND(OR(KARTU!$K$6="",$F1481=KARTU!$K$6),OR(KARTU!$K$7="",$G1481=KARTU!$K$7),OR(KARTU!$K$8="",$P1481=KARTU!$K$8)),MAX($AE$3:AE1480)+1,""))</f>
        <v/>
      </c>
    </row>
    <row r="1482" customFormat="false" ht="15" hidden="false" customHeight="false" outlineLevel="0" collapsed="false">
      <c r="A1482" s="35" t="str">
        <f aca="false">IF($B1482="","",COUNTA($B$4:$B1482))</f>
        <v/>
      </c>
      <c r="B1482" s="36"/>
      <c r="C1482" s="37"/>
      <c r="D1482" s="37"/>
      <c r="E1482" s="38"/>
      <c r="F1482" s="36"/>
      <c r="G1482" s="39"/>
      <c r="H1482" s="39"/>
      <c r="I1482" s="36"/>
      <c r="J1482" s="36"/>
      <c r="K1482" s="36"/>
      <c r="L1482" s="36"/>
      <c r="M1482" s="40" t="str">
        <f aca="false">IF($F1482="","",$F1482&amp;IF($G1482="",""," - RT "&amp;$G1482&amp;IF($H1482="","","/"&amp;$H1482)))</f>
        <v/>
      </c>
      <c r="N1482" s="36"/>
      <c r="O1482" s="37"/>
      <c r="P1482" s="39"/>
      <c r="Q1482" s="41"/>
      <c r="R1482" s="35" t="str">
        <f aca="true">IF(OR($B1482="",$Q1482=""),"",DATEDIF($Q1482,TODAY(),"Y"))</f>
        <v/>
      </c>
      <c r="S1482" s="40" t="str">
        <f aca="false">IF($R1482="","",INDEX(usia_label,MATCH($R1482,usia_min,1)))</f>
        <v/>
      </c>
      <c r="T1482" s="36"/>
      <c r="U1482" s="41"/>
      <c r="V1482" s="36"/>
      <c r="W1482" s="36"/>
      <c r="X1482" s="40" t="str">
        <f aca="false">IF($M1482="","",$M1482&amp;"#"&amp;COUNTIF($M$4:$M1482,$M1482))</f>
        <v/>
      </c>
      <c r="Y1482" s="40" t="str">
        <f aca="false">IF($B1482="","",IF($C1482="","NIK kosong",IF(LEN($C1482)&lt;&gt;16,"NIK bukan 16 digit",IF(COUNTIF($C$4:$C$2003,$C1482&amp;"*")&gt;1,"NIK ganda",IF(AND($D1482&lt;&gt;"",LEN($D1482)&lt;&gt;16),"No. KK bukan 16 digit",IF(AND($F1482="",$I1482=""),"Alamat kosong",IF($N1482="","Jabatan kosong",IF($O1482="","No. HP kosong",IF(AND($R1482&lt;&gt;"",$R1482&lt;17),"Usia di bawah 17","")))))))))</f>
        <v/>
      </c>
      <c r="Z1482" s="40" t="str">
        <f aca="false">IF($B1482="","",IF(AND(OR(CARI!$C$5="",ISNUMBER(SEARCH(CARI!$C$5,$B1482&amp;" "&amp;$C1482&amp;" "&amp;$D1482&amp;" "&amp;$O1482&amp;" "&amp;$I1482&amp;" "&amp;$F1482&amp;" "&amp;$J1482&amp;" "&amp;$K1482&amp;" "&amp;$L1482&amp;" "&amp;$V1482))),OR(CARI!$C$6="",$F1482=CARI!$C$6),OR(CARI!$C$7="",$G1482=CARI!$C$7),OR(CARI!$C$8="",$T1482=CARI!$C$8)),MAX($Z$3:Z1481)+1,""))</f>
        <v/>
      </c>
      <c r="AA1482" s="40" t="str">
        <f aca="false">IF($Y1482="","",MAX($AA$3:AA1481)+1)</f>
        <v/>
      </c>
      <c r="AB1482" s="40" t="str">
        <f aca="false">IF($F1482="","",$F1482&amp;"#"&amp;COUNTIF($F$4:$F1482,$F1482))</f>
        <v/>
      </c>
      <c r="AC1482" s="40" t="str">
        <f aca="false">IF($B1482="","",IF(AND(OR(CETAK!$J$10="",$F1482=CETAK!$J$10),OR(CETAK!$J$11="",$G1482=CETAK!$J$11),OR(CETAK!$J$12="",$P1482=CETAK!$J$12),OR(CETAK!$J$13="",$N1482=CETAK!$J$13),OR(CETAK!$J$14="",$T1482=CETAK!$J$14)),MAX($AC$3:AC1481)+1,""))</f>
        <v/>
      </c>
      <c r="AD1482" s="40" t="str">
        <f aca="false">IF($B1482="","",IF(AND(OR(ABSENSI!$H$10="",$F1482=ABSENSI!$H$10),OR(ABSENSI!$H$11="",$G1482=ABSENSI!$H$11),OR(ABSENSI!$H$12="",$P1482=ABSENSI!$H$12)),MAX($AD$3:AD1481)+1,""))</f>
        <v/>
      </c>
      <c r="AE1482" s="40" t="str">
        <f aca="false">IF($B1482="","",IF(AND(OR(KARTU!$K$6="",$F1482=KARTU!$K$6),OR(KARTU!$K$7="",$G1482=KARTU!$K$7),OR(KARTU!$K$8="",$P1482=KARTU!$K$8)),MAX($AE$3:AE1481)+1,""))</f>
        <v/>
      </c>
    </row>
    <row r="1483" customFormat="false" ht="15" hidden="false" customHeight="false" outlineLevel="0" collapsed="false">
      <c r="A1483" s="35" t="str">
        <f aca="false">IF($B1483="","",COUNTA($B$4:$B1483))</f>
        <v/>
      </c>
      <c r="B1483" s="36"/>
      <c r="C1483" s="37"/>
      <c r="D1483" s="37"/>
      <c r="E1483" s="38"/>
      <c r="F1483" s="36"/>
      <c r="G1483" s="39"/>
      <c r="H1483" s="39"/>
      <c r="I1483" s="36"/>
      <c r="J1483" s="36"/>
      <c r="K1483" s="36"/>
      <c r="L1483" s="36"/>
      <c r="M1483" s="40" t="str">
        <f aca="false">IF($F1483="","",$F1483&amp;IF($G1483="",""," - RT "&amp;$G1483&amp;IF($H1483="","","/"&amp;$H1483)))</f>
        <v/>
      </c>
      <c r="N1483" s="36"/>
      <c r="O1483" s="37"/>
      <c r="P1483" s="39"/>
      <c r="Q1483" s="41"/>
      <c r="R1483" s="35" t="str">
        <f aca="true">IF(OR($B1483="",$Q1483=""),"",DATEDIF($Q1483,TODAY(),"Y"))</f>
        <v/>
      </c>
      <c r="S1483" s="40" t="str">
        <f aca="false">IF($R1483="","",INDEX(usia_label,MATCH($R1483,usia_min,1)))</f>
        <v/>
      </c>
      <c r="T1483" s="36"/>
      <c r="U1483" s="41"/>
      <c r="V1483" s="36"/>
      <c r="W1483" s="36"/>
      <c r="X1483" s="40" t="str">
        <f aca="false">IF($M1483="","",$M1483&amp;"#"&amp;COUNTIF($M$4:$M1483,$M1483))</f>
        <v/>
      </c>
      <c r="Y1483" s="40" t="str">
        <f aca="false">IF($B1483="","",IF($C1483="","NIK kosong",IF(LEN($C1483)&lt;&gt;16,"NIK bukan 16 digit",IF(COUNTIF($C$4:$C$2003,$C1483&amp;"*")&gt;1,"NIK ganda",IF(AND($D1483&lt;&gt;"",LEN($D1483)&lt;&gt;16),"No. KK bukan 16 digit",IF(AND($F1483="",$I1483=""),"Alamat kosong",IF($N1483="","Jabatan kosong",IF($O1483="","No. HP kosong",IF(AND($R1483&lt;&gt;"",$R1483&lt;17),"Usia di bawah 17","")))))))))</f>
        <v/>
      </c>
      <c r="Z1483" s="40" t="str">
        <f aca="false">IF($B1483="","",IF(AND(OR(CARI!$C$5="",ISNUMBER(SEARCH(CARI!$C$5,$B1483&amp;" "&amp;$C1483&amp;" "&amp;$D1483&amp;" "&amp;$O1483&amp;" "&amp;$I1483&amp;" "&amp;$F1483&amp;" "&amp;$J1483&amp;" "&amp;$K1483&amp;" "&amp;$L1483&amp;" "&amp;$V1483))),OR(CARI!$C$6="",$F1483=CARI!$C$6),OR(CARI!$C$7="",$G1483=CARI!$C$7),OR(CARI!$C$8="",$T1483=CARI!$C$8)),MAX($Z$3:Z1482)+1,""))</f>
        <v/>
      </c>
      <c r="AA1483" s="40" t="str">
        <f aca="false">IF($Y1483="","",MAX($AA$3:AA1482)+1)</f>
        <v/>
      </c>
      <c r="AB1483" s="40" t="str">
        <f aca="false">IF($F1483="","",$F1483&amp;"#"&amp;COUNTIF($F$4:$F1483,$F1483))</f>
        <v/>
      </c>
      <c r="AC1483" s="40" t="str">
        <f aca="false">IF($B1483="","",IF(AND(OR(CETAK!$J$10="",$F1483=CETAK!$J$10),OR(CETAK!$J$11="",$G1483=CETAK!$J$11),OR(CETAK!$J$12="",$P1483=CETAK!$J$12),OR(CETAK!$J$13="",$N1483=CETAK!$J$13),OR(CETAK!$J$14="",$T1483=CETAK!$J$14)),MAX($AC$3:AC1482)+1,""))</f>
        <v/>
      </c>
      <c r="AD1483" s="40" t="str">
        <f aca="false">IF($B1483="","",IF(AND(OR(ABSENSI!$H$10="",$F1483=ABSENSI!$H$10),OR(ABSENSI!$H$11="",$G1483=ABSENSI!$H$11),OR(ABSENSI!$H$12="",$P1483=ABSENSI!$H$12)),MAX($AD$3:AD1482)+1,""))</f>
        <v/>
      </c>
      <c r="AE1483" s="40" t="str">
        <f aca="false">IF($B1483="","",IF(AND(OR(KARTU!$K$6="",$F1483=KARTU!$K$6),OR(KARTU!$K$7="",$G1483=KARTU!$K$7),OR(KARTU!$K$8="",$P1483=KARTU!$K$8)),MAX($AE$3:AE1482)+1,""))</f>
        <v/>
      </c>
    </row>
    <row r="1484" customFormat="false" ht="15" hidden="false" customHeight="false" outlineLevel="0" collapsed="false">
      <c r="A1484" s="35" t="str">
        <f aca="false">IF($B1484="","",COUNTA($B$4:$B1484))</f>
        <v/>
      </c>
      <c r="B1484" s="36"/>
      <c r="C1484" s="37"/>
      <c r="D1484" s="37"/>
      <c r="E1484" s="38"/>
      <c r="F1484" s="36"/>
      <c r="G1484" s="39"/>
      <c r="H1484" s="39"/>
      <c r="I1484" s="36"/>
      <c r="J1484" s="36"/>
      <c r="K1484" s="36"/>
      <c r="L1484" s="36"/>
      <c r="M1484" s="40" t="str">
        <f aca="false">IF($F1484="","",$F1484&amp;IF($G1484="",""," - RT "&amp;$G1484&amp;IF($H1484="","","/"&amp;$H1484)))</f>
        <v/>
      </c>
      <c r="N1484" s="36"/>
      <c r="O1484" s="37"/>
      <c r="P1484" s="39"/>
      <c r="Q1484" s="41"/>
      <c r="R1484" s="35" t="str">
        <f aca="true">IF(OR($B1484="",$Q1484=""),"",DATEDIF($Q1484,TODAY(),"Y"))</f>
        <v/>
      </c>
      <c r="S1484" s="40" t="str">
        <f aca="false">IF($R1484="","",INDEX(usia_label,MATCH($R1484,usia_min,1)))</f>
        <v/>
      </c>
      <c r="T1484" s="36"/>
      <c r="U1484" s="41"/>
      <c r="V1484" s="36"/>
      <c r="W1484" s="36"/>
      <c r="X1484" s="40" t="str">
        <f aca="false">IF($M1484="","",$M1484&amp;"#"&amp;COUNTIF($M$4:$M1484,$M1484))</f>
        <v/>
      </c>
      <c r="Y1484" s="40" t="str">
        <f aca="false">IF($B1484="","",IF($C1484="","NIK kosong",IF(LEN($C1484)&lt;&gt;16,"NIK bukan 16 digit",IF(COUNTIF($C$4:$C$2003,$C1484&amp;"*")&gt;1,"NIK ganda",IF(AND($D1484&lt;&gt;"",LEN($D1484)&lt;&gt;16),"No. KK bukan 16 digit",IF(AND($F1484="",$I1484=""),"Alamat kosong",IF($N1484="","Jabatan kosong",IF($O1484="","No. HP kosong",IF(AND($R1484&lt;&gt;"",$R1484&lt;17),"Usia di bawah 17","")))))))))</f>
        <v/>
      </c>
      <c r="Z1484" s="40" t="str">
        <f aca="false">IF($B1484="","",IF(AND(OR(CARI!$C$5="",ISNUMBER(SEARCH(CARI!$C$5,$B1484&amp;" "&amp;$C1484&amp;" "&amp;$D1484&amp;" "&amp;$O1484&amp;" "&amp;$I1484&amp;" "&amp;$F1484&amp;" "&amp;$J1484&amp;" "&amp;$K1484&amp;" "&amp;$L1484&amp;" "&amp;$V1484))),OR(CARI!$C$6="",$F1484=CARI!$C$6),OR(CARI!$C$7="",$G1484=CARI!$C$7),OR(CARI!$C$8="",$T1484=CARI!$C$8)),MAX($Z$3:Z1483)+1,""))</f>
        <v/>
      </c>
      <c r="AA1484" s="40" t="str">
        <f aca="false">IF($Y1484="","",MAX($AA$3:AA1483)+1)</f>
        <v/>
      </c>
      <c r="AB1484" s="40" t="str">
        <f aca="false">IF($F1484="","",$F1484&amp;"#"&amp;COUNTIF($F$4:$F1484,$F1484))</f>
        <v/>
      </c>
      <c r="AC1484" s="40" t="str">
        <f aca="false">IF($B1484="","",IF(AND(OR(CETAK!$J$10="",$F1484=CETAK!$J$10),OR(CETAK!$J$11="",$G1484=CETAK!$J$11),OR(CETAK!$J$12="",$P1484=CETAK!$J$12),OR(CETAK!$J$13="",$N1484=CETAK!$J$13),OR(CETAK!$J$14="",$T1484=CETAK!$J$14)),MAX($AC$3:AC1483)+1,""))</f>
        <v/>
      </c>
      <c r="AD1484" s="40" t="str">
        <f aca="false">IF($B1484="","",IF(AND(OR(ABSENSI!$H$10="",$F1484=ABSENSI!$H$10),OR(ABSENSI!$H$11="",$G1484=ABSENSI!$H$11),OR(ABSENSI!$H$12="",$P1484=ABSENSI!$H$12)),MAX($AD$3:AD1483)+1,""))</f>
        <v/>
      </c>
      <c r="AE1484" s="40" t="str">
        <f aca="false">IF($B1484="","",IF(AND(OR(KARTU!$K$6="",$F1484=KARTU!$K$6),OR(KARTU!$K$7="",$G1484=KARTU!$K$7),OR(KARTU!$K$8="",$P1484=KARTU!$K$8)),MAX($AE$3:AE1483)+1,""))</f>
        <v/>
      </c>
    </row>
    <row r="1485" customFormat="false" ht="15" hidden="false" customHeight="false" outlineLevel="0" collapsed="false">
      <c r="A1485" s="35" t="str">
        <f aca="false">IF($B1485="","",COUNTA($B$4:$B1485))</f>
        <v/>
      </c>
      <c r="B1485" s="36"/>
      <c r="C1485" s="37"/>
      <c r="D1485" s="37"/>
      <c r="E1485" s="38"/>
      <c r="F1485" s="36"/>
      <c r="G1485" s="39"/>
      <c r="H1485" s="39"/>
      <c r="I1485" s="36"/>
      <c r="J1485" s="36"/>
      <c r="K1485" s="36"/>
      <c r="L1485" s="36"/>
      <c r="M1485" s="40" t="str">
        <f aca="false">IF($F1485="","",$F1485&amp;IF($G1485="",""," - RT "&amp;$G1485&amp;IF($H1485="","","/"&amp;$H1485)))</f>
        <v/>
      </c>
      <c r="N1485" s="36"/>
      <c r="O1485" s="37"/>
      <c r="P1485" s="39"/>
      <c r="Q1485" s="41"/>
      <c r="R1485" s="35" t="str">
        <f aca="true">IF(OR($B1485="",$Q1485=""),"",DATEDIF($Q1485,TODAY(),"Y"))</f>
        <v/>
      </c>
      <c r="S1485" s="40" t="str">
        <f aca="false">IF($R1485="","",INDEX(usia_label,MATCH($R1485,usia_min,1)))</f>
        <v/>
      </c>
      <c r="T1485" s="36"/>
      <c r="U1485" s="41"/>
      <c r="V1485" s="36"/>
      <c r="W1485" s="36"/>
      <c r="X1485" s="40" t="str">
        <f aca="false">IF($M1485="","",$M1485&amp;"#"&amp;COUNTIF($M$4:$M1485,$M1485))</f>
        <v/>
      </c>
      <c r="Y1485" s="40" t="str">
        <f aca="false">IF($B1485="","",IF($C1485="","NIK kosong",IF(LEN($C1485)&lt;&gt;16,"NIK bukan 16 digit",IF(COUNTIF($C$4:$C$2003,$C1485&amp;"*")&gt;1,"NIK ganda",IF(AND($D1485&lt;&gt;"",LEN($D1485)&lt;&gt;16),"No. KK bukan 16 digit",IF(AND($F1485="",$I1485=""),"Alamat kosong",IF($N1485="","Jabatan kosong",IF($O1485="","No. HP kosong",IF(AND($R1485&lt;&gt;"",$R1485&lt;17),"Usia di bawah 17","")))))))))</f>
        <v/>
      </c>
      <c r="Z1485" s="40" t="str">
        <f aca="false">IF($B1485="","",IF(AND(OR(CARI!$C$5="",ISNUMBER(SEARCH(CARI!$C$5,$B1485&amp;" "&amp;$C1485&amp;" "&amp;$D1485&amp;" "&amp;$O1485&amp;" "&amp;$I1485&amp;" "&amp;$F1485&amp;" "&amp;$J1485&amp;" "&amp;$K1485&amp;" "&amp;$L1485&amp;" "&amp;$V1485))),OR(CARI!$C$6="",$F1485=CARI!$C$6),OR(CARI!$C$7="",$G1485=CARI!$C$7),OR(CARI!$C$8="",$T1485=CARI!$C$8)),MAX($Z$3:Z1484)+1,""))</f>
        <v/>
      </c>
      <c r="AA1485" s="40" t="str">
        <f aca="false">IF($Y1485="","",MAX($AA$3:AA1484)+1)</f>
        <v/>
      </c>
      <c r="AB1485" s="40" t="str">
        <f aca="false">IF($F1485="","",$F1485&amp;"#"&amp;COUNTIF($F$4:$F1485,$F1485))</f>
        <v/>
      </c>
      <c r="AC1485" s="40" t="str">
        <f aca="false">IF($B1485="","",IF(AND(OR(CETAK!$J$10="",$F1485=CETAK!$J$10),OR(CETAK!$J$11="",$G1485=CETAK!$J$11),OR(CETAK!$J$12="",$P1485=CETAK!$J$12),OR(CETAK!$J$13="",$N1485=CETAK!$J$13),OR(CETAK!$J$14="",$T1485=CETAK!$J$14)),MAX($AC$3:AC1484)+1,""))</f>
        <v/>
      </c>
      <c r="AD1485" s="40" t="str">
        <f aca="false">IF($B1485="","",IF(AND(OR(ABSENSI!$H$10="",$F1485=ABSENSI!$H$10),OR(ABSENSI!$H$11="",$G1485=ABSENSI!$H$11),OR(ABSENSI!$H$12="",$P1485=ABSENSI!$H$12)),MAX($AD$3:AD1484)+1,""))</f>
        <v/>
      </c>
      <c r="AE1485" s="40" t="str">
        <f aca="false">IF($B1485="","",IF(AND(OR(KARTU!$K$6="",$F1485=KARTU!$K$6),OR(KARTU!$K$7="",$G1485=KARTU!$K$7),OR(KARTU!$K$8="",$P1485=KARTU!$K$8)),MAX($AE$3:AE1484)+1,""))</f>
        <v/>
      </c>
    </row>
    <row r="1486" customFormat="false" ht="15" hidden="false" customHeight="false" outlineLevel="0" collapsed="false">
      <c r="A1486" s="35" t="str">
        <f aca="false">IF($B1486="","",COUNTA($B$4:$B1486))</f>
        <v/>
      </c>
      <c r="B1486" s="36"/>
      <c r="C1486" s="37"/>
      <c r="D1486" s="37"/>
      <c r="E1486" s="38"/>
      <c r="F1486" s="36"/>
      <c r="G1486" s="39"/>
      <c r="H1486" s="39"/>
      <c r="I1486" s="36"/>
      <c r="J1486" s="36"/>
      <c r="K1486" s="36"/>
      <c r="L1486" s="36"/>
      <c r="M1486" s="40" t="str">
        <f aca="false">IF($F1486="","",$F1486&amp;IF($G1486="",""," - RT "&amp;$G1486&amp;IF($H1486="","","/"&amp;$H1486)))</f>
        <v/>
      </c>
      <c r="N1486" s="36"/>
      <c r="O1486" s="37"/>
      <c r="P1486" s="39"/>
      <c r="Q1486" s="41"/>
      <c r="R1486" s="35" t="str">
        <f aca="true">IF(OR($B1486="",$Q1486=""),"",DATEDIF($Q1486,TODAY(),"Y"))</f>
        <v/>
      </c>
      <c r="S1486" s="40" t="str">
        <f aca="false">IF($R1486="","",INDEX(usia_label,MATCH($R1486,usia_min,1)))</f>
        <v/>
      </c>
      <c r="T1486" s="36"/>
      <c r="U1486" s="41"/>
      <c r="V1486" s="36"/>
      <c r="W1486" s="36"/>
      <c r="X1486" s="40" t="str">
        <f aca="false">IF($M1486="","",$M1486&amp;"#"&amp;COUNTIF($M$4:$M1486,$M1486))</f>
        <v/>
      </c>
      <c r="Y1486" s="40" t="str">
        <f aca="false">IF($B1486="","",IF($C1486="","NIK kosong",IF(LEN($C1486)&lt;&gt;16,"NIK bukan 16 digit",IF(COUNTIF($C$4:$C$2003,$C1486&amp;"*")&gt;1,"NIK ganda",IF(AND($D1486&lt;&gt;"",LEN($D1486)&lt;&gt;16),"No. KK bukan 16 digit",IF(AND($F1486="",$I1486=""),"Alamat kosong",IF($N1486="","Jabatan kosong",IF($O1486="","No. HP kosong",IF(AND($R1486&lt;&gt;"",$R1486&lt;17),"Usia di bawah 17","")))))))))</f>
        <v/>
      </c>
      <c r="Z1486" s="40" t="str">
        <f aca="false">IF($B1486="","",IF(AND(OR(CARI!$C$5="",ISNUMBER(SEARCH(CARI!$C$5,$B1486&amp;" "&amp;$C1486&amp;" "&amp;$D1486&amp;" "&amp;$O1486&amp;" "&amp;$I1486&amp;" "&amp;$F1486&amp;" "&amp;$J1486&amp;" "&amp;$K1486&amp;" "&amp;$L1486&amp;" "&amp;$V1486))),OR(CARI!$C$6="",$F1486=CARI!$C$6),OR(CARI!$C$7="",$G1486=CARI!$C$7),OR(CARI!$C$8="",$T1486=CARI!$C$8)),MAX($Z$3:Z1485)+1,""))</f>
        <v/>
      </c>
      <c r="AA1486" s="40" t="str">
        <f aca="false">IF($Y1486="","",MAX($AA$3:AA1485)+1)</f>
        <v/>
      </c>
      <c r="AB1486" s="40" t="str">
        <f aca="false">IF($F1486="","",$F1486&amp;"#"&amp;COUNTIF($F$4:$F1486,$F1486))</f>
        <v/>
      </c>
      <c r="AC1486" s="40" t="str">
        <f aca="false">IF($B1486="","",IF(AND(OR(CETAK!$J$10="",$F1486=CETAK!$J$10),OR(CETAK!$J$11="",$G1486=CETAK!$J$11),OR(CETAK!$J$12="",$P1486=CETAK!$J$12),OR(CETAK!$J$13="",$N1486=CETAK!$J$13),OR(CETAK!$J$14="",$T1486=CETAK!$J$14)),MAX($AC$3:AC1485)+1,""))</f>
        <v/>
      </c>
      <c r="AD1486" s="40" t="str">
        <f aca="false">IF($B1486="","",IF(AND(OR(ABSENSI!$H$10="",$F1486=ABSENSI!$H$10),OR(ABSENSI!$H$11="",$G1486=ABSENSI!$H$11),OR(ABSENSI!$H$12="",$P1486=ABSENSI!$H$12)),MAX($AD$3:AD1485)+1,""))</f>
        <v/>
      </c>
      <c r="AE1486" s="40" t="str">
        <f aca="false">IF($B1486="","",IF(AND(OR(KARTU!$K$6="",$F1486=KARTU!$K$6),OR(KARTU!$K$7="",$G1486=KARTU!$K$7),OR(KARTU!$K$8="",$P1486=KARTU!$K$8)),MAX($AE$3:AE1485)+1,""))</f>
        <v/>
      </c>
    </row>
    <row r="1487" customFormat="false" ht="15" hidden="false" customHeight="false" outlineLevel="0" collapsed="false">
      <c r="A1487" s="35" t="str">
        <f aca="false">IF($B1487="","",COUNTA($B$4:$B1487))</f>
        <v/>
      </c>
      <c r="B1487" s="36"/>
      <c r="C1487" s="37"/>
      <c r="D1487" s="37"/>
      <c r="E1487" s="38"/>
      <c r="F1487" s="36"/>
      <c r="G1487" s="39"/>
      <c r="H1487" s="39"/>
      <c r="I1487" s="36"/>
      <c r="J1487" s="36"/>
      <c r="K1487" s="36"/>
      <c r="L1487" s="36"/>
      <c r="M1487" s="40" t="str">
        <f aca="false">IF($F1487="","",$F1487&amp;IF($G1487="",""," - RT "&amp;$G1487&amp;IF($H1487="","","/"&amp;$H1487)))</f>
        <v/>
      </c>
      <c r="N1487" s="36"/>
      <c r="O1487" s="37"/>
      <c r="P1487" s="39"/>
      <c r="Q1487" s="41"/>
      <c r="R1487" s="35" t="str">
        <f aca="true">IF(OR($B1487="",$Q1487=""),"",DATEDIF($Q1487,TODAY(),"Y"))</f>
        <v/>
      </c>
      <c r="S1487" s="40" t="str">
        <f aca="false">IF($R1487="","",INDEX(usia_label,MATCH($R1487,usia_min,1)))</f>
        <v/>
      </c>
      <c r="T1487" s="36"/>
      <c r="U1487" s="41"/>
      <c r="V1487" s="36"/>
      <c r="W1487" s="36"/>
      <c r="X1487" s="40" t="str">
        <f aca="false">IF($M1487="","",$M1487&amp;"#"&amp;COUNTIF($M$4:$M1487,$M1487))</f>
        <v/>
      </c>
      <c r="Y1487" s="40" t="str">
        <f aca="false">IF($B1487="","",IF($C1487="","NIK kosong",IF(LEN($C1487)&lt;&gt;16,"NIK bukan 16 digit",IF(COUNTIF($C$4:$C$2003,$C1487&amp;"*")&gt;1,"NIK ganda",IF(AND($D1487&lt;&gt;"",LEN($D1487)&lt;&gt;16),"No. KK bukan 16 digit",IF(AND($F1487="",$I1487=""),"Alamat kosong",IF($N1487="","Jabatan kosong",IF($O1487="","No. HP kosong",IF(AND($R1487&lt;&gt;"",$R1487&lt;17),"Usia di bawah 17","")))))))))</f>
        <v/>
      </c>
      <c r="Z1487" s="40" t="str">
        <f aca="false">IF($B1487="","",IF(AND(OR(CARI!$C$5="",ISNUMBER(SEARCH(CARI!$C$5,$B1487&amp;" "&amp;$C1487&amp;" "&amp;$D1487&amp;" "&amp;$O1487&amp;" "&amp;$I1487&amp;" "&amp;$F1487&amp;" "&amp;$J1487&amp;" "&amp;$K1487&amp;" "&amp;$L1487&amp;" "&amp;$V1487))),OR(CARI!$C$6="",$F1487=CARI!$C$6),OR(CARI!$C$7="",$G1487=CARI!$C$7),OR(CARI!$C$8="",$T1487=CARI!$C$8)),MAX($Z$3:Z1486)+1,""))</f>
        <v/>
      </c>
      <c r="AA1487" s="40" t="str">
        <f aca="false">IF($Y1487="","",MAX($AA$3:AA1486)+1)</f>
        <v/>
      </c>
      <c r="AB1487" s="40" t="str">
        <f aca="false">IF($F1487="","",$F1487&amp;"#"&amp;COUNTIF($F$4:$F1487,$F1487))</f>
        <v/>
      </c>
      <c r="AC1487" s="40" t="str">
        <f aca="false">IF($B1487="","",IF(AND(OR(CETAK!$J$10="",$F1487=CETAK!$J$10),OR(CETAK!$J$11="",$G1487=CETAK!$J$11),OR(CETAK!$J$12="",$P1487=CETAK!$J$12),OR(CETAK!$J$13="",$N1487=CETAK!$J$13),OR(CETAK!$J$14="",$T1487=CETAK!$J$14)),MAX($AC$3:AC1486)+1,""))</f>
        <v/>
      </c>
      <c r="AD1487" s="40" t="str">
        <f aca="false">IF($B1487="","",IF(AND(OR(ABSENSI!$H$10="",$F1487=ABSENSI!$H$10),OR(ABSENSI!$H$11="",$G1487=ABSENSI!$H$11),OR(ABSENSI!$H$12="",$P1487=ABSENSI!$H$12)),MAX($AD$3:AD1486)+1,""))</f>
        <v/>
      </c>
      <c r="AE1487" s="40" t="str">
        <f aca="false">IF($B1487="","",IF(AND(OR(KARTU!$K$6="",$F1487=KARTU!$K$6),OR(KARTU!$K$7="",$G1487=KARTU!$K$7),OR(KARTU!$K$8="",$P1487=KARTU!$K$8)),MAX($AE$3:AE1486)+1,""))</f>
        <v/>
      </c>
    </row>
    <row r="1488" customFormat="false" ht="15" hidden="false" customHeight="false" outlineLevel="0" collapsed="false">
      <c r="A1488" s="35" t="str">
        <f aca="false">IF($B1488="","",COUNTA($B$4:$B1488))</f>
        <v/>
      </c>
      <c r="B1488" s="36"/>
      <c r="C1488" s="37"/>
      <c r="D1488" s="37"/>
      <c r="E1488" s="38"/>
      <c r="F1488" s="36"/>
      <c r="G1488" s="39"/>
      <c r="H1488" s="39"/>
      <c r="I1488" s="36"/>
      <c r="J1488" s="36"/>
      <c r="K1488" s="36"/>
      <c r="L1488" s="36"/>
      <c r="M1488" s="40" t="str">
        <f aca="false">IF($F1488="","",$F1488&amp;IF($G1488="",""," - RT "&amp;$G1488&amp;IF($H1488="","","/"&amp;$H1488)))</f>
        <v/>
      </c>
      <c r="N1488" s="36"/>
      <c r="O1488" s="37"/>
      <c r="P1488" s="39"/>
      <c r="Q1488" s="41"/>
      <c r="R1488" s="35" t="str">
        <f aca="true">IF(OR($B1488="",$Q1488=""),"",DATEDIF($Q1488,TODAY(),"Y"))</f>
        <v/>
      </c>
      <c r="S1488" s="40" t="str">
        <f aca="false">IF($R1488="","",INDEX(usia_label,MATCH($R1488,usia_min,1)))</f>
        <v/>
      </c>
      <c r="T1488" s="36"/>
      <c r="U1488" s="41"/>
      <c r="V1488" s="36"/>
      <c r="W1488" s="36"/>
      <c r="X1488" s="40" t="str">
        <f aca="false">IF($M1488="","",$M1488&amp;"#"&amp;COUNTIF($M$4:$M1488,$M1488))</f>
        <v/>
      </c>
      <c r="Y1488" s="40" t="str">
        <f aca="false">IF($B1488="","",IF($C1488="","NIK kosong",IF(LEN($C1488)&lt;&gt;16,"NIK bukan 16 digit",IF(COUNTIF($C$4:$C$2003,$C1488&amp;"*")&gt;1,"NIK ganda",IF(AND($D1488&lt;&gt;"",LEN($D1488)&lt;&gt;16),"No. KK bukan 16 digit",IF(AND($F1488="",$I1488=""),"Alamat kosong",IF($N1488="","Jabatan kosong",IF($O1488="","No. HP kosong",IF(AND($R1488&lt;&gt;"",$R1488&lt;17),"Usia di bawah 17","")))))))))</f>
        <v/>
      </c>
      <c r="Z1488" s="40" t="str">
        <f aca="false">IF($B1488="","",IF(AND(OR(CARI!$C$5="",ISNUMBER(SEARCH(CARI!$C$5,$B1488&amp;" "&amp;$C1488&amp;" "&amp;$D1488&amp;" "&amp;$O1488&amp;" "&amp;$I1488&amp;" "&amp;$F1488&amp;" "&amp;$J1488&amp;" "&amp;$K1488&amp;" "&amp;$L1488&amp;" "&amp;$V1488))),OR(CARI!$C$6="",$F1488=CARI!$C$6),OR(CARI!$C$7="",$G1488=CARI!$C$7),OR(CARI!$C$8="",$T1488=CARI!$C$8)),MAX($Z$3:Z1487)+1,""))</f>
        <v/>
      </c>
      <c r="AA1488" s="40" t="str">
        <f aca="false">IF($Y1488="","",MAX($AA$3:AA1487)+1)</f>
        <v/>
      </c>
      <c r="AB1488" s="40" t="str">
        <f aca="false">IF($F1488="","",$F1488&amp;"#"&amp;COUNTIF($F$4:$F1488,$F1488))</f>
        <v/>
      </c>
      <c r="AC1488" s="40" t="str">
        <f aca="false">IF($B1488="","",IF(AND(OR(CETAK!$J$10="",$F1488=CETAK!$J$10),OR(CETAK!$J$11="",$G1488=CETAK!$J$11),OR(CETAK!$J$12="",$P1488=CETAK!$J$12),OR(CETAK!$J$13="",$N1488=CETAK!$J$13),OR(CETAK!$J$14="",$T1488=CETAK!$J$14)),MAX($AC$3:AC1487)+1,""))</f>
        <v/>
      </c>
      <c r="AD1488" s="40" t="str">
        <f aca="false">IF($B1488="","",IF(AND(OR(ABSENSI!$H$10="",$F1488=ABSENSI!$H$10),OR(ABSENSI!$H$11="",$G1488=ABSENSI!$H$11),OR(ABSENSI!$H$12="",$P1488=ABSENSI!$H$12)),MAX($AD$3:AD1487)+1,""))</f>
        <v/>
      </c>
      <c r="AE1488" s="40" t="str">
        <f aca="false">IF($B1488="","",IF(AND(OR(KARTU!$K$6="",$F1488=KARTU!$K$6),OR(KARTU!$K$7="",$G1488=KARTU!$K$7),OR(KARTU!$K$8="",$P1488=KARTU!$K$8)),MAX($AE$3:AE1487)+1,""))</f>
        <v/>
      </c>
    </row>
    <row r="1489" customFormat="false" ht="15" hidden="false" customHeight="false" outlineLevel="0" collapsed="false">
      <c r="A1489" s="35" t="str">
        <f aca="false">IF($B1489="","",COUNTA($B$4:$B1489))</f>
        <v/>
      </c>
      <c r="B1489" s="36"/>
      <c r="C1489" s="37"/>
      <c r="D1489" s="37"/>
      <c r="E1489" s="38"/>
      <c r="F1489" s="36"/>
      <c r="G1489" s="39"/>
      <c r="H1489" s="39"/>
      <c r="I1489" s="36"/>
      <c r="J1489" s="36"/>
      <c r="K1489" s="36"/>
      <c r="L1489" s="36"/>
      <c r="M1489" s="40" t="str">
        <f aca="false">IF($F1489="","",$F1489&amp;IF($G1489="",""," - RT "&amp;$G1489&amp;IF($H1489="","","/"&amp;$H1489)))</f>
        <v/>
      </c>
      <c r="N1489" s="36"/>
      <c r="O1489" s="37"/>
      <c r="P1489" s="39"/>
      <c r="Q1489" s="41"/>
      <c r="R1489" s="35" t="str">
        <f aca="true">IF(OR($B1489="",$Q1489=""),"",DATEDIF($Q1489,TODAY(),"Y"))</f>
        <v/>
      </c>
      <c r="S1489" s="40" t="str">
        <f aca="false">IF($R1489="","",INDEX(usia_label,MATCH($R1489,usia_min,1)))</f>
        <v/>
      </c>
      <c r="T1489" s="36"/>
      <c r="U1489" s="41"/>
      <c r="V1489" s="36"/>
      <c r="W1489" s="36"/>
      <c r="X1489" s="40" t="str">
        <f aca="false">IF($M1489="","",$M1489&amp;"#"&amp;COUNTIF($M$4:$M1489,$M1489))</f>
        <v/>
      </c>
      <c r="Y1489" s="40" t="str">
        <f aca="false">IF($B1489="","",IF($C1489="","NIK kosong",IF(LEN($C1489)&lt;&gt;16,"NIK bukan 16 digit",IF(COUNTIF($C$4:$C$2003,$C1489&amp;"*")&gt;1,"NIK ganda",IF(AND($D1489&lt;&gt;"",LEN($D1489)&lt;&gt;16),"No. KK bukan 16 digit",IF(AND($F1489="",$I1489=""),"Alamat kosong",IF($N1489="","Jabatan kosong",IF($O1489="","No. HP kosong",IF(AND($R1489&lt;&gt;"",$R1489&lt;17),"Usia di bawah 17","")))))))))</f>
        <v/>
      </c>
      <c r="Z1489" s="40" t="str">
        <f aca="false">IF($B1489="","",IF(AND(OR(CARI!$C$5="",ISNUMBER(SEARCH(CARI!$C$5,$B1489&amp;" "&amp;$C1489&amp;" "&amp;$D1489&amp;" "&amp;$O1489&amp;" "&amp;$I1489&amp;" "&amp;$F1489&amp;" "&amp;$J1489&amp;" "&amp;$K1489&amp;" "&amp;$L1489&amp;" "&amp;$V1489))),OR(CARI!$C$6="",$F1489=CARI!$C$6),OR(CARI!$C$7="",$G1489=CARI!$C$7),OR(CARI!$C$8="",$T1489=CARI!$C$8)),MAX($Z$3:Z1488)+1,""))</f>
        <v/>
      </c>
      <c r="AA1489" s="40" t="str">
        <f aca="false">IF($Y1489="","",MAX($AA$3:AA1488)+1)</f>
        <v/>
      </c>
      <c r="AB1489" s="40" t="str">
        <f aca="false">IF($F1489="","",$F1489&amp;"#"&amp;COUNTIF($F$4:$F1489,$F1489))</f>
        <v/>
      </c>
      <c r="AC1489" s="40" t="str">
        <f aca="false">IF($B1489="","",IF(AND(OR(CETAK!$J$10="",$F1489=CETAK!$J$10),OR(CETAK!$J$11="",$G1489=CETAK!$J$11),OR(CETAK!$J$12="",$P1489=CETAK!$J$12),OR(CETAK!$J$13="",$N1489=CETAK!$J$13),OR(CETAK!$J$14="",$T1489=CETAK!$J$14)),MAX($AC$3:AC1488)+1,""))</f>
        <v/>
      </c>
      <c r="AD1489" s="40" t="str">
        <f aca="false">IF($B1489="","",IF(AND(OR(ABSENSI!$H$10="",$F1489=ABSENSI!$H$10),OR(ABSENSI!$H$11="",$G1489=ABSENSI!$H$11),OR(ABSENSI!$H$12="",$P1489=ABSENSI!$H$12)),MAX($AD$3:AD1488)+1,""))</f>
        <v/>
      </c>
      <c r="AE1489" s="40" t="str">
        <f aca="false">IF($B1489="","",IF(AND(OR(KARTU!$K$6="",$F1489=KARTU!$K$6),OR(KARTU!$K$7="",$G1489=KARTU!$K$7),OR(KARTU!$K$8="",$P1489=KARTU!$K$8)),MAX($AE$3:AE1488)+1,""))</f>
        <v/>
      </c>
    </row>
    <row r="1490" customFormat="false" ht="15" hidden="false" customHeight="false" outlineLevel="0" collapsed="false">
      <c r="A1490" s="35" t="str">
        <f aca="false">IF($B1490="","",COUNTA($B$4:$B1490))</f>
        <v/>
      </c>
      <c r="B1490" s="36"/>
      <c r="C1490" s="37"/>
      <c r="D1490" s="37"/>
      <c r="E1490" s="38"/>
      <c r="F1490" s="36"/>
      <c r="G1490" s="39"/>
      <c r="H1490" s="39"/>
      <c r="I1490" s="36"/>
      <c r="J1490" s="36"/>
      <c r="K1490" s="36"/>
      <c r="L1490" s="36"/>
      <c r="M1490" s="40" t="str">
        <f aca="false">IF($F1490="","",$F1490&amp;IF($G1490="",""," - RT "&amp;$G1490&amp;IF($H1490="","","/"&amp;$H1490)))</f>
        <v/>
      </c>
      <c r="N1490" s="36"/>
      <c r="O1490" s="37"/>
      <c r="P1490" s="39"/>
      <c r="Q1490" s="41"/>
      <c r="R1490" s="35" t="str">
        <f aca="true">IF(OR($B1490="",$Q1490=""),"",DATEDIF($Q1490,TODAY(),"Y"))</f>
        <v/>
      </c>
      <c r="S1490" s="40" t="str">
        <f aca="false">IF($R1490="","",INDEX(usia_label,MATCH($R1490,usia_min,1)))</f>
        <v/>
      </c>
      <c r="T1490" s="36"/>
      <c r="U1490" s="41"/>
      <c r="V1490" s="36"/>
      <c r="W1490" s="36"/>
      <c r="X1490" s="40" t="str">
        <f aca="false">IF($M1490="","",$M1490&amp;"#"&amp;COUNTIF($M$4:$M1490,$M1490))</f>
        <v/>
      </c>
      <c r="Y1490" s="40" t="str">
        <f aca="false">IF($B1490="","",IF($C1490="","NIK kosong",IF(LEN($C1490)&lt;&gt;16,"NIK bukan 16 digit",IF(COUNTIF($C$4:$C$2003,$C1490&amp;"*")&gt;1,"NIK ganda",IF(AND($D1490&lt;&gt;"",LEN($D1490)&lt;&gt;16),"No. KK bukan 16 digit",IF(AND($F1490="",$I1490=""),"Alamat kosong",IF($N1490="","Jabatan kosong",IF($O1490="","No. HP kosong",IF(AND($R1490&lt;&gt;"",$R1490&lt;17),"Usia di bawah 17","")))))))))</f>
        <v/>
      </c>
      <c r="Z1490" s="40" t="str">
        <f aca="false">IF($B1490="","",IF(AND(OR(CARI!$C$5="",ISNUMBER(SEARCH(CARI!$C$5,$B1490&amp;" "&amp;$C1490&amp;" "&amp;$D1490&amp;" "&amp;$O1490&amp;" "&amp;$I1490&amp;" "&amp;$F1490&amp;" "&amp;$J1490&amp;" "&amp;$K1490&amp;" "&amp;$L1490&amp;" "&amp;$V1490))),OR(CARI!$C$6="",$F1490=CARI!$C$6),OR(CARI!$C$7="",$G1490=CARI!$C$7),OR(CARI!$C$8="",$T1490=CARI!$C$8)),MAX($Z$3:Z1489)+1,""))</f>
        <v/>
      </c>
      <c r="AA1490" s="40" t="str">
        <f aca="false">IF($Y1490="","",MAX($AA$3:AA1489)+1)</f>
        <v/>
      </c>
      <c r="AB1490" s="40" t="str">
        <f aca="false">IF($F1490="","",$F1490&amp;"#"&amp;COUNTIF($F$4:$F1490,$F1490))</f>
        <v/>
      </c>
      <c r="AC1490" s="40" t="str">
        <f aca="false">IF($B1490="","",IF(AND(OR(CETAK!$J$10="",$F1490=CETAK!$J$10),OR(CETAK!$J$11="",$G1490=CETAK!$J$11),OR(CETAK!$J$12="",$P1490=CETAK!$J$12),OR(CETAK!$J$13="",$N1490=CETAK!$J$13),OR(CETAK!$J$14="",$T1490=CETAK!$J$14)),MAX($AC$3:AC1489)+1,""))</f>
        <v/>
      </c>
      <c r="AD1490" s="40" t="str">
        <f aca="false">IF($B1490="","",IF(AND(OR(ABSENSI!$H$10="",$F1490=ABSENSI!$H$10),OR(ABSENSI!$H$11="",$G1490=ABSENSI!$H$11),OR(ABSENSI!$H$12="",$P1490=ABSENSI!$H$12)),MAX($AD$3:AD1489)+1,""))</f>
        <v/>
      </c>
      <c r="AE1490" s="40" t="str">
        <f aca="false">IF($B1490="","",IF(AND(OR(KARTU!$K$6="",$F1490=KARTU!$K$6),OR(KARTU!$K$7="",$G1490=KARTU!$K$7),OR(KARTU!$K$8="",$P1490=KARTU!$K$8)),MAX($AE$3:AE1489)+1,""))</f>
        <v/>
      </c>
    </row>
    <row r="1491" customFormat="false" ht="15" hidden="false" customHeight="false" outlineLevel="0" collapsed="false">
      <c r="A1491" s="35" t="str">
        <f aca="false">IF($B1491="","",COUNTA($B$4:$B1491))</f>
        <v/>
      </c>
      <c r="B1491" s="36"/>
      <c r="C1491" s="37"/>
      <c r="D1491" s="37"/>
      <c r="E1491" s="38"/>
      <c r="F1491" s="36"/>
      <c r="G1491" s="39"/>
      <c r="H1491" s="39"/>
      <c r="I1491" s="36"/>
      <c r="J1491" s="36"/>
      <c r="K1491" s="36"/>
      <c r="L1491" s="36"/>
      <c r="M1491" s="40" t="str">
        <f aca="false">IF($F1491="","",$F1491&amp;IF($G1491="",""," - RT "&amp;$G1491&amp;IF($H1491="","","/"&amp;$H1491)))</f>
        <v/>
      </c>
      <c r="N1491" s="36"/>
      <c r="O1491" s="37"/>
      <c r="P1491" s="39"/>
      <c r="Q1491" s="41"/>
      <c r="R1491" s="35" t="str">
        <f aca="true">IF(OR($B1491="",$Q1491=""),"",DATEDIF($Q1491,TODAY(),"Y"))</f>
        <v/>
      </c>
      <c r="S1491" s="40" t="str">
        <f aca="false">IF($R1491="","",INDEX(usia_label,MATCH($R1491,usia_min,1)))</f>
        <v/>
      </c>
      <c r="T1491" s="36"/>
      <c r="U1491" s="41"/>
      <c r="V1491" s="36"/>
      <c r="W1491" s="36"/>
      <c r="X1491" s="40" t="str">
        <f aca="false">IF($M1491="","",$M1491&amp;"#"&amp;COUNTIF($M$4:$M1491,$M1491))</f>
        <v/>
      </c>
      <c r="Y1491" s="40" t="str">
        <f aca="false">IF($B1491="","",IF($C1491="","NIK kosong",IF(LEN($C1491)&lt;&gt;16,"NIK bukan 16 digit",IF(COUNTIF($C$4:$C$2003,$C1491&amp;"*")&gt;1,"NIK ganda",IF(AND($D1491&lt;&gt;"",LEN($D1491)&lt;&gt;16),"No. KK bukan 16 digit",IF(AND($F1491="",$I1491=""),"Alamat kosong",IF($N1491="","Jabatan kosong",IF($O1491="","No. HP kosong",IF(AND($R1491&lt;&gt;"",$R1491&lt;17),"Usia di bawah 17","")))))))))</f>
        <v/>
      </c>
      <c r="Z1491" s="40" t="str">
        <f aca="false">IF($B1491="","",IF(AND(OR(CARI!$C$5="",ISNUMBER(SEARCH(CARI!$C$5,$B1491&amp;" "&amp;$C1491&amp;" "&amp;$D1491&amp;" "&amp;$O1491&amp;" "&amp;$I1491&amp;" "&amp;$F1491&amp;" "&amp;$J1491&amp;" "&amp;$K1491&amp;" "&amp;$L1491&amp;" "&amp;$V1491))),OR(CARI!$C$6="",$F1491=CARI!$C$6),OR(CARI!$C$7="",$G1491=CARI!$C$7),OR(CARI!$C$8="",$T1491=CARI!$C$8)),MAX($Z$3:Z1490)+1,""))</f>
        <v/>
      </c>
      <c r="AA1491" s="40" t="str">
        <f aca="false">IF($Y1491="","",MAX($AA$3:AA1490)+1)</f>
        <v/>
      </c>
      <c r="AB1491" s="40" t="str">
        <f aca="false">IF($F1491="","",$F1491&amp;"#"&amp;COUNTIF($F$4:$F1491,$F1491))</f>
        <v/>
      </c>
      <c r="AC1491" s="40" t="str">
        <f aca="false">IF($B1491="","",IF(AND(OR(CETAK!$J$10="",$F1491=CETAK!$J$10),OR(CETAK!$J$11="",$G1491=CETAK!$J$11),OR(CETAK!$J$12="",$P1491=CETAK!$J$12),OR(CETAK!$J$13="",$N1491=CETAK!$J$13),OR(CETAK!$J$14="",$T1491=CETAK!$J$14)),MAX($AC$3:AC1490)+1,""))</f>
        <v/>
      </c>
      <c r="AD1491" s="40" t="str">
        <f aca="false">IF($B1491="","",IF(AND(OR(ABSENSI!$H$10="",$F1491=ABSENSI!$H$10),OR(ABSENSI!$H$11="",$G1491=ABSENSI!$H$11),OR(ABSENSI!$H$12="",$P1491=ABSENSI!$H$12)),MAX($AD$3:AD1490)+1,""))</f>
        <v/>
      </c>
      <c r="AE1491" s="40" t="str">
        <f aca="false">IF($B1491="","",IF(AND(OR(KARTU!$K$6="",$F1491=KARTU!$K$6),OR(KARTU!$K$7="",$G1491=KARTU!$K$7),OR(KARTU!$K$8="",$P1491=KARTU!$K$8)),MAX($AE$3:AE1490)+1,""))</f>
        <v/>
      </c>
    </row>
    <row r="1492" customFormat="false" ht="15" hidden="false" customHeight="false" outlineLevel="0" collapsed="false">
      <c r="A1492" s="35" t="str">
        <f aca="false">IF($B1492="","",COUNTA($B$4:$B1492))</f>
        <v/>
      </c>
      <c r="B1492" s="36"/>
      <c r="C1492" s="37"/>
      <c r="D1492" s="37"/>
      <c r="E1492" s="38"/>
      <c r="F1492" s="36"/>
      <c r="G1492" s="39"/>
      <c r="H1492" s="39"/>
      <c r="I1492" s="36"/>
      <c r="J1492" s="36"/>
      <c r="K1492" s="36"/>
      <c r="L1492" s="36"/>
      <c r="M1492" s="40" t="str">
        <f aca="false">IF($F1492="","",$F1492&amp;IF($G1492="",""," - RT "&amp;$G1492&amp;IF($H1492="","","/"&amp;$H1492)))</f>
        <v/>
      </c>
      <c r="N1492" s="36"/>
      <c r="O1492" s="37"/>
      <c r="P1492" s="39"/>
      <c r="Q1492" s="41"/>
      <c r="R1492" s="35" t="str">
        <f aca="true">IF(OR($B1492="",$Q1492=""),"",DATEDIF($Q1492,TODAY(),"Y"))</f>
        <v/>
      </c>
      <c r="S1492" s="40" t="str">
        <f aca="false">IF($R1492="","",INDEX(usia_label,MATCH($R1492,usia_min,1)))</f>
        <v/>
      </c>
      <c r="T1492" s="36"/>
      <c r="U1492" s="41"/>
      <c r="V1492" s="36"/>
      <c r="W1492" s="36"/>
      <c r="X1492" s="40" t="str">
        <f aca="false">IF($M1492="","",$M1492&amp;"#"&amp;COUNTIF($M$4:$M1492,$M1492))</f>
        <v/>
      </c>
      <c r="Y1492" s="40" t="str">
        <f aca="false">IF($B1492="","",IF($C1492="","NIK kosong",IF(LEN($C1492)&lt;&gt;16,"NIK bukan 16 digit",IF(COUNTIF($C$4:$C$2003,$C1492&amp;"*")&gt;1,"NIK ganda",IF(AND($D1492&lt;&gt;"",LEN($D1492)&lt;&gt;16),"No. KK bukan 16 digit",IF(AND($F1492="",$I1492=""),"Alamat kosong",IF($N1492="","Jabatan kosong",IF($O1492="","No. HP kosong",IF(AND($R1492&lt;&gt;"",$R1492&lt;17),"Usia di bawah 17","")))))))))</f>
        <v/>
      </c>
      <c r="Z1492" s="40" t="str">
        <f aca="false">IF($B1492="","",IF(AND(OR(CARI!$C$5="",ISNUMBER(SEARCH(CARI!$C$5,$B1492&amp;" "&amp;$C1492&amp;" "&amp;$D1492&amp;" "&amp;$O1492&amp;" "&amp;$I1492&amp;" "&amp;$F1492&amp;" "&amp;$J1492&amp;" "&amp;$K1492&amp;" "&amp;$L1492&amp;" "&amp;$V1492))),OR(CARI!$C$6="",$F1492=CARI!$C$6),OR(CARI!$C$7="",$G1492=CARI!$C$7),OR(CARI!$C$8="",$T1492=CARI!$C$8)),MAX($Z$3:Z1491)+1,""))</f>
        <v/>
      </c>
      <c r="AA1492" s="40" t="str">
        <f aca="false">IF($Y1492="","",MAX($AA$3:AA1491)+1)</f>
        <v/>
      </c>
      <c r="AB1492" s="40" t="str">
        <f aca="false">IF($F1492="","",$F1492&amp;"#"&amp;COUNTIF($F$4:$F1492,$F1492))</f>
        <v/>
      </c>
      <c r="AC1492" s="40" t="str">
        <f aca="false">IF($B1492="","",IF(AND(OR(CETAK!$J$10="",$F1492=CETAK!$J$10),OR(CETAK!$J$11="",$G1492=CETAK!$J$11),OR(CETAK!$J$12="",$P1492=CETAK!$J$12),OR(CETAK!$J$13="",$N1492=CETAK!$J$13),OR(CETAK!$J$14="",$T1492=CETAK!$J$14)),MAX($AC$3:AC1491)+1,""))</f>
        <v/>
      </c>
      <c r="AD1492" s="40" t="str">
        <f aca="false">IF($B1492="","",IF(AND(OR(ABSENSI!$H$10="",$F1492=ABSENSI!$H$10),OR(ABSENSI!$H$11="",$G1492=ABSENSI!$H$11),OR(ABSENSI!$H$12="",$P1492=ABSENSI!$H$12)),MAX($AD$3:AD1491)+1,""))</f>
        <v/>
      </c>
      <c r="AE1492" s="40" t="str">
        <f aca="false">IF($B1492="","",IF(AND(OR(KARTU!$K$6="",$F1492=KARTU!$K$6),OR(KARTU!$K$7="",$G1492=KARTU!$K$7),OR(KARTU!$K$8="",$P1492=KARTU!$K$8)),MAX($AE$3:AE1491)+1,""))</f>
        <v/>
      </c>
    </row>
    <row r="1493" customFormat="false" ht="15" hidden="false" customHeight="false" outlineLevel="0" collapsed="false">
      <c r="A1493" s="35" t="str">
        <f aca="false">IF($B1493="","",COUNTA($B$4:$B1493))</f>
        <v/>
      </c>
      <c r="B1493" s="36"/>
      <c r="C1493" s="37"/>
      <c r="D1493" s="37"/>
      <c r="E1493" s="38"/>
      <c r="F1493" s="36"/>
      <c r="G1493" s="39"/>
      <c r="H1493" s="39"/>
      <c r="I1493" s="36"/>
      <c r="J1493" s="36"/>
      <c r="K1493" s="36"/>
      <c r="L1493" s="36"/>
      <c r="M1493" s="40" t="str">
        <f aca="false">IF($F1493="","",$F1493&amp;IF($G1493="",""," - RT "&amp;$G1493&amp;IF($H1493="","","/"&amp;$H1493)))</f>
        <v/>
      </c>
      <c r="N1493" s="36"/>
      <c r="O1493" s="37"/>
      <c r="P1493" s="39"/>
      <c r="Q1493" s="41"/>
      <c r="R1493" s="35" t="str">
        <f aca="true">IF(OR($B1493="",$Q1493=""),"",DATEDIF($Q1493,TODAY(),"Y"))</f>
        <v/>
      </c>
      <c r="S1493" s="40" t="str">
        <f aca="false">IF($R1493="","",INDEX(usia_label,MATCH($R1493,usia_min,1)))</f>
        <v/>
      </c>
      <c r="T1493" s="36"/>
      <c r="U1493" s="41"/>
      <c r="V1493" s="36"/>
      <c r="W1493" s="36"/>
      <c r="X1493" s="40" t="str">
        <f aca="false">IF($M1493="","",$M1493&amp;"#"&amp;COUNTIF($M$4:$M1493,$M1493))</f>
        <v/>
      </c>
      <c r="Y1493" s="40" t="str">
        <f aca="false">IF($B1493="","",IF($C1493="","NIK kosong",IF(LEN($C1493)&lt;&gt;16,"NIK bukan 16 digit",IF(COUNTIF($C$4:$C$2003,$C1493&amp;"*")&gt;1,"NIK ganda",IF(AND($D1493&lt;&gt;"",LEN($D1493)&lt;&gt;16),"No. KK bukan 16 digit",IF(AND($F1493="",$I1493=""),"Alamat kosong",IF($N1493="","Jabatan kosong",IF($O1493="","No. HP kosong",IF(AND($R1493&lt;&gt;"",$R1493&lt;17),"Usia di bawah 17","")))))))))</f>
        <v/>
      </c>
      <c r="Z1493" s="40" t="str">
        <f aca="false">IF($B1493="","",IF(AND(OR(CARI!$C$5="",ISNUMBER(SEARCH(CARI!$C$5,$B1493&amp;" "&amp;$C1493&amp;" "&amp;$D1493&amp;" "&amp;$O1493&amp;" "&amp;$I1493&amp;" "&amp;$F1493&amp;" "&amp;$J1493&amp;" "&amp;$K1493&amp;" "&amp;$L1493&amp;" "&amp;$V1493))),OR(CARI!$C$6="",$F1493=CARI!$C$6),OR(CARI!$C$7="",$G1493=CARI!$C$7),OR(CARI!$C$8="",$T1493=CARI!$C$8)),MAX($Z$3:Z1492)+1,""))</f>
        <v/>
      </c>
      <c r="AA1493" s="40" t="str">
        <f aca="false">IF($Y1493="","",MAX($AA$3:AA1492)+1)</f>
        <v/>
      </c>
      <c r="AB1493" s="40" t="str">
        <f aca="false">IF($F1493="","",$F1493&amp;"#"&amp;COUNTIF($F$4:$F1493,$F1493))</f>
        <v/>
      </c>
      <c r="AC1493" s="40" t="str">
        <f aca="false">IF($B1493="","",IF(AND(OR(CETAK!$J$10="",$F1493=CETAK!$J$10),OR(CETAK!$J$11="",$G1493=CETAK!$J$11),OR(CETAK!$J$12="",$P1493=CETAK!$J$12),OR(CETAK!$J$13="",$N1493=CETAK!$J$13),OR(CETAK!$J$14="",$T1493=CETAK!$J$14)),MAX($AC$3:AC1492)+1,""))</f>
        <v/>
      </c>
      <c r="AD1493" s="40" t="str">
        <f aca="false">IF($B1493="","",IF(AND(OR(ABSENSI!$H$10="",$F1493=ABSENSI!$H$10),OR(ABSENSI!$H$11="",$G1493=ABSENSI!$H$11),OR(ABSENSI!$H$12="",$P1493=ABSENSI!$H$12)),MAX($AD$3:AD1492)+1,""))</f>
        <v/>
      </c>
      <c r="AE1493" s="40" t="str">
        <f aca="false">IF($B1493="","",IF(AND(OR(KARTU!$K$6="",$F1493=KARTU!$K$6),OR(KARTU!$K$7="",$G1493=KARTU!$K$7),OR(KARTU!$K$8="",$P1493=KARTU!$K$8)),MAX($AE$3:AE1492)+1,""))</f>
        <v/>
      </c>
    </row>
    <row r="1494" customFormat="false" ht="15" hidden="false" customHeight="false" outlineLevel="0" collapsed="false">
      <c r="A1494" s="35" t="str">
        <f aca="false">IF($B1494="","",COUNTA($B$4:$B1494))</f>
        <v/>
      </c>
      <c r="B1494" s="36"/>
      <c r="C1494" s="37"/>
      <c r="D1494" s="37"/>
      <c r="E1494" s="38"/>
      <c r="F1494" s="36"/>
      <c r="G1494" s="39"/>
      <c r="H1494" s="39"/>
      <c r="I1494" s="36"/>
      <c r="J1494" s="36"/>
      <c r="K1494" s="36"/>
      <c r="L1494" s="36"/>
      <c r="M1494" s="40" t="str">
        <f aca="false">IF($F1494="","",$F1494&amp;IF($G1494="",""," - RT "&amp;$G1494&amp;IF($H1494="","","/"&amp;$H1494)))</f>
        <v/>
      </c>
      <c r="N1494" s="36"/>
      <c r="O1494" s="37"/>
      <c r="P1494" s="39"/>
      <c r="Q1494" s="41"/>
      <c r="R1494" s="35" t="str">
        <f aca="true">IF(OR($B1494="",$Q1494=""),"",DATEDIF($Q1494,TODAY(),"Y"))</f>
        <v/>
      </c>
      <c r="S1494" s="40" t="str">
        <f aca="false">IF($R1494="","",INDEX(usia_label,MATCH($R1494,usia_min,1)))</f>
        <v/>
      </c>
      <c r="T1494" s="36"/>
      <c r="U1494" s="41"/>
      <c r="V1494" s="36"/>
      <c r="W1494" s="36"/>
      <c r="X1494" s="40" t="str">
        <f aca="false">IF($M1494="","",$M1494&amp;"#"&amp;COUNTIF($M$4:$M1494,$M1494))</f>
        <v/>
      </c>
      <c r="Y1494" s="40" t="str">
        <f aca="false">IF($B1494="","",IF($C1494="","NIK kosong",IF(LEN($C1494)&lt;&gt;16,"NIK bukan 16 digit",IF(COUNTIF($C$4:$C$2003,$C1494&amp;"*")&gt;1,"NIK ganda",IF(AND($D1494&lt;&gt;"",LEN($D1494)&lt;&gt;16),"No. KK bukan 16 digit",IF(AND($F1494="",$I1494=""),"Alamat kosong",IF($N1494="","Jabatan kosong",IF($O1494="","No. HP kosong",IF(AND($R1494&lt;&gt;"",$R1494&lt;17),"Usia di bawah 17","")))))))))</f>
        <v/>
      </c>
      <c r="Z1494" s="40" t="str">
        <f aca="false">IF($B1494="","",IF(AND(OR(CARI!$C$5="",ISNUMBER(SEARCH(CARI!$C$5,$B1494&amp;" "&amp;$C1494&amp;" "&amp;$D1494&amp;" "&amp;$O1494&amp;" "&amp;$I1494&amp;" "&amp;$F1494&amp;" "&amp;$J1494&amp;" "&amp;$K1494&amp;" "&amp;$L1494&amp;" "&amp;$V1494))),OR(CARI!$C$6="",$F1494=CARI!$C$6),OR(CARI!$C$7="",$G1494=CARI!$C$7),OR(CARI!$C$8="",$T1494=CARI!$C$8)),MAX($Z$3:Z1493)+1,""))</f>
        <v/>
      </c>
      <c r="AA1494" s="40" t="str">
        <f aca="false">IF($Y1494="","",MAX($AA$3:AA1493)+1)</f>
        <v/>
      </c>
      <c r="AB1494" s="40" t="str">
        <f aca="false">IF($F1494="","",$F1494&amp;"#"&amp;COUNTIF($F$4:$F1494,$F1494))</f>
        <v/>
      </c>
      <c r="AC1494" s="40" t="str">
        <f aca="false">IF($B1494="","",IF(AND(OR(CETAK!$J$10="",$F1494=CETAK!$J$10),OR(CETAK!$J$11="",$G1494=CETAK!$J$11),OR(CETAK!$J$12="",$P1494=CETAK!$J$12),OR(CETAK!$J$13="",$N1494=CETAK!$J$13),OR(CETAK!$J$14="",$T1494=CETAK!$J$14)),MAX($AC$3:AC1493)+1,""))</f>
        <v/>
      </c>
      <c r="AD1494" s="40" t="str">
        <f aca="false">IF($B1494="","",IF(AND(OR(ABSENSI!$H$10="",$F1494=ABSENSI!$H$10),OR(ABSENSI!$H$11="",$G1494=ABSENSI!$H$11),OR(ABSENSI!$H$12="",$P1494=ABSENSI!$H$12)),MAX($AD$3:AD1493)+1,""))</f>
        <v/>
      </c>
      <c r="AE1494" s="40" t="str">
        <f aca="false">IF($B1494="","",IF(AND(OR(KARTU!$K$6="",$F1494=KARTU!$K$6),OR(KARTU!$K$7="",$G1494=KARTU!$K$7),OR(KARTU!$K$8="",$P1494=KARTU!$K$8)),MAX($AE$3:AE1493)+1,""))</f>
        <v/>
      </c>
    </row>
    <row r="1495" customFormat="false" ht="15" hidden="false" customHeight="false" outlineLevel="0" collapsed="false">
      <c r="A1495" s="35" t="str">
        <f aca="false">IF($B1495="","",COUNTA($B$4:$B1495))</f>
        <v/>
      </c>
      <c r="B1495" s="36"/>
      <c r="C1495" s="37"/>
      <c r="D1495" s="37"/>
      <c r="E1495" s="38"/>
      <c r="F1495" s="36"/>
      <c r="G1495" s="39"/>
      <c r="H1495" s="39"/>
      <c r="I1495" s="36"/>
      <c r="J1495" s="36"/>
      <c r="K1495" s="36"/>
      <c r="L1495" s="36"/>
      <c r="M1495" s="40" t="str">
        <f aca="false">IF($F1495="","",$F1495&amp;IF($G1495="",""," - RT "&amp;$G1495&amp;IF($H1495="","","/"&amp;$H1495)))</f>
        <v/>
      </c>
      <c r="N1495" s="36"/>
      <c r="O1495" s="37"/>
      <c r="P1495" s="39"/>
      <c r="Q1495" s="41"/>
      <c r="R1495" s="35" t="str">
        <f aca="true">IF(OR($B1495="",$Q1495=""),"",DATEDIF($Q1495,TODAY(),"Y"))</f>
        <v/>
      </c>
      <c r="S1495" s="40" t="str">
        <f aca="false">IF($R1495="","",INDEX(usia_label,MATCH($R1495,usia_min,1)))</f>
        <v/>
      </c>
      <c r="T1495" s="36"/>
      <c r="U1495" s="41"/>
      <c r="V1495" s="36"/>
      <c r="W1495" s="36"/>
      <c r="X1495" s="40" t="str">
        <f aca="false">IF($M1495="","",$M1495&amp;"#"&amp;COUNTIF($M$4:$M1495,$M1495))</f>
        <v/>
      </c>
      <c r="Y1495" s="40" t="str">
        <f aca="false">IF($B1495="","",IF($C1495="","NIK kosong",IF(LEN($C1495)&lt;&gt;16,"NIK bukan 16 digit",IF(COUNTIF($C$4:$C$2003,$C1495&amp;"*")&gt;1,"NIK ganda",IF(AND($D1495&lt;&gt;"",LEN($D1495)&lt;&gt;16),"No. KK bukan 16 digit",IF(AND($F1495="",$I1495=""),"Alamat kosong",IF($N1495="","Jabatan kosong",IF($O1495="","No. HP kosong",IF(AND($R1495&lt;&gt;"",$R1495&lt;17),"Usia di bawah 17","")))))))))</f>
        <v/>
      </c>
      <c r="Z1495" s="40" t="str">
        <f aca="false">IF($B1495="","",IF(AND(OR(CARI!$C$5="",ISNUMBER(SEARCH(CARI!$C$5,$B1495&amp;" "&amp;$C1495&amp;" "&amp;$D1495&amp;" "&amp;$O1495&amp;" "&amp;$I1495&amp;" "&amp;$F1495&amp;" "&amp;$J1495&amp;" "&amp;$K1495&amp;" "&amp;$L1495&amp;" "&amp;$V1495))),OR(CARI!$C$6="",$F1495=CARI!$C$6),OR(CARI!$C$7="",$G1495=CARI!$C$7),OR(CARI!$C$8="",$T1495=CARI!$C$8)),MAX($Z$3:Z1494)+1,""))</f>
        <v/>
      </c>
      <c r="AA1495" s="40" t="str">
        <f aca="false">IF($Y1495="","",MAX($AA$3:AA1494)+1)</f>
        <v/>
      </c>
      <c r="AB1495" s="40" t="str">
        <f aca="false">IF($F1495="","",$F1495&amp;"#"&amp;COUNTIF($F$4:$F1495,$F1495))</f>
        <v/>
      </c>
      <c r="AC1495" s="40" t="str">
        <f aca="false">IF($B1495="","",IF(AND(OR(CETAK!$J$10="",$F1495=CETAK!$J$10),OR(CETAK!$J$11="",$G1495=CETAK!$J$11),OR(CETAK!$J$12="",$P1495=CETAK!$J$12),OR(CETAK!$J$13="",$N1495=CETAK!$J$13),OR(CETAK!$J$14="",$T1495=CETAK!$J$14)),MAX($AC$3:AC1494)+1,""))</f>
        <v/>
      </c>
      <c r="AD1495" s="40" t="str">
        <f aca="false">IF($B1495="","",IF(AND(OR(ABSENSI!$H$10="",$F1495=ABSENSI!$H$10),OR(ABSENSI!$H$11="",$G1495=ABSENSI!$H$11),OR(ABSENSI!$H$12="",$P1495=ABSENSI!$H$12)),MAX($AD$3:AD1494)+1,""))</f>
        <v/>
      </c>
      <c r="AE1495" s="40" t="str">
        <f aca="false">IF($B1495="","",IF(AND(OR(KARTU!$K$6="",$F1495=KARTU!$K$6),OR(KARTU!$K$7="",$G1495=KARTU!$K$7),OR(KARTU!$K$8="",$P1495=KARTU!$K$8)),MAX($AE$3:AE1494)+1,""))</f>
        <v/>
      </c>
    </row>
    <row r="1496" customFormat="false" ht="15" hidden="false" customHeight="false" outlineLevel="0" collapsed="false">
      <c r="A1496" s="35" t="str">
        <f aca="false">IF($B1496="","",COUNTA($B$4:$B1496))</f>
        <v/>
      </c>
      <c r="B1496" s="36"/>
      <c r="C1496" s="37"/>
      <c r="D1496" s="37"/>
      <c r="E1496" s="38"/>
      <c r="F1496" s="36"/>
      <c r="G1496" s="39"/>
      <c r="H1496" s="39"/>
      <c r="I1496" s="36"/>
      <c r="J1496" s="36"/>
      <c r="K1496" s="36"/>
      <c r="L1496" s="36"/>
      <c r="M1496" s="40" t="str">
        <f aca="false">IF($F1496="","",$F1496&amp;IF($G1496="",""," - RT "&amp;$G1496&amp;IF($H1496="","","/"&amp;$H1496)))</f>
        <v/>
      </c>
      <c r="N1496" s="36"/>
      <c r="O1496" s="37"/>
      <c r="P1496" s="39"/>
      <c r="Q1496" s="41"/>
      <c r="R1496" s="35" t="str">
        <f aca="true">IF(OR($B1496="",$Q1496=""),"",DATEDIF($Q1496,TODAY(),"Y"))</f>
        <v/>
      </c>
      <c r="S1496" s="40" t="str">
        <f aca="false">IF($R1496="","",INDEX(usia_label,MATCH($R1496,usia_min,1)))</f>
        <v/>
      </c>
      <c r="T1496" s="36"/>
      <c r="U1496" s="41"/>
      <c r="V1496" s="36"/>
      <c r="W1496" s="36"/>
      <c r="X1496" s="40" t="str">
        <f aca="false">IF($M1496="","",$M1496&amp;"#"&amp;COUNTIF($M$4:$M1496,$M1496))</f>
        <v/>
      </c>
      <c r="Y1496" s="40" t="str">
        <f aca="false">IF($B1496="","",IF($C1496="","NIK kosong",IF(LEN($C1496)&lt;&gt;16,"NIK bukan 16 digit",IF(COUNTIF($C$4:$C$2003,$C1496&amp;"*")&gt;1,"NIK ganda",IF(AND($D1496&lt;&gt;"",LEN($D1496)&lt;&gt;16),"No. KK bukan 16 digit",IF(AND($F1496="",$I1496=""),"Alamat kosong",IF($N1496="","Jabatan kosong",IF($O1496="","No. HP kosong",IF(AND($R1496&lt;&gt;"",$R1496&lt;17),"Usia di bawah 17","")))))))))</f>
        <v/>
      </c>
      <c r="Z1496" s="40" t="str">
        <f aca="false">IF($B1496="","",IF(AND(OR(CARI!$C$5="",ISNUMBER(SEARCH(CARI!$C$5,$B1496&amp;" "&amp;$C1496&amp;" "&amp;$D1496&amp;" "&amp;$O1496&amp;" "&amp;$I1496&amp;" "&amp;$F1496&amp;" "&amp;$J1496&amp;" "&amp;$K1496&amp;" "&amp;$L1496&amp;" "&amp;$V1496))),OR(CARI!$C$6="",$F1496=CARI!$C$6),OR(CARI!$C$7="",$G1496=CARI!$C$7),OR(CARI!$C$8="",$T1496=CARI!$C$8)),MAX($Z$3:Z1495)+1,""))</f>
        <v/>
      </c>
      <c r="AA1496" s="40" t="str">
        <f aca="false">IF($Y1496="","",MAX($AA$3:AA1495)+1)</f>
        <v/>
      </c>
      <c r="AB1496" s="40" t="str">
        <f aca="false">IF($F1496="","",$F1496&amp;"#"&amp;COUNTIF($F$4:$F1496,$F1496))</f>
        <v/>
      </c>
      <c r="AC1496" s="40" t="str">
        <f aca="false">IF($B1496="","",IF(AND(OR(CETAK!$J$10="",$F1496=CETAK!$J$10),OR(CETAK!$J$11="",$G1496=CETAK!$J$11),OR(CETAK!$J$12="",$P1496=CETAK!$J$12),OR(CETAK!$J$13="",$N1496=CETAK!$J$13),OR(CETAK!$J$14="",$T1496=CETAK!$J$14)),MAX($AC$3:AC1495)+1,""))</f>
        <v/>
      </c>
      <c r="AD1496" s="40" t="str">
        <f aca="false">IF($B1496="","",IF(AND(OR(ABSENSI!$H$10="",$F1496=ABSENSI!$H$10),OR(ABSENSI!$H$11="",$G1496=ABSENSI!$H$11),OR(ABSENSI!$H$12="",$P1496=ABSENSI!$H$12)),MAX($AD$3:AD1495)+1,""))</f>
        <v/>
      </c>
      <c r="AE1496" s="40" t="str">
        <f aca="false">IF($B1496="","",IF(AND(OR(KARTU!$K$6="",$F1496=KARTU!$K$6),OR(KARTU!$K$7="",$G1496=KARTU!$K$7),OR(KARTU!$K$8="",$P1496=KARTU!$K$8)),MAX($AE$3:AE1495)+1,""))</f>
        <v/>
      </c>
    </row>
    <row r="1497" customFormat="false" ht="15" hidden="false" customHeight="false" outlineLevel="0" collapsed="false">
      <c r="A1497" s="35" t="str">
        <f aca="false">IF($B1497="","",COUNTA($B$4:$B1497))</f>
        <v/>
      </c>
      <c r="B1497" s="36"/>
      <c r="C1497" s="37"/>
      <c r="D1497" s="37"/>
      <c r="E1497" s="38"/>
      <c r="F1497" s="36"/>
      <c r="G1497" s="39"/>
      <c r="H1497" s="39"/>
      <c r="I1497" s="36"/>
      <c r="J1497" s="36"/>
      <c r="K1497" s="36"/>
      <c r="L1497" s="36"/>
      <c r="M1497" s="40" t="str">
        <f aca="false">IF($F1497="","",$F1497&amp;IF($G1497="",""," - RT "&amp;$G1497&amp;IF($H1497="","","/"&amp;$H1497)))</f>
        <v/>
      </c>
      <c r="N1497" s="36"/>
      <c r="O1497" s="37"/>
      <c r="P1497" s="39"/>
      <c r="Q1497" s="41"/>
      <c r="R1497" s="35" t="str">
        <f aca="true">IF(OR($B1497="",$Q1497=""),"",DATEDIF($Q1497,TODAY(),"Y"))</f>
        <v/>
      </c>
      <c r="S1497" s="40" t="str">
        <f aca="false">IF($R1497="","",INDEX(usia_label,MATCH($R1497,usia_min,1)))</f>
        <v/>
      </c>
      <c r="T1497" s="36"/>
      <c r="U1497" s="41"/>
      <c r="V1497" s="36"/>
      <c r="W1497" s="36"/>
      <c r="X1497" s="40" t="str">
        <f aca="false">IF($M1497="","",$M1497&amp;"#"&amp;COUNTIF($M$4:$M1497,$M1497))</f>
        <v/>
      </c>
      <c r="Y1497" s="40" t="str">
        <f aca="false">IF($B1497="","",IF($C1497="","NIK kosong",IF(LEN($C1497)&lt;&gt;16,"NIK bukan 16 digit",IF(COUNTIF($C$4:$C$2003,$C1497&amp;"*")&gt;1,"NIK ganda",IF(AND($D1497&lt;&gt;"",LEN($D1497)&lt;&gt;16),"No. KK bukan 16 digit",IF(AND($F1497="",$I1497=""),"Alamat kosong",IF($N1497="","Jabatan kosong",IF($O1497="","No. HP kosong",IF(AND($R1497&lt;&gt;"",$R1497&lt;17),"Usia di bawah 17","")))))))))</f>
        <v/>
      </c>
      <c r="Z1497" s="40" t="str">
        <f aca="false">IF($B1497="","",IF(AND(OR(CARI!$C$5="",ISNUMBER(SEARCH(CARI!$C$5,$B1497&amp;" "&amp;$C1497&amp;" "&amp;$D1497&amp;" "&amp;$O1497&amp;" "&amp;$I1497&amp;" "&amp;$F1497&amp;" "&amp;$J1497&amp;" "&amp;$K1497&amp;" "&amp;$L1497&amp;" "&amp;$V1497))),OR(CARI!$C$6="",$F1497=CARI!$C$6),OR(CARI!$C$7="",$G1497=CARI!$C$7),OR(CARI!$C$8="",$T1497=CARI!$C$8)),MAX($Z$3:Z1496)+1,""))</f>
        <v/>
      </c>
      <c r="AA1497" s="40" t="str">
        <f aca="false">IF($Y1497="","",MAX($AA$3:AA1496)+1)</f>
        <v/>
      </c>
      <c r="AB1497" s="40" t="str">
        <f aca="false">IF($F1497="","",$F1497&amp;"#"&amp;COUNTIF($F$4:$F1497,$F1497))</f>
        <v/>
      </c>
      <c r="AC1497" s="40" t="str">
        <f aca="false">IF($B1497="","",IF(AND(OR(CETAK!$J$10="",$F1497=CETAK!$J$10),OR(CETAK!$J$11="",$G1497=CETAK!$J$11),OR(CETAK!$J$12="",$P1497=CETAK!$J$12),OR(CETAK!$J$13="",$N1497=CETAK!$J$13),OR(CETAK!$J$14="",$T1497=CETAK!$J$14)),MAX($AC$3:AC1496)+1,""))</f>
        <v/>
      </c>
      <c r="AD1497" s="40" t="str">
        <f aca="false">IF($B1497="","",IF(AND(OR(ABSENSI!$H$10="",$F1497=ABSENSI!$H$10),OR(ABSENSI!$H$11="",$G1497=ABSENSI!$H$11),OR(ABSENSI!$H$12="",$P1497=ABSENSI!$H$12)),MAX($AD$3:AD1496)+1,""))</f>
        <v/>
      </c>
      <c r="AE1497" s="40" t="str">
        <f aca="false">IF($B1497="","",IF(AND(OR(KARTU!$K$6="",$F1497=KARTU!$K$6),OR(KARTU!$K$7="",$G1497=KARTU!$K$7),OR(KARTU!$K$8="",$P1497=KARTU!$K$8)),MAX($AE$3:AE1496)+1,""))</f>
        <v/>
      </c>
    </row>
    <row r="1498" customFormat="false" ht="15" hidden="false" customHeight="false" outlineLevel="0" collapsed="false">
      <c r="A1498" s="35" t="str">
        <f aca="false">IF($B1498="","",COUNTA($B$4:$B1498))</f>
        <v/>
      </c>
      <c r="B1498" s="36"/>
      <c r="C1498" s="37"/>
      <c r="D1498" s="37"/>
      <c r="E1498" s="38"/>
      <c r="F1498" s="36"/>
      <c r="G1498" s="39"/>
      <c r="H1498" s="39"/>
      <c r="I1498" s="36"/>
      <c r="J1498" s="36"/>
      <c r="K1498" s="36"/>
      <c r="L1498" s="36"/>
      <c r="M1498" s="40" t="str">
        <f aca="false">IF($F1498="","",$F1498&amp;IF($G1498="",""," - RT "&amp;$G1498&amp;IF($H1498="","","/"&amp;$H1498)))</f>
        <v/>
      </c>
      <c r="N1498" s="36"/>
      <c r="O1498" s="37"/>
      <c r="P1498" s="39"/>
      <c r="Q1498" s="41"/>
      <c r="R1498" s="35" t="str">
        <f aca="true">IF(OR($B1498="",$Q1498=""),"",DATEDIF($Q1498,TODAY(),"Y"))</f>
        <v/>
      </c>
      <c r="S1498" s="40" t="str">
        <f aca="false">IF($R1498="","",INDEX(usia_label,MATCH($R1498,usia_min,1)))</f>
        <v/>
      </c>
      <c r="T1498" s="36"/>
      <c r="U1498" s="41"/>
      <c r="V1498" s="36"/>
      <c r="W1498" s="36"/>
      <c r="X1498" s="40" t="str">
        <f aca="false">IF($M1498="","",$M1498&amp;"#"&amp;COUNTIF($M$4:$M1498,$M1498))</f>
        <v/>
      </c>
      <c r="Y1498" s="40" t="str">
        <f aca="false">IF($B1498="","",IF($C1498="","NIK kosong",IF(LEN($C1498)&lt;&gt;16,"NIK bukan 16 digit",IF(COUNTIF($C$4:$C$2003,$C1498&amp;"*")&gt;1,"NIK ganda",IF(AND($D1498&lt;&gt;"",LEN($D1498)&lt;&gt;16),"No. KK bukan 16 digit",IF(AND($F1498="",$I1498=""),"Alamat kosong",IF($N1498="","Jabatan kosong",IF($O1498="","No. HP kosong",IF(AND($R1498&lt;&gt;"",$R1498&lt;17),"Usia di bawah 17","")))))))))</f>
        <v/>
      </c>
      <c r="Z1498" s="40" t="str">
        <f aca="false">IF($B1498="","",IF(AND(OR(CARI!$C$5="",ISNUMBER(SEARCH(CARI!$C$5,$B1498&amp;" "&amp;$C1498&amp;" "&amp;$D1498&amp;" "&amp;$O1498&amp;" "&amp;$I1498&amp;" "&amp;$F1498&amp;" "&amp;$J1498&amp;" "&amp;$K1498&amp;" "&amp;$L1498&amp;" "&amp;$V1498))),OR(CARI!$C$6="",$F1498=CARI!$C$6),OR(CARI!$C$7="",$G1498=CARI!$C$7),OR(CARI!$C$8="",$T1498=CARI!$C$8)),MAX($Z$3:Z1497)+1,""))</f>
        <v/>
      </c>
      <c r="AA1498" s="40" t="str">
        <f aca="false">IF($Y1498="","",MAX($AA$3:AA1497)+1)</f>
        <v/>
      </c>
      <c r="AB1498" s="40" t="str">
        <f aca="false">IF($F1498="","",$F1498&amp;"#"&amp;COUNTIF($F$4:$F1498,$F1498))</f>
        <v/>
      </c>
      <c r="AC1498" s="40" t="str">
        <f aca="false">IF($B1498="","",IF(AND(OR(CETAK!$J$10="",$F1498=CETAK!$J$10),OR(CETAK!$J$11="",$G1498=CETAK!$J$11),OR(CETAK!$J$12="",$P1498=CETAK!$J$12),OR(CETAK!$J$13="",$N1498=CETAK!$J$13),OR(CETAK!$J$14="",$T1498=CETAK!$J$14)),MAX($AC$3:AC1497)+1,""))</f>
        <v/>
      </c>
      <c r="AD1498" s="40" t="str">
        <f aca="false">IF($B1498="","",IF(AND(OR(ABSENSI!$H$10="",$F1498=ABSENSI!$H$10),OR(ABSENSI!$H$11="",$G1498=ABSENSI!$H$11),OR(ABSENSI!$H$12="",$P1498=ABSENSI!$H$12)),MAX($AD$3:AD1497)+1,""))</f>
        <v/>
      </c>
      <c r="AE1498" s="40" t="str">
        <f aca="false">IF($B1498="","",IF(AND(OR(KARTU!$K$6="",$F1498=KARTU!$K$6),OR(KARTU!$K$7="",$G1498=KARTU!$K$7),OR(KARTU!$K$8="",$P1498=KARTU!$K$8)),MAX($AE$3:AE1497)+1,""))</f>
        <v/>
      </c>
    </row>
    <row r="1499" customFormat="false" ht="15" hidden="false" customHeight="false" outlineLevel="0" collapsed="false">
      <c r="A1499" s="35" t="str">
        <f aca="false">IF($B1499="","",COUNTA($B$4:$B1499))</f>
        <v/>
      </c>
      <c r="B1499" s="36"/>
      <c r="C1499" s="37"/>
      <c r="D1499" s="37"/>
      <c r="E1499" s="38"/>
      <c r="F1499" s="36"/>
      <c r="G1499" s="39"/>
      <c r="H1499" s="39"/>
      <c r="I1499" s="36"/>
      <c r="J1499" s="36"/>
      <c r="K1499" s="36"/>
      <c r="L1499" s="36"/>
      <c r="M1499" s="40" t="str">
        <f aca="false">IF($F1499="","",$F1499&amp;IF($G1499="",""," - RT "&amp;$G1499&amp;IF($H1499="","","/"&amp;$H1499)))</f>
        <v/>
      </c>
      <c r="N1499" s="36"/>
      <c r="O1499" s="37"/>
      <c r="P1499" s="39"/>
      <c r="Q1499" s="41"/>
      <c r="R1499" s="35" t="str">
        <f aca="true">IF(OR($B1499="",$Q1499=""),"",DATEDIF($Q1499,TODAY(),"Y"))</f>
        <v/>
      </c>
      <c r="S1499" s="40" t="str">
        <f aca="false">IF($R1499="","",INDEX(usia_label,MATCH($R1499,usia_min,1)))</f>
        <v/>
      </c>
      <c r="T1499" s="36"/>
      <c r="U1499" s="41"/>
      <c r="V1499" s="36"/>
      <c r="W1499" s="36"/>
      <c r="X1499" s="40" t="str">
        <f aca="false">IF($M1499="","",$M1499&amp;"#"&amp;COUNTIF($M$4:$M1499,$M1499))</f>
        <v/>
      </c>
      <c r="Y1499" s="40" t="str">
        <f aca="false">IF($B1499="","",IF($C1499="","NIK kosong",IF(LEN($C1499)&lt;&gt;16,"NIK bukan 16 digit",IF(COUNTIF($C$4:$C$2003,$C1499&amp;"*")&gt;1,"NIK ganda",IF(AND($D1499&lt;&gt;"",LEN($D1499)&lt;&gt;16),"No. KK bukan 16 digit",IF(AND($F1499="",$I1499=""),"Alamat kosong",IF($N1499="","Jabatan kosong",IF($O1499="","No. HP kosong",IF(AND($R1499&lt;&gt;"",$R1499&lt;17),"Usia di bawah 17","")))))))))</f>
        <v/>
      </c>
      <c r="Z1499" s="40" t="str">
        <f aca="false">IF($B1499="","",IF(AND(OR(CARI!$C$5="",ISNUMBER(SEARCH(CARI!$C$5,$B1499&amp;" "&amp;$C1499&amp;" "&amp;$D1499&amp;" "&amp;$O1499&amp;" "&amp;$I1499&amp;" "&amp;$F1499&amp;" "&amp;$J1499&amp;" "&amp;$K1499&amp;" "&amp;$L1499&amp;" "&amp;$V1499))),OR(CARI!$C$6="",$F1499=CARI!$C$6),OR(CARI!$C$7="",$G1499=CARI!$C$7),OR(CARI!$C$8="",$T1499=CARI!$C$8)),MAX($Z$3:Z1498)+1,""))</f>
        <v/>
      </c>
      <c r="AA1499" s="40" t="str">
        <f aca="false">IF($Y1499="","",MAX($AA$3:AA1498)+1)</f>
        <v/>
      </c>
      <c r="AB1499" s="40" t="str">
        <f aca="false">IF($F1499="","",$F1499&amp;"#"&amp;COUNTIF($F$4:$F1499,$F1499))</f>
        <v/>
      </c>
      <c r="AC1499" s="40" t="str">
        <f aca="false">IF($B1499="","",IF(AND(OR(CETAK!$J$10="",$F1499=CETAK!$J$10),OR(CETAK!$J$11="",$G1499=CETAK!$J$11),OR(CETAK!$J$12="",$P1499=CETAK!$J$12),OR(CETAK!$J$13="",$N1499=CETAK!$J$13),OR(CETAK!$J$14="",$T1499=CETAK!$J$14)),MAX($AC$3:AC1498)+1,""))</f>
        <v/>
      </c>
      <c r="AD1499" s="40" t="str">
        <f aca="false">IF($B1499="","",IF(AND(OR(ABSENSI!$H$10="",$F1499=ABSENSI!$H$10),OR(ABSENSI!$H$11="",$G1499=ABSENSI!$H$11),OR(ABSENSI!$H$12="",$P1499=ABSENSI!$H$12)),MAX($AD$3:AD1498)+1,""))</f>
        <v/>
      </c>
      <c r="AE1499" s="40" t="str">
        <f aca="false">IF($B1499="","",IF(AND(OR(KARTU!$K$6="",$F1499=KARTU!$K$6),OR(KARTU!$K$7="",$G1499=KARTU!$K$7),OR(KARTU!$K$8="",$P1499=KARTU!$K$8)),MAX($AE$3:AE1498)+1,""))</f>
        <v/>
      </c>
    </row>
    <row r="1500" customFormat="false" ht="15" hidden="false" customHeight="false" outlineLevel="0" collapsed="false">
      <c r="A1500" s="35" t="str">
        <f aca="false">IF($B1500="","",COUNTA($B$4:$B1500))</f>
        <v/>
      </c>
      <c r="B1500" s="36"/>
      <c r="C1500" s="37"/>
      <c r="D1500" s="37"/>
      <c r="E1500" s="38"/>
      <c r="F1500" s="36"/>
      <c r="G1500" s="39"/>
      <c r="H1500" s="39"/>
      <c r="I1500" s="36"/>
      <c r="J1500" s="36"/>
      <c r="K1500" s="36"/>
      <c r="L1500" s="36"/>
      <c r="M1500" s="40" t="str">
        <f aca="false">IF($F1500="","",$F1500&amp;IF($G1500="",""," - RT "&amp;$G1500&amp;IF($H1500="","","/"&amp;$H1500)))</f>
        <v/>
      </c>
      <c r="N1500" s="36"/>
      <c r="O1500" s="37"/>
      <c r="P1500" s="39"/>
      <c r="Q1500" s="41"/>
      <c r="R1500" s="35" t="str">
        <f aca="true">IF(OR($B1500="",$Q1500=""),"",DATEDIF($Q1500,TODAY(),"Y"))</f>
        <v/>
      </c>
      <c r="S1500" s="40" t="str">
        <f aca="false">IF($R1500="","",INDEX(usia_label,MATCH($R1500,usia_min,1)))</f>
        <v/>
      </c>
      <c r="T1500" s="36"/>
      <c r="U1500" s="41"/>
      <c r="V1500" s="36"/>
      <c r="W1500" s="36"/>
      <c r="X1500" s="40" t="str">
        <f aca="false">IF($M1500="","",$M1500&amp;"#"&amp;COUNTIF($M$4:$M1500,$M1500))</f>
        <v/>
      </c>
      <c r="Y1500" s="40" t="str">
        <f aca="false">IF($B1500="","",IF($C1500="","NIK kosong",IF(LEN($C1500)&lt;&gt;16,"NIK bukan 16 digit",IF(COUNTIF($C$4:$C$2003,$C1500&amp;"*")&gt;1,"NIK ganda",IF(AND($D1500&lt;&gt;"",LEN($D1500)&lt;&gt;16),"No. KK bukan 16 digit",IF(AND($F1500="",$I1500=""),"Alamat kosong",IF($N1500="","Jabatan kosong",IF($O1500="","No. HP kosong",IF(AND($R1500&lt;&gt;"",$R1500&lt;17),"Usia di bawah 17","")))))))))</f>
        <v/>
      </c>
      <c r="Z1500" s="40" t="str">
        <f aca="false">IF($B1500="","",IF(AND(OR(CARI!$C$5="",ISNUMBER(SEARCH(CARI!$C$5,$B1500&amp;" "&amp;$C1500&amp;" "&amp;$D1500&amp;" "&amp;$O1500&amp;" "&amp;$I1500&amp;" "&amp;$F1500&amp;" "&amp;$J1500&amp;" "&amp;$K1500&amp;" "&amp;$L1500&amp;" "&amp;$V1500))),OR(CARI!$C$6="",$F1500=CARI!$C$6),OR(CARI!$C$7="",$G1500=CARI!$C$7),OR(CARI!$C$8="",$T1500=CARI!$C$8)),MAX($Z$3:Z1499)+1,""))</f>
        <v/>
      </c>
      <c r="AA1500" s="40" t="str">
        <f aca="false">IF($Y1500="","",MAX($AA$3:AA1499)+1)</f>
        <v/>
      </c>
      <c r="AB1500" s="40" t="str">
        <f aca="false">IF($F1500="","",$F1500&amp;"#"&amp;COUNTIF($F$4:$F1500,$F1500))</f>
        <v/>
      </c>
      <c r="AC1500" s="40" t="str">
        <f aca="false">IF($B1500="","",IF(AND(OR(CETAK!$J$10="",$F1500=CETAK!$J$10),OR(CETAK!$J$11="",$G1500=CETAK!$J$11),OR(CETAK!$J$12="",$P1500=CETAK!$J$12),OR(CETAK!$J$13="",$N1500=CETAK!$J$13),OR(CETAK!$J$14="",$T1500=CETAK!$J$14)),MAX($AC$3:AC1499)+1,""))</f>
        <v/>
      </c>
      <c r="AD1500" s="40" t="str">
        <f aca="false">IF($B1500="","",IF(AND(OR(ABSENSI!$H$10="",$F1500=ABSENSI!$H$10),OR(ABSENSI!$H$11="",$G1500=ABSENSI!$H$11),OR(ABSENSI!$H$12="",$P1500=ABSENSI!$H$12)),MAX($AD$3:AD1499)+1,""))</f>
        <v/>
      </c>
      <c r="AE1500" s="40" t="str">
        <f aca="false">IF($B1500="","",IF(AND(OR(KARTU!$K$6="",$F1500=KARTU!$K$6),OR(KARTU!$K$7="",$G1500=KARTU!$K$7),OR(KARTU!$K$8="",$P1500=KARTU!$K$8)),MAX($AE$3:AE1499)+1,""))</f>
        <v/>
      </c>
    </row>
    <row r="1501" customFormat="false" ht="15" hidden="false" customHeight="false" outlineLevel="0" collapsed="false">
      <c r="A1501" s="35" t="str">
        <f aca="false">IF($B1501="","",COUNTA($B$4:$B1501))</f>
        <v/>
      </c>
      <c r="B1501" s="36"/>
      <c r="C1501" s="37"/>
      <c r="D1501" s="37"/>
      <c r="E1501" s="38"/>
      <c r="F1501" s="36"/>
      <c r="G1501" s="39"/>
      <c r="H1501" s="39"/>
      <c r="I1501" s="36"/>
      <c r="J1501" s="36"/>
      <c r="K1501" s="36"/>
      <c r="L1501" s="36"/>
      <c r="M1501" s="40" t="str">
        <f aca="false">IF($F1501="","",$F1501&amp;IF($G1501="",""," - RT "&amp;$G1501&amp;IF($H1501="","","/"&amp;$H1501)))</f>
        <v/>
      </c>
      <c r="N1501" s="36"/>
      <c r="O1501" s="37"/>
      <c r="P1501" s="39"/>
      <c r="Q1501" s="41"/>
      <c r="R1501" s="35" t="str">
        <f aca="true">IF(OR($B1501="",$Q1501=""),"",DATEDIF($Q1501,TODAY(),"Y"))</f>
        <v/>
      </c>
      <c r="S1501" s="40" t="str">
        <f aca="false">IF($R1501="","",INDEX(usia_label,MATCH($R1501,usia_min,1)))</f>
        <v/>
      </c>
      <c r="T1501" s="36"/>
      <c r="U1501" s="41"/>
      <c r="V1501" s="36"/>
      <c r="W1501" s="36"/>
      <c r="X1501" s="40" t="str">
        <f aca="false">IF($M1501="","",$M1501&amp;"#"&amp;COUNTIF($M$4:$M1501,$M1501))</f>
        <v/>
      </c>
      <c r="Y1501" s="40" t="str">
        <f aca="false">IF($B1501="","",IF($C1501="","NIK kosong",IF(LEN($C1501)&lt;&gt;16,"NIK bukan 16 digit",IF(COUNTIF($C$4:$C$2003,$C1501&amp;"*")&gt;1,"NIK ganda",IF(AND($D1501&lt;&gt;"",LEN($D1501)&lt;&gt;16),"No. KK bukan 16 digit",IF(AND($F1501="",$I1501=""),"Alamat kosong",IF($N1501="","Jabatan kosong",IF($O1501="","No. HP kosong",IF(AND($R1501&lt;&gt;"",$R1501&lt;17),"Usia di bawah 17","")))))))))</f>
        <v/>
      </c>
      <c r="Z1501" s="40" t="str">
        <f aca="false">IF($B1501="","",IF(AND(OR(CARI!$C$5="",ISNUMBER(SEARCH(CARI!$C$5,$B1501&amp;" "&amp;$C1501&amp;" "&amp;$D1501&amp;" "&amp;$O1501&amp;" "&amp;$I1501&amp;" "&amp;$F1501&amp;" "&amp;$J1501&amp;" "&amp;$K1501&amp;" "&amp;$L1501&amp;" "&amp;$V1501))),OR(CARI!$C$6="",$F1501=CARI!$C$6),OR(CARI!$C$7="",$G1501=CARI!$C$7),OR(CARI!$C$8="",$T1501=CARI!$C$8)),MAX($Z$3:Z1500)+1,""))</f>
        <v/>
      </c>
      <c r="AA1501" s="40" t="str">
        <f aca="false">IF($Y1501="","",MAX($AA$3:AA1500)+1)</f>
        <v/>
      </c>
      <c r="AB1501" s="40" t="str">
        <f aca="false">IF($F1501="","",$F1501&amp;"#"&amp;COUNTIF($F$4:$F1501,$F1501))</f>
        <v/>
      </c>
      <c r="AC1501" s="40" t="str">
        <f aca="false">IF($B1501="","",IF(AND(OR(CETAK!$J$10="",$F1501=CETAK!$J$10),OR(CETAK!$J$11="",$G1501=CETAK!$J$11),OR(CETAK!$J$12="",$P1501=CETAK!$J$12),OR(CETAK!$J$13="",$N1501=CETAK!$J$13),OR(CETAK!$J$14="",$T1501=CETAK!$J$14)),MAX($AC$3:AC1500)+1,""))</f>
        <v/>
      </c>
      <c r="AD1501" s="40" t="str">
        <f aca="false">IF($B1501="","",IF(AND(OR(ABSENSI!$H$10="",$F1501=ABSENSI!$H$10),OR(ABSENSI!$H$11="",$G1501=ABSENSI!$H$11),OR(ABSENSI!$H$12="",$P1501=ABSENSI!$H$12)),MAX($AD$3:AD1500)+1,""))</f>
        <v/>
      </c>
      <c r="AE1501" s="40" t="str">
        <f aca="false">IF($B1501="","",IF(AND(OR(KARTU!$K$6="",$F1501=KARTU!$K$6),OR(KARTU!$K$7="",$G1501=KARTU!$K$7),OR(KARTU!$K$8="",$P1501=KARTU!$K$8)),MAX($AE$3:AE1500)+1,""))</f>
        <v/>
      </c>
    </row>
    <row r="1502" customFormat="false" ht="15" hidden="false" customHeight="false" outlineLevel="0" collapsed="false">
      <c r="A1502" s="35" t="str">
        <f aca="false">IF($B1502="","",COUNTA($B$4:$B1502))</f>
        <v/>
      </c>
      <c r="B1502" s="36"/>
      <c r="C1502" s="37"/>
      <c r="D1502" s="37"/>
      <c r="E1502" s="38"/>
      <c r="F1502" s="36"/>
      <c r="G1502" s="39"/>
      <c r="H1502" s="39"/>
      <c r="I1502" s="36"/>
      <c r="J1502" s="36"/>
      <c r="K1502" s="36"/>
      <c r="L1502" s="36"/>
      <c r="M1502" s="40" t="str">
        <f aca="false">IF($F1502="","",$F1502&amp;IF($G1502="",""," - RT "&amp;$G1502&amp;IF($H1502="","","/"&amp;$H1502)))</f>
        <v/>
      </c>
      <c r="N1502" s="36"/>
      <c r="O1502" s="37"/>
      <c r="P1502" s="39"/>
      <c r="Q1502" s="41"/>
      <c r="R1502" s="35" t="str">
        <f aca="true">IF(OR($B1502="",$Q1502=""),"",DATEDIF($Q1502,TODAY(),"Y"))</f>
        <v/>
      </c>
      <c r="S1502" s="40" t="str">
        <f aca="false">IF($R1502="","",INDEX(usia_label,MATCH($R1502,usia_min,1)))</f>
        <v/>
      </c>
      <c r="T1502" s="36"/>
      <c r="U1502" s="41"/>
      <c r="V1502" s="36"/>
      <c r="W1502" s="36"/>
      <c r="X1502" s="40" t="str">
        <f aca="false">IF($M1502="","",$M1502&amp;"#"&amp;COUNTIF($M$4:$M1502,$M1502))</f>
        <v/>
      </c>
      <c r="Y1502" s="40" t="str">
        <f aca="false">IF($B1502="","",IF($C1502="","NIK kosong",IF(LEN($C1502)&lt;&gt;16,"NIK bukan 16 digit",IF(COUNTIF($C$4:$C$2003,$C1502&amp;"*")&gt;1,"NIK ganda",IF(AND($D1502&lt;&gt;"",LEN($D1502)&lt;&gt;16),"No. KK bukan 16 digit",IF(AND($F1502="",$I1502=""),"Alamat kosong",IF($N1502="","Jabatan kosong",IF($O1502="","No. HP kosong",IF(AND($R1502&lt;&gt;"",$R1502&lt;17),"Usia di bawah 17","")))))))))</f>
        <v/>
      </c>
      <c r="Z1502" s="40" t="str">
        <f aca="false">IF($B1502="","",IF(AND(OR(CARI!$C$5="",ISNUMBER(SEARCH(CARI!$C$5,$B1502&amp;" "&amp;$C1502&amp;" "&amp;$D1502&amp;" "&amp;$O1502&amp;" "&amp;$I1502&amp;" "&amp;$F1502&amp;" "&amp;$J1502&amp;" "&amp;$K1502&amp;" "&amp;$L1502&amp;" "&amp;$V1502))),OR(CARI!$C$6="",$F1502=CARI!$C$6),OR(CARI!$C$7="",$G1502=CARI!$C$7),OR(CARI!$C$8="",$T1502=CARI!$C$8)),MAX($Z$3:Z1501)+1,""))</f>
        <v/>
      </c>
      <c r="AA1502" s="40" t="str">
        <f aca="false">IF($Y1502="","",MAX($AA$3:AA1501)+1)</f>
        <v/>
      </c>
      <c r="AB1502" s="40" t="str">
        <f aca="false">IF($F1502="","",$F1502&amp;"#"&amp;COUNTIF($F$4:$F1502,$F1502))</f>
        <v/>
      </c>
      <c r="AC1502" s="40" t="str">
        <f aca="false">IF($B1502="","",IF(AND(OR(CETAK!$J$10="",$F1502=CETAK!$J$10),OR(CETAK!$J$11="",$G1502=CETAK!$J$11),OR(CETAK!$J$12="",$P1502=CETAK!$J$12),OR(CETAK!$J$13="",$N1502=CETAK!$J$13),OR(CETAK!$J$14="",$T1502=CETAK!$J$14)),MAX($AC$3:AC1501)+1,""))</f>
        <v/>
      </c>
      <c r="AD1502" s="40" t="str">
        <f aca="false">IF($B1502="","",IF(AND(OR(ABSENSI!$H$10="",$F1502=ABSENSI!$H$10),OR(ABSENSI!$H$11="",$G1502=ABSENSI!$H$11),OR(ABSENSI!$H$12="",$P1502=ABSENSI!$H$12)),MAX($AD$3:AD1501)+1,""))</f>
        <v/>
      </c>
      <c r="AE1502" s="40" t="str">
        <f aca="false">IF($B1502="","",IF(AND(OR(KARTU!$K$6="",$F1502=KARTU!$K$6),OR(KARTU!$K$7="",$G1502=KARTU!$K$7),OR(KARTU!$K$8="",$P1502=KARTU!$K$8)),MAX($AE$3:AE1501)+1,""))</f>
        <v/>
      </c>
    </row>
    <row r="1503" customFormat="false" ht="15" hidden="false" customHeight="false" outlineLevel="0" collapsed="false">
      <c r="A1503" s="35" t="str">
        <f aca="false">IF($B1503="","",COUNTA($B$4:$B1503))</f>
        <v/>
      </c>
      <c r="B1503" s="36"/>
      <c r="C1503" s="37"/>
      <c r="D1503" s="37"/>
      <c r="E1503" s="38"/>
      <c r="F1503" s="36"/>
      <c r="G1503" s="39"/>
      <c r="H1503" s="39"/>
      <c r="I1503" s="36"/>
      <c r="J1503" s="36"/>
      <c r="K1503" s="36"/>
      <c r="L1503" s="36"/>
      <c r="M1503" s="40" t="str">
        <f aca="false">IF($F1503="","",$F1503&amp;IF($G1503="",""," - RT "&amp;$G1503&amp;IF($H1503="","","/"&amp;$H1503)))</f>
        <v/>
      </c>
      <c r="N1503" s="36"/>
      <c r="O1503" s="37"/>
      <c r="P1503" s="39"/>
      <c r="Q1503" s="41"/>
      <c r="R1503" s="35" t="str">
        <f aca="true">IF(OR($B1503="",$Q1503=""),"",DATEDIF($Q1503,TODAY(),"Y"))</f>
        <v/>
      </c>
      <c r="S1503" s="40" t="str">
        <f aca="false">IF($R1503="","",INDEX(usia_label,MATCH($R1503,usia_min,1)))</f>
        <v/>
      </c>
      <c r="T1503" s="36"/>
      <c r="U1503" s="41"/>
      <c r="V1503" s="36"/>
      <c r="W1503" s="36"/>
      <c r="X1503" s="40" t="str">
        <f aca="false">IF($M1503="","",$M1503&amp;"#"&amp;COUNTIF($M$4:$M1503,$M1503))</f>
        <v/>
      </c>
      <c r="Y1503" s="40" t="str">
        <f aca="false">IF($B1503="","",IF($C1503="","NIK kosong",IF(LEN($C1503)&lt;&gt;16,"NIK bukan 16 digit",IF(COUNTIF($C$4:$C$2003,$C1503&amp;"*")&gt;1,"NIK ganda",IF(AND($D1503&lt;&gt;"",LEN($D1503)&lt;&gt;16),"No. KK bukan 16 digit",IF(AND($F1503="",$I1503=""),"Alamat kosong",IF($N1503="","Jabatan kosong",IF($O1503="","No. HP kosong",IF(AND($R1503&lt;&gt;"",$R1503&lt;17),"Usia di bawah 17","")))))))))</f>
        <v/>
      </c>
      <c r="Z1503" s="40" t="str">
        <f aca="false">IF($B1503="","",IF(AND(OR(CARI!$C$5="",ISNUMBER(SEARCH(CARI!$C$5,$B1503&amp;" "&amp;$C1503&amp;" "&amp;$D1503&amp;" "&amp;$O1503&amp;" "&amp;$I1503&amp;" "&amp;$F1503&amp;" "&amp;$J1503&amp;" "&amp;$K1503&amp;" "&amp;$L1503&amp;" "&amp;$V1503))),OR(CARI!$C$6="",$F1503=CARI!$C$6),OR(CARI!$C$7="",$G1503=CARI!$C$7),OR(CARI!$C$8="",$T1503=CARI!$C$8)),MAX($Z$3:Z1502)+1,""))</f>
        <v/>
      </c>
      <c r="AA1503" s="40" t="str">
        <f aca="false">IF($Y1503="","",MAX($AA$3:AA1502)+1)</f>
        <v/>
      </c>
      <c r="AB1503" s="40" t="str">
        <f aca="false">IF($F1503="","",$F1503&amp;"#"&amp;COUNTIF($F$4:$F1503,$F1503))</f>
        <v/>
      </c>
      <c r="AC1503" s="40" t="str">
        <f aca="false">IF($B1503="","",IF(AND(OR(CETAK!$J$10="",$F1503=CETAK!$J$10),OR(CETAK!$J$11="",$G1503=CETAK!$J$11),OR(CETAK!$J$12="",$P1503=CETAK!$J$12),OR(CETAK!$J$13="",$N1503=CETAK!$J$13),OR(CETAK!$J$14="",$T1503=CETAK!$J$14)),MAX($AC$3:AC1502)+1,""))</f>
        <v/>
      </c>
      <c r="AD1503" s="40" t="str">
        <f aca="false">IF($B1503="","",IF(AND(OR(ABSENSI!$H$10="",$F1503=ABSENSI!$H$10),OR(ABSENSI!$H$11="",$G1503=ABSENSI!$H$11),OR(ABSENSI!$H$12="",$P1503=ABSENSI!$H$12)),MAX($AD$3:AD1502)+1,""))</f>
        <v/>
      </c>
      <c r="AE1503" s="40" t="str">
        <f aca="false">IF($B1503="","",IF(AND(OR(KARTU!$K$6="",$F1503=KARTU!$K$6),OR(KARTU!$K$7="",$G1503=KARTU!$K$7),OR(KARTU!$K$8="",$P1503=KARTU!$K$8)),MAX($AE$3:AE1502)+1,""))</f>
        <v/>
      </c>
    </row>
    <row r="1504" customFormat="false" ht="15" hidden="false" customHeight="false" outlineLevel="0" collapsed="false">
      <c r="A1504" s="35" t="str">
        <f aca="false">IF($B1504="","",COUNTA($B$4:$B1504))</f>
        <v/>
      </c>
      <c r="B1504" s="36"/>
      <c r="C1504" s="37"/>
      <c r="D1504" s="37"/>
      <c r="E1504" s="38"/>
      <c r="F1504" s="36"/>
      <c r="G1504" s="39"/>
      <c r="H1504" s="39"/>
      <c r="I1504" s="36"/>
      <c r="J1504" s="36"/>
      <c r="K1504" s="36"/>
      <c r="L1504" s="36"/>
      <c r="M1504" s="40" t="str">
        <f aca="false">IF($F1504="","",$F1504&amp;IF($G1504="",""," - RT "&amp;$G1504&amp;IF($H1504="","","/"&amp;$H1504)))</f>
        <v/>
      </c>
      <c r="N1504" s="36"/>
      <c r="O1504" s="37"/>
      <c r="P1504" s="39"/>
      <c r="Q1504" s="41"/>
      <c r="R1504" s="35" t="str">
        <f aca="true">IF(OR($B1504="",$Q1504=""),"",DATEDIF($Q1504,TODAY(),"Y"))</f>
        <v/>
      </c>
      <c r="S1504" s="40" t="str">
        <f aca="false">IF($R1504="","",INDEX(usia_label,MATCH($R1504,usia_min,1)))</f>
        <v/>
      </c>
      <c r="T1504" s="36"/>
      <c r="U1504" s="41"/>
      <c r="V1504" s="36"/>
      <c r="W1504" s="36"/>
      <c r="X1504" s="40" t="str">
        <f aca="false">IF($M1504="","",$M1504&amp;"#"&amp;COUNTIF($M$4:$M1504,$M1504))</f>
        <v/>
      </c>
      <c r="Y1504" s="40" t="str">
        <f aca="false">IF($B1504="","",IF($C1504="","NIK kosong",IF(LEN($C1504)&lt;&gt;16,"NIK bukan 16 digit",IF(COUNTIF($C$4:$C$2003,$C1504&amp;"*")&gt;1,"NIK ganda",IF(AND($D1504&lt;&gt;"",LEN($D1504)&lt;&gt;16),"No. KK bukan 16 digit",IF(AND($F1504="",$I1504=""),"Alamat kosong",IF($N1504="","Jabatan kosong",IF($O1504="","No. HP kosong",IF(AND($R1504&lt;&gt;"",$R1504&lt;17),"Usia di bawah 17","")))))))))</f>
        <v/>
      </c>
      <c r="Z1504" s="40" t="str">
        <f aca="false">IF($B1504="","",IF(AND(OR(CARI!$C$5="",ISNUMBER(SEARCH(CARI!$C$5,$B1504&amp;" "&amp;$C1504&amp;" "&amp;$D1504&amp;" "&amp;$O1504&amp;" "&amp;$I1504&amp;" "&amp;$F1504&amp;" "&amp;$J1504&amp;" "&amp;$K1504&amp;" "&amp;$L1504&amp;" "&amp;$V1504))),OR(CARI!$C$6="",$F1504=CARI!$C$6),OR(CARI!$C$7="",$G1504=CARI!$C$7),OR(CARI!$C$8="",$T1504=CARI!$C$8)),MAX($Z$3:Z1503)+1,""))</f>
        <v/>
      </c>
      <c r="AA1504" s="40" t="str">
        <f aca="false">IF($Y1504="","",MAX($AA$3:AA1503)+1)</f>
        <v/>
      </c>
      <c r="AB1504" s="40" t="str">
        <f aca="false">IF($F1504="","",$F1504&amp;"#"&amp;COUNTIF($F$4:$F1504,$F1504))</f>
        <v/>
      </c>
      <c r="AC1504" s="40" t="str">
        <f aca="false">IF($B1504="","",IF(AND(OR(CETAK!$J$10="",$F1504=CETAK!$J$10),OR(CETAK!$J$11="",$G1504=CETAK!$J$11),OR(CETAK!$J$12="",$P1504=CETAK!$J$12),OR(CETAK!$J$13="",$N1504=CETAK!$J$13),OR(CETAK!$J$14="",$T1504=CETAK!$J$14)),MAX($AC$3:AC1503)+1,""))</f>
        <v/>
      </c>
      <c r="AD1504" s="40" t="str">
        <f aca="false">IF($B1504="","",IF(AND(OR(ABSENSI!$H$10="",$F1504=ABSENSI!$H$10),OR(ABSENSI!$H$11="",$G1504=ABSENSI!$H$11),OR(ABSENSI!$H$12="",$P1504=ABSENSI!$H$12)),MAX($AD$3:AD1503)+1,""))</f>
        <v/>
      </c>
      <c r="AE1504" s="40" t="str">
        <f aca="false">IF($B1504="","",IF(AND(OR(KARTU!$K$6="",$F1504=KARTU!$K$6),OR(KARTU!$K$7="",$G1504=KARTU!$K$7),OR(KARTU!$K$8="",$P1504=KARTU!$K$8)),MAX($AE$3:AE1503)+1,""))</f>
        <v/>
      </c>
    </row>
    <row r="1505" customFormat="false" ht="15" hidden="false" customHeight="false" outlineLevel="0" collapsed="false">
      <c r="A1505" s="35" t="str">
        <f aca="false">IF($B1505="","",COUNTA($B$4:$B1505))</f>
        <v/>
      </c>
      <c r="B1505" s="36"/>
      <c r="C1505" s="37"/>
      <c r="D1505" s="37"/>
      <c r="E1505" s="38"/>
      <c r="F1505" s="36"/>
      <c r="G1505" s="39"/>
      <c r="H1505" s="39"/>
      <c r="I1505" s="36"/>
      <c r="J1505" s="36"/>
      <c r="K1505" s="36"/>
      <c r="L1505" s="36"/>
      <c r="M1505" s="40" t="str">
        <f aca="false">IF($F1505="","",$F1505&amp;IF($G1505="",""," - RT "&amp;$G1505&amp;IF($H1505="","","/"&amp;$H1505)))</f>
        <v/>
      </c>
      <c r="N1505" s="36"/>
      <c r="O1505" s="37"/>
      <c r="P1505" s="39"/>
      <c r="Q1505" s="41"/>
      <c r="R1505" s="35" t="str">
        <f aca="true">IF(OR($B1505="",$Q1505=""),"",DATEDIF($Q1505,TODAY(),"Y"))</f>
        <v/>
      </c>
      <c r="S1505" s="40" t="str">
        <f aca="false">IF($R1505="","",INDEX(usia_label,MATCH($R1505,usia_min,1)))</f>
        <v/>
      </c>
      <c r="T1505" s="36"/>
      <c r="U1505" s="41"/>
      <c r="V1505" s="36"/>
      <c r="W1505" s="36"/>
      <c r="X1505" s="40" t="str">
        <f aca="false">IF($M1505="","",$M1505&amp;"#"&amp;COUNTIF($M$4:$M1505,$M1505))</f>
        <v/>
      </c>
      <c r="Y1505" s="40" t="str">
        <f aca="false">IF($B1505="","",IF($C1505="","NIK kosong",IF(LEN($C1505)&lt;&gt;16,"NIK bukan 16 digit",IF(COUNTIF($C$4:$C$2003,$C1505&amp;"*")&gt;1,"NIK ganda",IF(AND($D1505&lt;&gt;"",LEN($D1505)&lt;&gt;16),"No. KK bukan 16 digit",IF(AND($F1505="",$I1505=""),"Alamat kosong",IF($N1505="","Jabatan kosong",IF($O1505="","No. HP kosong",IF(AND($R1505&lt;&gt;"",$R1505&lt;17),"Usia di bawah 17","")))))))))</f>
        <v/>
      </c>
      <c r="Z1505" s="40" t="str">
        <f aca="false">IF($B1505="","",IF(AND(OR(CARI!$C$5="",ISNUMBER(SEARCH(CARI!$C$5,$B1505&amp;" "&amp;$C1505&amp;" "&amp;$D1505&amp;" "&amp;$O1505&amp;" "&amp;$I1505&amp;" "&amp;$F1505&amp;" "&amp;$J1505&amp;" "&amp;$K1505&amp;" "&amp;$L1505&amp;" "&amp;$V1505))),OR(CARI!$C$6="",$F1505=CARI!$C$6),OR(CARI!$C$7="",$G1505=CARI!$C$7),OR(CARI!$C$8="",$T1505=CARI!$C$8)),MAX($Z$3:Z1504)+1,""))</f>
        <v/>
      </c>
      <c r="AA1505" s="40" t="str">
        <f aca="false">IF($Y1505="","",MAX($AA$3:AA1504)+1)</f>
        <v/>
      </c>
      <c r="AB1505" s="40" t="str">
        <f aca="false">IF($F1505="","",$F1505&amp;"#"&amp;COUNTIF($F$4:$F1505,$F1505))</f>
        <v/>
      </c>
      <c r="AC1505" s="40" t="str">
        <f aca="false">IF($B1505="","",IF(AND(OR(CETAK!$J$10="",$F1505=CETAK!$J$10),OR(CETAK!$J$11="",$G1505=CETAK!$J$11),OR(CETAK!$J$12="",$P1505=CETAK!$J$12),OR(CETAK!$J$13="",$N1505=CETAK!$J$13),OR(CETAK!$J$14="",$T1505=CETAK!$J$14)),MAX($AC$3:AC1504)+1,""))</f>
        <v/>
      </c>
      <c r="AD1505" s="40" t="str">
        <f aca="false">IF($B1505="","",IF(AND(OR(ABSENSI!$H$10="",$F1505=ABSENSI!$H$10),OR(ABSENSI!$H$11="",$G1505=ABSENSI!$H$11),OR(ABSENSI!$H$12="",$P1505=ABSENSI!$H$12)),MAX($AD$3:AD1504)+1,""))</f>
        <v/>
      </c>
      <c r="AE1505" s="40" t="str">
        <f aca="false">IF($B1505="","",IF(AND(OR(KARTU!$K$6="",$F1505=KARTU!$K$6),OR(KARTU!$K$7="",$G1505=KARTU!$K$7),OR(KARTU!$K$8="",$P1505=KARTU!$K$8)),MAX($AE$3:AE1504)+1,""))</f>
        <v/>
      </c>
    </row>
    <row r="1506" customFormat="false" ht="15" hidden="false" customHeight="false" outlineLevel="0" collapsed="false">
      <c r="A1506" s="35" t="str">
        <f aca="false">IF($B1506="","",COUNTA($B$4:$B1506))</f>
        <v/>
      </c>
      <c r="B1506" s="36"/>
      <c r="C1506" s="37"/>
      <c r="D1506" s="37"/>
      <c r="E1506" s="38"/>
      <c r="F1506" s="36"/>
      <c r="G1506" s="39"/>
      <c r="H1506" s="39"/>
      <c r="I1506" s="36"/>
      <c r="J1506" s="36"/>
      <c r="K1506" s="36"/>
      <c r="L1506" s="36"/>
      <c r="M1506" s="40" t="str">
        <f aca="false">IF($F1506="","",$F1506&amp;IF($G1506="",""," - RT "&amp;$G1506&amp;IF($H1506="","","/"&amp;$H1506)))</f>
        <v/>
      </c>
      <c r="N1506" s="36"/>
      <c r="O1506" s="37"/>
      <c r="P1506" s="39"/>
      <c r="Q1506" s="41"/>
      <c r="R1506" s="35" t="str">
        <f aca="true">IF(OR($B1506="",$Q1506=""),"",DATEDIF($Q1506,TODAY(),"Y"))</f>
        <v/>
      </c>
      <c r="S1506" s="40" t="str">
        <f aca="false">IF($R1506="","",INDEX(usia_label,MATCH($R1506,usia_min,1)))</f>
        <v/>
      </c>
      <c r="T1506" s="36"/>
      <c r="U1506" s="41"/>
      <c r="V1506" s="36"/>
      <c r="W1506" s="36"/>
      <c r="X1506" s="40" t="str">
        <f aca="false">IF($M1506="","",$M1506&amp;"#"&amp;COUNTIF($M$4:$M1506,$M1506))</f>
        <v/>
      </c>
      <c r="Y1506" s="40" t="str">
        <f aca="false">IF($B1506="","",IF($C1506="","NIK kosong",IF(LEN($C1506)&lt;&gt;16,"NIK bukan 16 digit",IF(COUNTIF($C$4:$C$2003,$C1506&amp;"*")&gt;1,"NIK ganda",IF(AND($D1506&lt;&gt;"",LEN($D1506)&lt;&gt;16),"No. KK bukan 16 digit",IF(AND($F1506="",$I1506=""),"Alamat kosong",IF($N1506="","Jabatan kosong",IF($O1506="","No. HP kosong",IF(AND($R1506&lt;&gt;"",$R1506&lt;17),"Usia di bawah 17","")))))))))</f>
        <v/>
      </c>
      <c r="Z1506" s="40" t="str">
        <f aca="false">IF($B1506="","",IF(AND(OR(CARI!$C$5="",ISNUMBER(SEARCH(CARI!$C$5,$B1506&amp;" "&amp;$C1506&amp;" "&amp;$D1506&amp;" "&amp;$O1506&amp;" "&amp;$I1506&amp;" "&amp;$F1506&amp;" "&amp;$J1506&amp;" "&amp;$K1506&amp;" "&amp;$L1506&amp;" "&amp;$V1506))),OR(CARI!$C$6="",$F1506=CARI!$C$6),OR(CARI!$C$7="",$G1506=CARI!$C$7),OR(CARI!$C$8="",$T1506=CARI!$C$8)),MAX($Z$3:Z1505)+1,""))</f>
        <v/>
      </c>
      <c r="AA1506" s="40" t="str">
        <f aca="false">IF($Y1506="","",MAX($AA$3:AA1505)+1)</f>
        <v/>
      </c>
      <c r="AB1506" s="40" t="str">
        <f aca="false">IF($F1506="","",$F1506&amp;"#"&amp;COUNTIF($F$4:$F1506,$F1506))</f>
        <v/>
      </c>
      <c r="AC1506" s="40" t="str">
        <f aca="false">IF($B1506="","",IF(AND(OR(CETAK!$J$10="",$F1506=CETAK!$J$10),OR(CETAK!$J$11="",$G1506=CETAK!$J$11),OR(CETAK!$J$12="",$P1506=CETAK!$J$12),OR(CETAK!$J$13="",$N1506=CETAK!$J$13),OR(CETAK!$J$14="",$T1506=CETAK!$J$14)),MAX($AC$3:AC1505)+1,""))</f>
        <v/>
      </c>
      <c r="AD1506" s="40" t="str">
        <f aca="false">IF($B1506="","",IF(AND(OR(ABSENSI!$H$10="",$F1506=ABSENSI!$H$10),OR(ABSENSI!$H$11="",$G1506=ABSENSI!$H$11),OR(ABSENSI!$H$12="",$P1506=ABSENSI!$H$12)),MAX($AD$3:AD1505)+1,""))</f>
        <v/>
      </c>
      <c r="AE1506" s="40" t="str">
        <f aca="false">IF($B1506="","",IF(AND(OR(KARTU!$K$6="",$F1506=KARTU!$K$6),OR(KARTU!$K$7="",$G1506=KARTU!$K$7),OR(KARTU!$K$8="",$P1506=KARTU!$K$8)),MAX($AE$3:AE1505)+1,""))</f>
        <v/>
      </c>
    </row>
    <row r="1507" customFormat="false" ht="15" hidden="false" customHeight="false" outlineLevel="0" collapsed="false">
      <c r="A1507" s="35" t="str">
        <f aca="false">IF($B1507="","",COUNTA($B$4:$B1507))</f>
        <v/>
      </c>
      <c r="B1507" s="36"/>
      <c r="C1507" s="37"/>
      <c r="D1507" s="37"/>
      <c r="E1507" s="38"/>
      <c r="F1507" s="36"/>
      <c r="G1507" s="39"/>
      <c r="H1507" s="39"/>
      <c r="I1507" s="36"/>
      <c r="J1507" s="36"/>
      <c r="K1507" s="36"/>
      <c r="L1507" s="36"/>
      <c r="M1507" s="40" t="str">
        <f aca="false">IF($F1507="","",$F1507&amp;IF($G1507="",""," - RT "&amp;$G1507&amp;IF($H1507="","","/"&amp;$H1507)))</f>
        <v/>
      </c>
      <c r="N1507" s="36"/>
      <c r="O1507" s="37"/>
      <c r="P1507" s="39"/>
      <c r="Q1507" s="41"/>
      <c r="R1507" s="35" t="str">
        <f aca="true">IF(OR($B1507="",$Q1507=""),"",DATEDIF($Q1507,TODAY(),"Y"))</f>
        <v/>
      </c>
      <c r="S1507" s="40" t="str">
        <f aca="false">IF($R1507="","",INDEX(usia_label,MATCH($R1507,usia_min,1)))</f>
        <v/>
      </c>
      <c r="T1507" s="36"/>
      <c r="U1507" s="41"/>
      <c r="V1507" s="36"/>
      <c r="W1507" s="36"/>
      <c r="X1507" s="40" t="str">
        <f aca="false">IF($M1507="","",$M1507&amp;"#"&amp;COUNTIF($M$4:$M1507,$M1507))</f>
        <v/>
      </c>
      <c r="Y1507" s="40" t="str">
        <f aca="false">IF($B1507="","",IF($C1507="","NIK kosong",IF(LEN($C1507)&lt;&gt;16,"NIK bukan 16 digit",IF(COUNTIF($C$4:$C$2003,$C1507&amp;"*")&gt;1,"NIK ganda",IF(AND($D1507&lt;&gt;"",LEN($D1507)&lt;&gt;16),"No. KK bukan 16 digit",IF(AND($F1507="",$I1507=""),"Alamat kosong",IF($N1507="","Jabatan kosong",IF($O1507="","No. HP kosong",IF(AND($R1507&lt;&gt;"",$R1507&lt;17),"Usia di bawah 17","")))))))))</f>
        <v/>
      </c>
      <c r="Z1507" s="40" t="str">
        <f aca="false">IF($B1507="","",IF(AND(OR(CARI!$C$5="",ISNUMBER(SEARCH(CARI!$C$5,$B1507&amp;" "&amp;$C1507&amp;" "&amp;$D1507&amp;" "&amp;$O1507&amp;" "&amp;$I1507&amp;" "&amp;$F1507&amp;" "&amp;$J1507&amp;" "&amp;$K1507&amp;" "&amp;$L1507&amp;" "&amp;$V1507))),OR(CARI!$C$6="",$F1507=CARI!$C$6),OR(CARI!$C$7="",$G1507=CARI!$C$7),OR(CARI!$C$8="",$T1507=CARI!$C$8)),MAX($Z$3:Z1506)+1,""))</f>
        <v/>
      </c>
      <c r="AA1507" s="40" t="str">
        <f aca="false">IF($Y1507="","",MAX($AA$3:AA1506)+1)</f>
        <v/>
      </c>
      <c r="AB1507" s="40" t="str">
        <f aca="false">IF($F1507="","",$F1507&amp;"#"&amp;COUNTIF($F$4:$F1507,$F1507))</f>
        <v/>
      </c>
      <c r="AC1507" s="40" t="str">
        <f aca="false">IF($B1507="","",IF(AND(OR(CETAK!$J$10="",$F1507=CETAK!$J$10),OR(CETAK!$J$11="",$G1507=CETAK!$J$11),OR(CETAK!$J$12="",$P1507=CETAK!$J$12),OR(CETAK!$J$13="",$N1507=CETAK!$J$13),OR(CETAK!$J$14="",$T1507=CETAK!$J$14)),MAX($AC$3:AC1506)+1,""))</f>
        <v/>
      </c>
      <c r="AD1507" s="40" t="str">
        <f aca="false">IF($B1507="","",IF(AND(OR(ABSENSI!$H$10="",$F1507=ABSENSI!$H$10),OR(ABSENSI!$H$11="",$G1507=ABSENSI!$H$11),OR(ABSENSI!$H$12="",$P1507=ABSENSI!$H$12)),MAX($AD$3:AD1506)+1,""))</f>
        <v/>
      </c>
      <c r="AE1507" s="40" t="str">
        <f aca="false">IF($B1507="","",IF(AND(OR(KARTU!$K$6="",$F1507=KARTU!$K$6),OR(KARTU!$K$7="",$G1507=KARTU!$K$7),OR(KARTU!$K$8="",$P1507=KARTU!$K$8)),MAX($AE$3:AE1506)+1,""))</f>
        <v/>
      </c>
    </row>
    <row r="1508" customFormat="false" ht="15" hidden="false" customHeight="false" outlineLevel="0" collapsed="false">
      <c r="A1508" s="35" t="str">
        <f aca="false">IF($B1508="","",COUNTA($B$4:$B1508))</f>
        <v/>
      </c>
      <c r="B1508" s="36"/>
      <c r="C1508" s="37"/>
      <c r="D1508" s="37"/>
      <c r="E1508" s="38"/>
      <c r="F1508" s="36"/>
      <c r="G1508" s="39"/>
      <c r="H1508" s="39"/>
      <c r="I1508" s="36"/>
      <c r="J1508" s="36"/>
      <c r="K1508" s="36"/>
      <c r="L1508" s="36"/>
      <c r="M1508" s="40" t="str">
        <f aca="false">IF($F1508="","",$F1508&amp;IF($G1508="",""," - RT "&amp;$G1508&amp;IF($H1508="","","/"&amp;$H1508)))</f>
        <v/>
      </c>
      <c r="N1508" s="36"/>
      <c r="O1508" s="37"/>
      <c r="P1508" s="39"/>
      <c r="Q1508" s="41"/>
      <c r="R1508" s="35" t="str">
        <f aca="true">IF(OR($B1508="",$Q1508=""),"",DATEDIF($Q1508,TODAY(),"Y"))</f>
        <v/>
      </c>
      <c r="S1508" s="40" t="str">
        <f aca="false">IF($R1508="","",INDEX(usia_label,MATCH($R1508,usia_min,1)))</f>
        <v/>
      </c>
      <c r="T1508" s="36"/>
      <c r="U1508" s="41"/>
      <c r="V1508" s="36"/>
      <c r="W1508" s="36"/>
      <c r="X1508" s="40" t="str">
        <f aca="false">IF($M1508="","",$M1508&amp;"#"&amp;COUNTIF($M$4:$M1508,$M1508))</f>
        <v/>
      </c>
      <c r="Y1508" s="40" t="str">
        <f aca="false">IF($B1508="","",IF($C1508="","NIK kosong",IF(LEN($C1508)&lt;&gt;16,"NIK bukan 16 digit",IF(COUNTIF($C$4:$C$2003,$C1508&amp;"*")&gt;1,"NIK ganda",IF(AND($D1508&lt;&gt;"",LEN($D1508)&lt;&gt;16),"No. KK bukan 16 digit",IF(AND($F1508="",$I1508=""),"Alamat kosong",IF($N1508="","Jabatan kosong",IF($O1508="","No. HP kosong",IF(AND($R1508&lt;&gt;"",$R1508&lt;17),"Usia di bawah 17","")))))))))</f>
        <v/>
      </c>
      <c r="Z1508" s="40" t="str">
        <f aca="false">IF($B1508="","",IF(AND(OR(CARI!$C$5="",ISNUMBER(SEARCH(CARI!$C$5,$B1508&amp;" "&amp;$C1508&amp;" "&amp;$D1508&amp;" "&amp;$O1508&amp;" "&amp;$I1508&amp;" "&amp;$F1508&amp;" "&amp;$J1508&amp;" "&amp;$K1508&amp;" "&amp;$L1508&amp;" "&amp;$V1508))),OR(CARI!$C$6="",$F1508=CARI!$C$6),OR(CARI!$C$7="",$G1508=CARI!$C$7),OR(CARI!$C$8="",$T1508=CARI!$C$8)),MAX($Z$3:Z1507)+1,""))</f>
        <v/>
      </c>
      <c r="AA1508" s="40" t="str">
        <f aca="false">IF($Y1508="","",MAX($AA$3:AA1507)+1)</f>
        <v/>
      </c>
      <c r="AB1508" s="40" t="str">
        <f aca="false">IF($F1508="","",$F1508&amp;"#"&amp;COUNTIF($F$4:$F1508,$F1508))</f>
        <v/>
      </c>
      <c r="AC1508" s="40" t="str">
        <f aca="false">IF($B1508="","",IF(AND(OR(CETAK!$J$10="",$F1508=CETAK!$J$10),OR(CETAK!$J$11="",$G1508=CETAK!$J$11),OR(CETAK!$J$12="",$P1508=CETAK!$J$12),OR(CETAK!$J$13="",$N1508=CETAK!$J$13),OR(CETAK!$J$14="",$T1508=CETAK!$J$14)),MAX($AC$3:AC1507)+1,""))</f>
        <v/>
      </c>
      <c r="AD1508" s="40" t="str">
        <f aca="false">IF($B1508="","",IF(AND(OR(ABSENSI!$H$10="",$F1508=ABSENSI!$H$10),OR(ABSENSI!$H$11="",$G1508=ABSENSI!$H$11),OR(ABSENSI!$H$12="",$P1508=ABSENSI!$H$12)),MAX($AD$3:AD1507)+1,""))</f>
        <v/>
      </c>
      <c r="AE1508" s="40" t="str">
        <f aca="false">IF($B1508="","",IF(AND(OR(KARTU!$K$6="",$F1508=KARTU!$K$6),OR(KARTU!$K$7="",$G1508=KARTU!$K$7),OR(KARTU!$K$8="",$P1508=KARTU!$K$8)),MAX($AE$3:AE1507)+1,""))</f>
        <v/>
      </c>
    </row>
    <row r="1509" customFormat="false" ht="15" hidden="false" customHeight="false" outlineLevel="0" collapsed="false">
      <c r="A1509" s="35" t="str">
        <f aca="false">IF($B1509="","",COUNTA($B$4:$B1509))</f>
        <v/>
      </c>
      <c r="B1509" s="36"/>
      <c r="C1509" s="37"/>
      <c r="D1509" s="37"/>
      <c r="E1509" s="38"/>
      <c r="F1509" s="36"/>
      <c r="G1509" s="39"/>
      <c r="H1509" s="39"/>
      <c r="I1509" s="36"/>
      <c r="J1509" s="36"/>
      <c r="K1509" s="36"/>
      <c r="L1509" s="36"/>
      <c r="M1509" s="40" t="str">
        <f aca="false">IF($F1509="","",$F1509&amp;IF($G1509="",""," - RT "&amp;$G1509&amp;IF($H1509="","","/"&amp;$H1509)))</f>
        <v/>
      </c>
      <c r="N1509" s="36"/>
      <c r="O1509" s="37"/>
      <c r="P1509" s="39"/>
      <c r="Q1509" s="41"/>
      <c r="R1509" s="35" t="str">
        <f aca="true">IF(OR($B1509="",$Q1509=""),"",DATEDIF($Q1509,TODAY(),"Y"))</f>
        <v/>
      </c>
      <c r="S1509" s="40" t="str">
        <f aca="false">IF($R1509="","",INDEX(usia_label,MATCH($R1509,usia_min,1)))</f>
        <v/>
      </c>
      <c r="T1509" s="36"/>
      <c r="U1509" s="41"/>
      <c r="V1509" s="36"/>
      <c r="W1509" s="36"/>
      <c r="X1509" s="40" t="str">
        <f aca="false">IF($M1509="","",$M1509&amp;"#"&amp;COUNTIF($M$4:$M1509,$M1509))</f>
        <v/>
      </c>
      <c r="Y1509" s="40" t="str">
        <f aca="false">IF($B1509="","",IF($C1509="","NIK kosong",IF(LEN($C1509)&lt;&gt;16,"NIK bukan 16 digit",IF(COUNTIF($C$4:$C$2003,$C1509&amp;"*")&gt;1,"NIK ganda",IF(AND($D1509&lt;&gt;"",LEN($D1509)&lt;&gt;16),"No. KK bukan 16 digit",IF(AND($F1509="",$I1509=""),"Alamat kosong",IF($N1509="","Jabatan kosong",IF($O1509="","No. HP kosong",IF(AND($R1509&lt;&gt;"",$R1509&lt;17),"Usia di bawah 17","")))))))))</f>
        <v/>
      </c>
      <c r="Z1509" s="40" t="str">
        <f aca="false">IF($B1509="","",IF(AND(OR(CARI!$C$5="",ISNUMBER(SEARCH(CARI!$C$5,$B1509&amp;" "&amp;$C1509&amp;" "&amp;$D1509&amp;" "&amp;$O1509&amp;" "&amp;$I1509&amp;" "&amp;$F1509&amp;" "&amp;$J1509&amp;" "&amp;$K1509&amp;" "&amp;$L1509&amp;" "&amp;$V1509))),OR(CARI!$C$6="",$F1509=CARI!$C$6),OR(CARI!$C$7="",$G1509=CARI!$C$7),OR(CARI!$C$8="",$T1509=CARI!$C$8)),MAX($Z$3:Z1508)+1,""))</f>
        <v/>
      </c>
      <c r="AA1509" s="40" t="str">
        <f aca="false">IF($Y1509="","",MAX($AA$3:AA1508)+1)</f>
        <v/>
      </c>
      <c r="AB1509" s="40" t="str">
        <f aca="false">IF($F1509="","",$F1509&amp;"#"&amp;COUNTIF($F$4:$F1509,$F1509))</f>
        <v/>
      </c>
      <c r="AC1509" s="40" t="str">
        <f aca="false">IF($B1509="","",IF(AND(OR(CETAK!$J$10="",$F1509=CETAK!$J$10),OR(CETAK!$J$11="",$G1509=CETAK!$J$11),OR(CETAK!$J$12="",$P1509=CETAK!$J$12),OR(CETAK!$J$13="",$N1509=CETAK!$J$13),OR(CETAK!$J$14="",$T1509=CETAK!$J$14)),MAX($AC$3:AC1508)+1,""))</f>
        <v/>
      </c>
      <c r="AD1509" s="40" t="str">
        <f aca="false">IF($B1509="","",IF(AND(OR(ABSENSI!$H$10="",$F1509=ABSENSI!$H$10),OR(ABSENSI!$H$11="",$G1509=ABSENSI!$H$11),OR(ABSENSI!$H$12="",$P1509=ABSENSI!$H$12)),MAX($AD$3:AD1508)+1,""))</f>
        <v/>
      </c>
      <c r="AE1509" s="40" t="str">
        <f aca="false">IF($B1509="","",IF(AND(OR(KARTU!$K$6="",$F1509=KARTU!$K$6),OR(KARTU!$K$7="",$G1509=KARTU!$K$7),OR(KARTU!$K$8="",$P1509=KARTU!$K$8)),MAX($AE$3:AE1508)+1,""))</f>
        <v/>
      </c>
    </row>
    <row r="1510" customFormat="false" ht="15" hidden="false" customHeight="false" outlineLevel="0" collapsed="false">
      <c r="A1510" s="35" t="str">
        <f aca="false">IF($B1510="","",COUNTA($B$4:$B1510))</f>
        <v/>
      </c>
      <c r="B1510" s="36"/>
      <c r="C1510" s="37"/>
      <c r="D1510" s="37"/>
      <c r="E1510" s="38"/>
      <c r="F1510" s="36"/>
      <c r="G1510" s="39"/>
      <c r="H1510" s="39"/>
      <c r="I1510" s="36"/>
      <c r="J1510" s="36"/>
      <c r="K1510" s="36"/>
      <c r="L1510" s="36"/>
      <c r="M1510" s="40" t="str">
        <f aca="false">IF($F1510="","",$F1510&amp;IF($G1510="",""," - RT "&amp;$G1510&amp;IF($H1510="","","/"&amp;$H1510)))</f>
        <v/>
      </c>
      <c r="N1510" s="36"/>
      <c r="O1510" s="37"/>
      <c r="P1510" s="39"/>
      <c r="Q1510" s="41"/>
      <c r="R1510" s="35" t="str">
        <f aca="true">IF(OR($B1510="",$Q1510=""),"",DATEDIF($Q1510,TODAY(),"Y"))</f>
        <v/>
      </c>
      <c r="S1510" s="40" t="str">
        <f aca="false">IF($R1510="","",INDEX(usia_label,MATCH($R1510,usia_min,1)))</f>
        <v/>
      </c>
      <c r="T1510" s="36"/>
      <c r="U1510" s="41"/>
      <c r="V1510" s="36"/>
      <c r="W1510" s="36"/>
      <c r="X1510" s="40" t="str">
        <f aca="false">IF($M1510="","",$M1510&amp;"#"&amp;COUNTIF($M$4:$M1510,$M1510))</f>
        <v/>
      </c>
      <c r="Y1510" s="40" t="str">
        <f aca="false">IF($B1510="","",IF($C1510="","NIK kosong",IF(LEN($C1510)&lt;&gt;16,"NIK bukan 16 digit",IF(COUNTIF($C$4:$C$2003,$C1510&amp;"*")&gt;1,"NIK ganda",IF(AND($D1510&lt;&gt;"",LEN($D1510)&lt;&gt;16),"No. KK bukan 16 digit",IF(AND($F1510="",$I1510=""),"Alamat kosong",IF($N1510="","Jabatan kosong",IF($O1510="","No. HP kosong",IF(AND($R1510&lt;&gt;"",$R1510&lt;17),"Usia di bawah 17","")))))))))</f>
        <v/>
      </c>
      <c r="Z1510" s="40" t="str">
        <f aca="false">IF($B1510="","",IF(AND(OR(CARI!$C$5="",ISNUMBER(SEARCH(CARI!$C$5,$B1510&amp;" "&amp;$C1510&amp;" "&amp;$D1510&amp;" "&amp;$O1510&amp;" "&amp;$I1510&amp;" "&amp;$F1510&amp;" "&amp;$J1510&amp;" "&amp;$K1510&amp;" "&amp;$L1510&amp;" "&amp;$V1510))),OR(CARI!$C$6="",$F1510=CARI!$C$6),OR(CARI!$C$7="",$G1510=CARI!$C$7),OR(CARI!$C$8="",$T1510=CARI!$C$8)),MAX($Z$3:Z1509)+1,""))</f>
        <v/>
      </c>
      <c r="AA1510" s="40" t="str">
        <f aca="false">IF($Y1510="","",MAX($AA$3:AA1509)+1)</f>
        <v/>
      </c>
      <c r="AB1510" s="40" t="str">
        <f aca="false">IF($F1510="","",$F1510&amp;"#"&amp;COUNTIF($F$4:$F1510,$F1510))</f>
        <v/>
      </c>
      <c r="AC1510" s="40" t="str">
        <f aca="false">IF($B1510="","",IF(AND(OR(CETAK!$J$10="",$F1510=CETAK!$J$10),OR(CETAK!$J$11="",$G1510=CETAK!$J$11),OR(CETAK!$J$12="",$P1510=CETAK!$J$12),OR(CETAK!$J$13="",$N1510=CETAK!$J$13),OR(CETAK!$J$14="",$T1510=CETAK!$J$14)),MAX($AC$3:AC1509)+1,""))</f>
        <v/>
      </c>
      <c r="AD1510" s="40" t="str">
        <f aca="false">IF($B1510="","",IF(AND(OR(ABSENSI!$H$10="",$F1510=ABSENSI!$H$10),OR(ABSENSI!$H$11="",$G1510=ABSENSI!$H$11),OR(ABSENSI!$H$12="",$P1510=ABSENSI!$H$12)),MAX($AD$3:AD1509)+1,""))</f>
        <v/>
      </c>
      <c r="AE1510" s="40" t="str">
        <f aca="false">IF($B1510="","",IF(AND(OR(KARTU!$K$6="",$F1510=KARTU!$K$6),OR(KARTU!$K$7="",$G1510=KARTU!$K$7),OR(KARTU!$K$8="",$P1510=KARTU!$K$8)),MAX($AE$3:AE1509)+1,""))</f>
        <v/>
      </c>
    </row>
    <row r="1511" customFormat="false" ht="15" hidden="false" customHeight="false" outlineLevel="0" collapsed="false">
      <c r="A1511" s="35" t="str">
        <f aca="false">IF($B1511="","",COUNTA($B$4:$B1511))</f>
        <v/>
      </c>
      <c r="B1511" s="36"/>
      <c r="C1511" s="37"/>
      <c r="D1511" s="37"/>
      <c r="E1511" s="38"/>
      <c r="F1511" s="36"/>
      <c r="G1511" s="39"/>
      <c r="H1511" s="39"/>
      <c r="I1511" s="36"/>
      <c r="J1511" s="36"/>
      <c r="K1511" s="36"/>
      <c r="L1511" s="36"/>
      <c r="M1511" s="40" t="str">
        <f aca="false">IF($F1511="","",$F1511&amp;IF($G1511="",""," - RT "&amp;$G1511&amp;IF($H1511="","","/"&amp;$H1511)))</f>
        <v/>
      </c>
      <c r="N1511" s="36"/>
      <c r="O1511" s="37"/>
      <c r="P1511" s="39"/>
      <c r="Q1511" s="41"/>
      <c r="R1511" s="35" t="str">
        <f aca="true">IF(OR($B1511="",$Q1511=""),"",DATEDIF($Q1511,TODAY(),"Y"))</f>
        <v/>
      </c>
      <c r="S1511" s="40" t="str">
        <f aca="false">IF($R1511="","",INDEX(usia_label,MATCH($R1511,usia_min,1)))</f>
        <v/>
      </c>
      <c r="T1511" s="36"/>
      <c r="U1511" s="41"/>
      <c r="V1511" s="36"/>
      <c r="W1511" s="36"/>
      <c r="X1511" s="40" t="str">
        <f aca="false">IF($M1511="","",$M1511&amp;"#"&amp;COUNTIF($M$4:$M1511,$M1511))</f>
        <v/>
      </c>
      <c r="Y1511" s="40" t="str">
        <f aca="false">IF($B1511="","",IF($C1511="","NIK kosong",IF(LEN($C1511)&lt;&gt;16,"NIK bukan 16 digit",IF(COUNTIF($C$4:$C$2003,$C1511&amp;"*")&gt;1,"NIK ganda",IF(AND($D1511&lt;&gt;"",LEN($D1511)&lt;&gt;16),"No. KK bukan 16 digit",IF(AND($F1511="",$I1511=""),"Alamat kosong",IF($N1511="","Jabatan kosong",IF($O1511="","No. HP kosong",IF(AND($R1511&lt;&gt;"",$R1511&lt;17),"Usia di bawah 17","")))))))))</f>
        <v/>
      </c>
      <c r="Z1511" s="40" t="str">
        <f aca="false">IF($B1511="","",IF(AND(OR(CARI!$C$5="",ISNUMBER(SEARCH(CARI!$C$5,$B1511&amp;" "&amp;$C1511&amp;" "&amp;$D1511&amp;" "&amp;$O1511&amp;" "&amp;$I1511&amp;" "&amp;$F1511&amp;" "&amp;$J1511&amp;" "&amp;$K1511&amp;" "&amp;$L1511&amp;" "&amp;$V1511))),OR(CARI!$C$6="",$F1511=CARI!$C$6),OR(CARI!$C$7="",$G1511=CARI!$C$7),OR(CARI!$C$8="",$T1511=CARI!$C$8)),MAX($Z$3:Z1510)+1,""))</f>
        <v/>
      </c>
      <c r="AA1511" s="40" t="str">
        <f aca="false">IF($Y1511="","",MAX($AA$3:AA1510)+1)</f>
        <v/>
      </c>
      <c r="AB1511" s="40" t="str">
        <f aca="false">IF($F1511="","",$F1511&amp;"#"&amp;COUNTIF($F$4:$F1511,$F1511))</f>
        <v/>
      </c>
      <c r="AC1511" s="40" t="str">
        <f aca="false">IF($B1511="","",IF(AND(OR(CETAK!$J$10="",$F1511=CETAK!$J$10),OR(CETAK!$J$11="",$G1511=CETAK!$J$11),OR(CETAK!$J$12="",$P1511=CETAK!$J$12),OR(CETAK!$J$13="",$N1511=CETAK!$J$13),OR(CETAK!$J$14="",$T1511=CETAK!$J$14)),MAX($AC$3:AC1510)+1,""))</f>
        <v/>
      </c>
      <c r="AD1511" s="40" t="str">
        <f aca="false">IF($B1511="","",IF(AND(OR(ABSENSI!$H$10="",$F1511=ABSENSI!$H$10),OR(ABSENSI!$H$11="",$G1511=ABSENSI!$H$11),OR(ABSENSI!$H$12="",$P1511=ABSENSI!$H$12)),MAX($AD$3:AD1510)+1,""))</f>
        <v/>
      </c>
      <c r="AE1511" s="40" t="str">
        <f aca="false">IF($B1511="","",IF(AND(OR(KARTU!$K$6="",$F1511=KARTU!$K$6),OR(KARTU!$K$7="",$G1511=KARTU!$K$7),OR(KARTU!$K$8="",$P1511=KARTU!$K$8)),MAX($AE$3:AE1510)+1,""))</f>
        <v/>
      </c>
    </row>
    <row r="1512" customFormat="false" ht="15" hidden="false" customHeight="false" outlineLevel="0" collapsed="false">
      <c r="A1512" s="35" t="str">
        <f aca="false">IF($B1512="","",COUNTA($B$4:$B1512))</f>
        <v/>
      </c>
      <c r="B1512" s="36"/>
      <c r="C1512" s="37"/>
      <c r="D1512" s="37"/>
      <c r="E1512" s="38"/>
      <c r="F1512" s="36"/>
      <c r="G1512" s="39"/>
      <c r="H1512" s="39"/>
      <c r="I1512" s="36"/>
      <c r="J1512" s="36"/>
      <c r="K1512" s="36"/>
      <c r="L1512" s="36"/>
      <c r="M1512" s="40" t="str">
        <f aca="false">IF($F1512="","",$F1512&amp;IF($G1512="",""," - RT "&amp;$G1512&amp;IF($H1512="","","/"&amp;$H1512)))</f>
        <v/>
      </c>
      <c r="N1512" s="36"/>
      <c r="O1512" s="37"/>
      <c r="P1512" s="39"/>
      <c r="Q1512" s="41"/>
      <c r="R1512" s="35" t="str">
        <f aca="true">IF(OR($B1512="",$Q1512=""),"",DATEDIF($Q1512,TODAY(),"Y"))</f>
        <v/>
      </c>
      <c r="S1512" s="40" t="str">
        <f aca="false">IF($R1512="","",INDEX(usia_label,MATCH($R1512,usia_min,1)))</f>
        <v/>
      </c>
      <c r="T1512" s="36"/>
      <c r="U1512" s="41"/>
      <c r="V1512" s="36"/>
      <c r="W1512" s="36"/>
      <c r="X1512" s="40" t="str">
        <f aca="false">IF($M1512="","",$M1512&amp;"#"&amp;COUNTIF($M$4:$M1512,$M1512))</f>
        <v/>
      </c>
      <c r="Y1512" s="40" t="str">
        <f aca="false">IF($B1512="","",IF($C1512="","NIK kosong",IF(LEN($C1512)&lt;&gt;16,"NIK bukan 16 digit",IF(COUNTIF($C$4:$C$2003,$C1512&amp;"*")&gt;1,"NIK ganda",IF(AND($D1512&lt;&gt;"",LEN($D1512)&lt;&gt;16),"No. KK bukan 16 digit",IF(AND($F1512="",$I1512=""),"Alamat kosong",IF($N1512="","Jabatan kosong",IF($O1512="","No. HP kosong",IF(AND($R1512&lt;&gt;"",$R1512&lt;17),"Usia di bawah 17","")))))))))</f>
        <v/>
      </c>
      <c r="Z1512" s="40" t="str">
        <f aca="false">IF($B1512="","",IF(AND(OR(CARI!$C$5="",ISNUMBER(SEARCH(CARI!$C$5,$B1512&amp;" "&amp;$C1512&amp;" "&amp;$D1512&amp;" "&amp;$O1512&amp;" "&amp;$I1512&amp;" "&amp;$F1512&amp;" "&amp;$J1512&amp;" "&amp;$K1512&amp;" "&amp;$L1512&amp;" "&amp;$V1512))),OR(CARI!$C$6="",$F1512=CARI!$C$6),OR(CARI!$C$7="",$G1512=CARI!$C$7),OR(CARI!$C$8="",$T1512=CARI!$C$8)),MAX($Z$3:Z1511)+1,""))</f>
        <v/>
      </c>
      <c r="AA1512" s="40" t="str">
        <f aca="false">IF($Y1512="","",MAX($AA$3:AA1511)+1)</f>
        <v/>
      </c>
      <c r="AB1512" s="40" t="str">
        <f aca="false">IF($F1512="","",$F1512&amp;"#"&amp;COUNTIF($F$4:$F1512,$F1512))</f>
        <v/>
      </c>
      <c r="AC1512" s="40" t="str">
        <f aca="false">IF($B1512="","",IF(AND(OR(CETAK!$J$10="",$F1512=CETAK!$J$10),OR(CETAK!$J$11="",$G1512=CETAK!$J$11),OR(CETAK!$J$12="",$P1512=CETAK!$J$12),OR(CETAK!$J$13="",$N1512=CETAK!$J$13),OR(CETAK!$J$14="",$T1512=CETAK!$J$14)),MAX($AC$3:AC1511)+1,""))</f>
        <v/>
      </c>
      <c r="AD1512" s="40" t="str">
        <f aca="false">IF($B1512="","",IF(AND(OR(ABSENSI!$H$10="",$F1512=ABSENSI!$H$10),OR(ABSENSI!$H$11="",$G1512=ABSENSI!$H$11),OR(ABSENSI!$H$12="",$P1512=ABSENSI!$H$12)),MAX($AD$3:AD1511)+1,""))</f>
        <v/>
      </c>
      <c r="AE1512" s="40" t="str">
        <f aca="false">IF($B1512="","",IF(AND(OR(KARTU!$K$6="",$F1512=KARTU!$K$6),OR(KARTU!$K$7="",$G1512=KARTU!$K$7),OR(KARTU!$K$8="",$P1512=KARTU!$K$8)),MAX($AE$3:AE1511)+1,""))</f>
        <v/>
      </c>
    </row>
    <row r="1513" customFormat="false" ht="15" hidden="false" customHeight="false" outlineLevel="0" collapsed="false">
      <c r="A1513" s="35" t="str">
        <f aca="false">IF($B1513="","",COUNTA($B$4:$B1513))</f>
        <v/>
      </c>
      <c r="B1513" s="36"/>
      <c r="C1513" s="37"/>
      <c r="D1513" s="37"/>
      <c r="E1513" s="38"/>
      <c r="F1513" s="36"/>
      <c r="G1513" s="39"/>
      <c r="H1513" s="39"/>
      <c r="I1513" s="36"/>
      <c r="J1513" s="36"/>
      <c r="K1513" s="36"/>
      <c r="L1513" s="36"/>
      <c r="M1513" s="40" t="str">
        <f aca="false">IF($F1513="","",$F1513&amp;IF($G1513="",""," - RT "&amp;$G1513&amp;IF($H1513="","","/"&amp;$H1513)))</f>
        <v/>
      </c>
      <c r="N1513" s="36"/>
      <c r="O1513" s="37"/>
      <c r="P1513" s="39"/>
      <c r="Q1513" s="41"/>
      <c r="R1513" s="35" t="str">
        <f aca="true">IF(OR($B1513="",$Q1513=""),"",DATEDIF($Q1513,TODAY(),"Y"))</f>
        <v/>
      </c>
      <c r="S1513" s="40" t="str">
        <f aca="false">IF($R1513="","",INDEX(usia_label,MATCH($R1513,usia_min,1)))</f>
        <v/>
      </c>
      <c r="T1513" s="36"/>
      <c r="U1513" s="41"/>
      <c r="V1513" s="36"/>
      <c r="W1513" s="36"/>
      <c r="X1513" s="40" t="str">
        <f aca="false">IF($M1513="","",$M1513&amp;"#"&amp;COUNTIF($M$4:$M1513,$M1513))</f>
        <v/>
      </c>
      <c r="Y1513" s="40" t="str">
        <f aca="false">IF($B1513="","",IF($C1513="","NIK kosong",IF(LEN($C1513)&lt;&gt;16,"NIK bukan 16 digit",IF(COUNTIF($C$4:$C$2003,$C1513&amp;"*")&gt;1,"NIK ganda",IF(AND($D1513&lt;&gt;"",LEN($D1513)&lt;&gt;16),"No. KK bukan 16 digit",IF(AND($F1513="",$I1513=""),"Alamat kosong",IF($N1513="","Jabatan kosong",IF($O1513="","No. HP kosong",IF(AND($R1513&lt;&gt;"",$R1513&lt;17),"Usia di bawah 17","")))))))))</f>
        <v/>
      </c>
      <c r="Z1513" s="40" t="str">
        <f aca="false">IF($B1513="","",IF(AND(OR(CARI!$C$5="",ISNUMBER(SEARCH(CARI!$C$5,$B1513&amp;" "&amp;$C1513&amp;" "&amp;$D1513&amp;" "&amp;$O1513&amp;" "&amp;$I1513&amp;" "&amp;$F1513&amp;" "&amp;$J1513&amp;" "&amp;$K1513&amp;" "&amp;$L1513&amp;" "&amp;$V1513))),OR(CARI!$C$6="",$F1513=CARI!$C$6),OR(CARI!$C$7="",$G1513=CARI!$C$7),OR(CARI!$C$8="",$T1513=CARI!$C$8)),MAX($Z$3:Z1512)+1,""))</f>
        <v/>
      </c>
      <c r="AA1513" s="40" t="str">
        <f aca="false">IF($Y1513="","",MAX($AA$3:AA1512)+1)</f>
        <v/>
      </c>
      <c r="AB1513" s="40" t="str">
        <f aca="false">IF($F1513="","",$F1513&amp;"#"&amp;COUNTIF($F$4:$F1513,$F1513))</f>
        <v/>
      </c>
      <c r="AC1513" s="40" t="str">
        <f aca="false">IF($B1513="","",IF(AND(OR(CETAK!$J$10="",$F1513=CETAK!$J$10),OR(CETAK!$J$11="",$G1513=CETAK!$J$11),OR(CETAK!$J$12="",$P1513=CETAK!$J$12),OR(CETAK!$J$13="",$N1513=CETAK!$J$13),OR(CETAK!$J$14="",$T1513=CETAK!$J$14)),MAX($AC$3:AC1512)+1,""))</f>
        <v/>
      </c>
      <c r="AD1513" s="40" t="str">
        <f aca="false">IF($B1513="","",IF(AND(OR(ABSENSI!$H$10="",$F1513=ABSENSI!$H$10),OR(ABSENSI!$H$11="",$G1513=ABSENSI!$H$11),OR(ABSENSI!$H$12="",$P1513=ABSENSI!$H$12)),MAX($AD$3:AD1512)+1,""))</f>
        <v/>
      </c>
      <c r="AE1513" s="40" t="str">
        <f aca="false">IF($B1513="","",IF(AND(OR(KARTU!$K$6="",$F1513=KARTU!$K$6),OR(KARTU!$K$7="",$G1513=KARTU!$K$7),OR(KARTU!$K$8="",$P1513=KARTU!$K$8)),MAX($AE$3:AE1512)+1,""))</f>
        <v/>
      </c>
    </row>
    <row r="1514" customFormat="false" ht="15" hidden="false" customHeight="false" outlineLevel="0" collapsed="false">
      <c r="A1514" s="35" t="str">
        <f aca="false">IF($B1514="","",COUNTA($B$4:$B1514))</f>
        <v/>
      </c>
      <c r="B1514" s="36"/>
      <c r="C1514" s="37"/>
      <c r="D1514" s="37"/>
      <c r="E1514" s="38"/>
      <c r="F1514" s="36"/>
      <c r="G1514" s="39"/>
      <c r="H1514" s="39"/>
      <c r="I1514" s="36"/>
      <c r="J1514" s="36"/>
      <c r="K1514" s="36"/>
      <c r="L1514" s="36"/>
      <c r="M1514" s="40" t="str">
        <f aca="false">IF($F1514="","",$F1514&amp;IF($G1514="",""," - RT "&amp;$G1514&amp;IF($H1514="","","/"&amp;$H1514)))</f>
        <v/>
      </c>
      <c r="N1514" s="36"/>
      <c r="O1514" s="37"/>
      <c r="P1514" s="39"/>
      <c r="Q1514" s="41"/>
      <c r="R1514" s="35" t="str">
        <f aca="true">IF(OR($B1514="",$Q1514=""),"",DATEDIF($Q1514,TODAY(),"Y"))</f>
        <v/>
      </c>
      <c r="S1514" s="40" t="str">
        <f aca="false">IF($R1514="","",INDEX(usia_label,MATCH($R1514,usia_min,1)))</f>
        <v/>
      </c>
      <c r="T1514" s="36"/>
      <c r="U1514" s="41"/>
      <c r="V1514" s="36"/>
      <c r="W1514" s="36"/>
      <c r="X1514" s="40" t="str">
        <f aca="false">IF($M1514="","",$M1514&amp;"#"&amp;COUNTIF($M$4:$M1514,$M1514))</f>
        <v/>
      </c>
      <c r="Y1514" s="40" t="str">
        <f aca="false">IF($B1514="","",IF($C1514="","NIK kosong",IF(LEN($C1514)&lt;&gt;16,"NIK bukan 16 digit",IF(COUNTIF($C$4:$C$2003,$C1514&amp;"*")&gt;1,"NIK ganda",IF(AND($D1514&lt;&gt;"",LEN($D1514)&lt;&gt;16),"No. KK bukan 16 digit",IF(AND($F1514="",$I1514=""),"Alamat kosong",IF($N1514="","Jabatan kosong",IF($O1514="","No. HP kosong",IF(AND($R1514&lt;&gt;"",$R1514&lt;17),"Usia di bawah 17","")))))))))</f>
        <v/>
      </c>
      <c r="Z1514" s="40" t="str">
        <f aca="false">IF($B1514="","",IF(AND(OR(CARI!$C$5="",ISNUMBER(SEARCH(CARI!$C$5,$B1514&amp;" "&amp;$C1514&amp;" "&amp;$D1514&amp;" "&amp;$O1514&amp;" "&amp;$I1514&amp;" "&amp;$F1514&amp;" "&amp;$J1514&amp;" "&amp;$K1514&amp;" "&amp;$L1514&amp;" "&amp;$V1514))),OR(CARI!$C$6="",$F1514=CARI!$C$6),OR(CARI!$C$7="",$G1514=CARI!$C$7),OR(CARI!$C$8="",$T1514=CARI!$C$8)),MAX($Z$3:Z1513)+1,""))</f>
        <v/>
      </c>
      <c r="AA1514" s="40" t="str">
        <f aca="false">IF($Y1514="","",MAX($AA$3:AA1513)+1)</f>
        <v/>
      </c>
      <c r="AB1514" s="40" t="str">
        <f aca="false">IF($F1514="","",$F1514&amp;"#"&amp;COUNTIF($F$4:$F1514,$F1514))</f>
        <v/>
      </c>
      <c r="AC1514" s="40" t="str">
        <f aca="false">IF($B1514="","",IF(AND(OR(CETAK!$J$10="",$F1514=CETAK!$J$10),OR(CETAK!$J$11="",$G1514=CETAK!$J$11),OR(CETAK!$J$12="",$P1514=CETAK!$J$12),OR(CETAK!$J$13="",$N1514=CETAK!$J$13),OR(CETAK!$J$14="",$T1514=CETAK!$J$14)),MAX($AC$3:AC1513)+1,""))</f>
        <v/>
      </c>
      <c r="AD1514" s="40" t="str">
        <f aca="false">IF($B1514="","",IF(AND(OR(ABSENSI!$H$10="",$F1514=ABSENSI!$H$10),OR(ABSENSI!$H$11="",$G1514=ABSENSI!$H$11),OR(ABSENSI!$H$12="",$P1514=ABSENSI!$H$12)),MAX($AD$3:AD1513)+1,""))</f>
        <v/>
      </c>
      <c r="AE1514" s="40" t="str">
        <f aca="false">IF($B1514="","",IF(AND(OR(KARTU!$K$6="",$F1514=KARTU!$K$6),OR(KARTU!$K$7="",$G1514=KARTU!$K$7),OR(KARTU!$K$8="",$P1514=KARTU!$K$8)),MAX($AE$3:AE1513)+1,""))</f>
        <v/>
      </c>
    </row>
    <row r="1515" customFormat="false" ht="15" hidden="false" customHeight="false" outlineLevel="0" collapsed="false">
      <c r="A1515" s="35" t="str">
        <f aca="false">IF($B1515="","",COUNTA($B$4:$B1515))</f>
        <v/>
      </c>
      <c r="B1515" s="36"/>
      <c r="C1515" s="37"/>
      <c r="D1515" s="37"/>
      <c r="E1515" s="38"/>
      <c r="F1515" s="36"/>
      <c r="G1515" s="39"/>
      <c r="H1515" s="39"/>
      <c r="I1515" s="36"/>
      <c r="J1515" s="36"/>
      <c r="K1515" s="36"/>
      <c r="L1515" s="36"/>
      <c r="M1515" s="40" t="str">
        <f aca="false">IF($F1515="","",$F1515&amp;IF($G1515="",""," - RT "&amp;$G1515&amp;IF($H1515="","","/"&amp;$H1515)))</f>
        <v/>
      </c>
      <c r="N1515" s="36"/>
      <c r="O1515" s="37"/>
      <c r="P1515" s="39"/>
      <c r="Q1515" s="41"/>
      <c r="R1515" s="35" t="str">
        <f aca="true">IF(OR($B1515="",$Q1515=""),"",DATEDIF($Q1515,TODAY(),"Y"))</f>
        <v/>
      </c>
      <c r="S1515" s="40" t="str">
        <f aca="false">IF($R1515="","",INDEX(usia_label,MATCH($R1515,usia_min,1)))</f>
        <v/>
      </c>
      <c r="T1515" s="36"/>
      <c r="U1515" s="41"/>
      <c r="V1515" s="36"/>
      <c r="W1515" s="36"/>
      <c r="X1515" s="40" t="str">
        <f aca="false">IF($M1515="","",$M1515&amp;"#"&amp;COUNTIF($M$4:$M1515,$M1515))</f>
        <v/>
      </c>
      <c r="Y1515" s="40" t="str">
        <f aca="false">IF($B1515="","",IF($C1515="","NIK kosong",IF(LEN($C1515)&lt;&gt;16,"NIK bukan 16 digit",IF(COUNTIF($C$4:$C$2003,$C1515&amp;"*")&gt;1,"NIK ganda",IF(AND($D1515&lt;&gt;"",LEN($D1515)&lt;&gt;16),"No. KK bukan 16 digit",IF(AND($F1515="",$I1515=""),"Alamat kosong",IF($N1515="","Jabatan kosong",IF($O1515="","No. HP kosong",IF(AND($R1515&lt;&gt;"",$R1515&lt;17),"Usia di bawah 17","")))))))))</f>
        <v/>
      </c>
      <c r="Z1515" s="40" t="str">
        <f aca="false">IF($B1515="","",IF(AND(OR(CARI!$C$5="",ISNUMBER(SEARCH(CARI!$C$5,$B1515&amp;" "&amp;$C1515&amp;" "&amp;$D1515&amp;" "&amp;$O1515&amp;" "&amp;$I1515&amp;" "&amp;$F1515&amp;" "&amp;$J1515&amp;" "&amp;$K1515&amp;" "&amp;$L1515&amp;" "&amp;$V1515))),OR(CARI!$C$6="",$F1515=CARI!$C$6),OR(CARI!$C$7="",$G1515=CARI!$C$7),OR(CARI!$C$8="",$T1515=CARI!$C$8)),MAX($Z$3:Z1514)+1,""))</f>
        <v/>
      </c>
      <c r="AA1515" s="40" t="str">
        <f aca="false">IF($Y1515="","",MAX($AA$3:AA1514)+1)</f>
        <v/>
      </c>
      <c r="AB1515" s="40" t="str">
        <f aca="false">IF($F1515="","",$F1515&amp;"#"&amp;COUNTIF($F$4:$F1515,$F1515))</f>
        <v/>
      </c>
      <c r="AC1515" s="40" t="str">
        <f aca="false">IF($B1515="","",IF(AND(OR(CETAK!$J$10="",$F1515=CETAK!$J$10),OR(CETAK!$J$11="",$G1515=CETAK!$J$11),OR(CETAK!$J$12="",$P1515=CETAK!$J$12),OR(CETAK!$J$13="",$N1515=CETAK!$J$13),OR(CETAK!$J$14="",$T1515=CETAK!$J$14)),MAX($AC$3:AC1514)+1,""))</f>
        <v/>
      </c>
      <c r="AD1515" s="40" t="str">
        <f aca="false">IF($B1515="","",IF(AND(OR(ABSENSI!$H$10="",$F1515=ABSENSI!$H$10),OR(ABSENSI!$H$11="",$G1515=ABSENSI!$H$11),OR(ABSENSI!$H$12="",$P1515=ABSENSI!$H$12)),MAX($AD$3:AD1514)+1,""))</f>
        <v/>
      </c>
      <c r="AE1515" s="40" t="str">
        <f aca="false">IF($B1515="","",IF(AND(OR(KARTU!$K$6="",$F1515=KARTU!$K$6),OR(KARTU!$K$7="",$G1515=KARTU!$K$7),OR(KARTU!$K$8="",$P1515=KARTU!$K$8)),MAX($AE$3:AE1514)+1,""))</f>
        <v/>
      </c>
    </row>
    <row r="1516" customFormat="false" ht="15" hidden="false" customHeight="false" outlineLevel="0" collapsed="false">
      <c r="A1516" s="35" t="str">
        <f aca="false">IF($B1516="","",COUNTA($B$4:$B1516))</f>
        <v/>
      </c>
      <c r="B1516" s="36"/>
      <c r="C1516" s="37"/>
      <c r="D1516" s="37"/>
      <c r="E1516" s="38"/>
      <c r="F1516" s="36"/>
      <c r="G1516" s="39"/>
      <c r="H1516" s="39"/>
      <c r="I1516" s="36"/>
      <c r="J1516" s="36"/>
      <c r="K1516" s="36"/>
      <c r="L1516" s="36"/>
      <c r="M1516" s="40" t="str">
        <f aca="false">IF($F1516="","",$F1516&amp;IF($G1516="",""," - RT "&amp;$G1516&amp;IF($H1516="","","/"&amp;$H1516)))</f>
        <v/>
      </c>
      <c r="N1516" s="36"/>
      <c r="O1516" s="37"/>
      <c r="P1516" s="39"/>
      <c r="Q1516" s="41"/>
      <c r="R1516" s="35" t="str">
        <f aca="true">IF(OR($B1516="",$Q1516=""),"",DATEDIF($Q1516,TODAY(),"Y"))</f>
        <v/>
      </c>
      <c r="S1516" s="40" t="str">
        <f aca="false">IF($R1516="","",INDEX(usia_label,MATCH($R1516,usia_min,1)))</f>
        <v/>
      </c>
      <c r="T1516" s="36"/>
      <c r="U1516" s="41"/>
      <c r="V1516" s="36"/>
      <c r="W1516" s="36"/>
      <c r="X1516" s="40" t="str">
        <f aca="false">IF($M1516="","",$M1516&amp;"#"&amp;COUNTIF($M$4:$M1516,$M1516))</f>
        <v/>
      </c>
      <c r="Y1516" s="40" t="str">
        <f aca="false">IF($B1516="","",IF($C1516="","NIK kosong",IF(LEN($C1516)&lt;&gt;16,"NIK bukan 16 digit",IF(COUNTIF($C$4:$C$2003,$C1516&amp;"*")&gt;1,"NIK ganda",IF(AND($D1516&lt;&gt;"",LEN($D1516)&lt;&gt;16),"No. KK bukan 16 digit",IF(AND($F1516="",$I1516=""),"Alamat kosong",IF($N1516="","Jabatan kosong",IF($O1516="","No. HP kosong",IF(AND($R1516&lt;&gt;"",$R1516&lt;17),"Usia di bawah 17","")))))))))</f>
        <v/>
      </c>
      <c r="Z1516" s="40" t="str">
        <f aca="false">IF($B1516="","",IF(AND(OR(CARI!$C$5="",ISNUMBER(SEARCH(CARI!$C$5,$B1516&amp;" "&amp;$C1516&amp;" "&amp;$D1516&amp;" "&amp;$O1516&amp;" "&amp;$I1516&amp;" "&amp;$F1516&amp;" "&amp;$J1516&amp;" "&amp;$K1516&amp;" "&amp;$L1516&amp;" "&amp;$V1516))),OR(CARI!$C$6="",$F1516=CARI!$C$6),OR(CARI!$C$7="",$G1516=CARI!$C$7),OR(CARI!$C$8="",$T1516=CARI!$C$8)),MAX($Z$3:Z1515)+1,""))</f>
        <v/>
      </c>
      <c r="AA1516" s="40" t="str">
        <f aca="false">IF($Y1516="","",MAX($AA$3:AA1515)+1)</f>
        <v/>
      </c>
      <c r="AB1516" s="40" t="str">
        <f aca="false">IF($F1516="","",$F1516&amp;"#"&amp;COUNTIF($F$4:$F1516,$F1516))</f>
        <v/>
      </c>
      <c r="AC1516" s="40" t="str">
        <f aca="false">IF($B1516="","",IF(AND(OR(CETAK!$J$10="",$F1516=CETAK!$J$10),OR(CETAK!$J$11="",$G1516=CETAK!$J$11),OR(CETAK!$J$12="",$P1516=CETAK!$J$12),OR(CETAK!$J$13="",$N1516=CETAK!$J$13),OR(CETAK!$J$14="",$T1516=CETAK!$J$14)),MAX($AC$3:AC1515)+1,""))</f>
        <v/>
      </c>
      <c r="AD1516" s="40" t="str">
        <f aca="false">IF($B1516="","",IF(AND(OR(ABSENSI!$H$10="",$F1516=ABSENSI!$H$10),OR(ABSENSI!$H$11="",$G1516=ABSENSI!$H$11),OR(ABSENSI!$H$12="",$P1516=ABSENSI!$H$12)),MAX($AD$3:AD1515)+1,""))</f>
        <v/>
      </c>
      <c r="AE1516" s="40" t="str">
        <f aca="false">IF($B1516="","",IF(AND(OR(KARTU!$K$6="",$F1516=KARTU!$K$6),OR(KARTU!$K$7="",$G1516=KARTU!$K$7),OR(KARTU!$K$8="",$P1516=KARTU!$K$8)),MAX($AE$3:AE1515)+1,""))</f>
        <v/>
      </c>
    </row>
    <row r="1517" customFormat="false" ht="15" hidden="false" customHeight="false" outlineLevel="0" collapsed="false">
      <c r="A1517" s="35" t="str">
        <f aca="false">IF($B1517="","",COUNTA($B$4:$B1517))</f>
        <v/>
      </c>
      <c r="B1517" s="36"/>
      <c r="C1517" s="37"/>
      <c r="D1517" s="37"/>
      <c r="E1517" s="38"/>
      <c r="F1517" s="36"/>
      <c r="G1517" s="39"/>
      <c r="H1517" s="39"/>
      <c r="I1517" s="36"/>
      <c r="J1517" s="36"/>
      <c r="K1517" s="36"/>
      <c r="L1517" s="36"/>
      <c r="M1517" s="40" t="str">
        <f aca="false">IF($F1517="","",$F1517&amp;IF($G1517="",""," - RT "&amp;$G1517&amp;IF($H1517="","","/"&amp;$H1517)))</f>
        <v/>
      </c>
      <c r="N1517" s="36"/>
      <c r="O1517" s="37"/>
      <c r="P1517" s="39"/>
      <c r="Q1517" s="41"/>
      <c r="R1517" s="35" t="str">
        <f aca="true">IF(OR($B1517="",$Q1517=""),"",DATEDIF($Q1517,TODAY(),"Y"))</f>
        <v/>
      </c>
      <c r="S1517" s="40" t="str">
        <f aca="false">IF($R1517="","",INDEX(usia_label,MATCH($R1517,usia_min,1)))</f>
        <v/>
      </c>
      <c r="T1517" s="36"/>
      <c r="U1517" s="41"/>
      <c r="V1517" s="36"/>
      <c r="W1517" s="36"/>
      <c r="X1517" s="40" t="str">
        <f aca="false">IF($M1517="","",$M1517&amp;"#"&amp;COUNTIF($M$4:$M1517,$M1517))</f>
        <v/>
      </c>
      <c r="Y1517" s="40" t="str">
        <f aca="false">IF($B1517="","",IF($C1517="","NIK kosong",IF(LEN($C1517)&lt;&gt;16,"NIK bukan 16 digit",IF(COUNTIF($C$4:$C$2003,$C1517&amp;"*")&gt;1,"NIK ganda",IF(AND($D1517&lt;&gt;"",LEN($D1517)&lt;&gt;16),"No. KK bukan 16 digit",IF(AND($F1517="",$I1517=""),"Alamat kosong",IF($N1517="","Jabatan kosong",IF($O1517="","No. HP kosong",IF(AND($R1517&lt;&gt;"",$R1517&lt;17),"Usia di bawah 17","")))))))))</f>
        <v/>
      </c>
      <c r="Z1517" s="40" t="str">
        <f aca="false">IF($B1517="","",IF(AND(OR(CARI!$C$5="",ISNUMBER(SEARCH(CARI!$C$5,$B1517&amp;" "&amp;$C1517&amp;" "&amp;$D1517&amp;" "&amp;$O1517&amp;" "&amp;$I1517&amp;" "&amp;$F1517&amp;" "&amp;$J1517&amp;" "&amp;$K1517&amp;" "&amp;$L1517&amp;" "&amp;$V1517))),OR(CARI!$C$6="",$F1517=CARI!$C$6),OR(CARI!$C$7="",$G1517=CARI!$C$7),OR(CARI!$C$8="",$T1517=CARI!$C$8)),MAX($Z$3:Z1516)+1,""))</f>
        <v/>
      </c>
      <c r="AA1517" s="40" t="str">
        <f aca="false">IF($Y1517="","",MAX($AA$3:AA1516)+1)</f>
        <v/>
      </c>
      <c r="AB1517" s="40" t="str">
        <f aca="false">IF($F1517="","",$F1517&amp;"#"&amp;COUNTIF($F$4:$F1517,$F1517))</f>
        <v/>
      </c>
      <c r="AC1517" s="40" t="str">
        <f aca="false">IF($B1517="","",IF(AND(OR(CETAK!$J$10="",$F1517=CETAK!$J$10),OR(CETAK!$J$11="",$G1517=CETAK!$J$11),OR(CETAK!$J$12="",$P1517=CETAK!$J$12),OR(CETAK!$J$13="",$N1517=CETAK!$J$13),OR(CETAK!$J$14="",$T1517=CETAK!$J$14)),MAX($AC$3:AC1516)+1,""))</f>
        <v/>
      </c>
      <c r="AD1517" s="40" t="str">
        <f aca="false">IF($B1517="","",IF(AND(OR(ABSENSI!$H$10="",$F1517=ABSENSI!$H$10),OR(ABSENSI!$H$11="",$G1517=ABSENSI!$H$11),OR(ABSENSI!$H$12="",$P1517=ABSENSI!$H$12)),MAX($AD$3:AD1516)+1,""))</f>
        <v/>
      </c>
      <c r="AE1517" s="40" t="str">
        <f aca="false">IF($B1517="","",IF(AND(OR(KARTU!$K$6="",$F1517=KARTU!$K$6),OR(KARTU!$K$7="",$G1517=KARTU!$K$7),OR(KARTU!$K$8="",$P1517=KARTU!$K$8)),MAX($AE$3:AE1516)+1,""))</f>
        <v/>
      </c>
    </row>
    <row r="1518" customFormat="false" ht="15" hidden="false" customHeight="false" outlineLevel="0" collapsed="false">
      <c r="A1518" s="35" t="str">
        <f aca="false">IF($B1518="","",COUNTA($B$4:$B1518))</f>
        <v/>
      </c>
      <c r="B1518" s="36"/>
      <c r="C1518" s="37"/>
      <c r="D1518" s="37"/>
      <c r="E1518" s="38"/>
      <c r="F1518" s="36"/>
      <c r="G1518" s="39"/>
      <c r="H1518" s="39"/>
      <c r="I1518" s="36"/>
      <c r="J1518" s="36"/>
      <c r="K1518" s="36"/>
      <c r="L1518" s="36"/>
      <c r="M1518" s="40" t="str">
        <f aca="false">IF($F1518="","",$F1518&amp;IF($G1518="",""," - RT "&amp;$G1518&amp;IF($H1518="","","/"&amp;$H1518)))</f>
        <v/>
      </c>
      <c r="N1518" s="36"/>
      <c r="O1518" s="37"/>
      <c r="P1518" s="39"/>
      <c r="Q1518" s="41"/>
      <c r="R1518" s="35" t="str">
        <f aca="true">IF(OR($B1518="",$Q1518=""),"",DATEDIF($Q1518,TODAY(),"Y"))</f>
        <v/>
      </c>
      <c r="S1518" s="40" t="str">
        <f aca="false">IF($R1518="","",INDEX(usia_label,MATCH($R1518,usia_min,1)))</f>
        <v/>
      </c>
      <c r="T1518" s="36"/>
      <c r="U1518" s="41"/>
      <c r="V1518" s="36"/>
      <c r="W1518" s="36"/>
      <c r="X1518" s="40" t="str">
        <f aca="false">IF($M1518="","",$M1518&amp;"#"&amp;COUNTIF($M$4:$M1518,$M1518))</f>
        <v/>
      </c>
      <c r="Y1518" s="40" t="str">
        <f aca="false">IF($B1518="","",IF($C1518="","NIK kosong",IF(LEN($C1518)&lt;&gt;16,"NIK bukan 16 digit",IF(COUNTIF($C$4:$C$2003,$C1518&amp;"*")&gt;1,"NIK ganda",IF(AND($D1518&lt;&gt;"",LEN($D1518)&lt;&gt;16),"No. KK bukan 16 digit",IF(AND($F1518="",$I1518=""),"Alamat kosong",IF($N1518="","Jabatan kosong",IF($O1518="","No. HP kosong",IF(AND($R1518&lt;&gt;"",$R1518&lt;17),"Usia di bawah 17","")))))))))</f>
        <v/>
      </c>
      <c r="Z1518" s="40" t="str">
        <f aca="false">IF($B1518="","",IF(AND(OR(CARI!$C$5="",ISNUMBER(SEARCH(CARI!$C$5,$B1518&amp;" "&amp;$C1518&amp;" "&amp;$D1518&amp;" "&amp;$O1518&amp;" "&amp;$I1518&amp;" "&amp;$F1518&amp;" "&amp;$J1518&amp;" "&amp;$K1518&amp;" "&amp;$L1518&amp;" "&amp;$V1518))),OR(CARI!$C$6="",$F1518=CARI!$C$6),OR(CARI!$C$7="",$G1518=CARI!$C$7),OR(CARI!$C$8="",$T1518=CARI!$C$8)),MAX($Z$3:Z1517)+1,""))</f>
        <v/>
      </c>
      <c r="AA1518" s="40" t="str">
        <f aca="false">IF($Y1518="","",MAX($AA$3:AA1517)+1)</f>
        <v/>
      </c>
      <c r="AB1518" s="40" t="str">
        <f aca="false">IF($F1518="","",$F1518&amp;"#"&amp;COUNTIF($F$4:$F1518,$F1518))</f>
        <v/>
      </c>
      <c r="AC1518" s="40" t="str">
        <f aca="false">IF($B1518="","",IF(AND(OR(CETAK!$J$10="",$F1518=CETAK!$J$10),OR(CETAK!$J$11="",$G1518=CETAK!$J$11),OR(CETAK!$J$12="",$P1518=CETAK!$J$12),OR(CETAK!$J$13="",$N1518=CETAK!$J$13),OR(CETAK!$J$14="",$T1518=CETAK!$J$14)),MAX($AC$3:AC1517)+1,""))</f>
        <v/>
      </c>
      <c r="AD1518" s="40" t="str">
        <f aca="false">IF($B1518="","",IF(AND(OR(ABSENSI!$H$10="",$F1518=ABSENSI!$H$10),OR(ABSENSI!$H$11="",$G1518=ABSENSI!$H$11),OR(ABSENSI!$H$12="",$P1518=ABSENSI!$H$12)),MAX($AD$3:AD1517)+1,""))</f>
        <v/>
      </c>
      <c r="AE1518" s="40" t="str">
        <f aca="false">IF($B1518="","",IF(AND(OR(KARTU!$K$6="",$F1518=KARTU!$K$6),OR(KARTU!$K$7="",$G1518=KARTU!$K$7),OR(KARTU!$K$8="",$P1518=KARTU!$K$8)),MAX($AE$3:AE1517)+1,""))</f>
        <v/>
      </c>
    </row>
    <row r="1519" customFormat="false" ht="15" hidden="false" customHeight="false" outlineLevel="0" collapsed="false">
      <c r="A1519" s="35" t="str">
        <f aca="false">IF($B1519="","",COUNTA($B$4:$B1519))</f>
        <v/>
      </c>
      <c r="B1519" s="36"/>
      <c r="C1519" s="37"/>
      <c r="D1519" s="37"/>
      <c r="E1519" s="38"/>
      <c r="F1519" s="36"/>
      <c r="G1519" s="39"/>
      <c r="H1519" s="39"/>
      <c r="I1519" s="36"/>
      <c r="J1519" s="36"/>
      <c r="K1519" s="36"/>
      <c r="L1519" s="36"/>
      <c r="M1519" s="40" t="str">
        <f aca="false">IF($F1519="","",$F1519&amp;IF($G1519="",""," - RT "&amp;$G1519&amp;IF($H1519="","","/"&amp;$H1519)))</f>
        <v/>
      </c>
      <c r="N1519" s="36"/>
      <c r="O1519" s="37"/>
      <c r="P1519" s="39"/>
      <c r="Q1519" s="41"/>
      <c r="R1519" s="35" t="str">
        <f aca="true">IF(OR($B1519="",$Q1519=""),"",DATEDIF($Q1519,TODAY(),"Y"))</f>
        <v/>
      </c>
      <c r="S1519" s="40" t="str">
        <f aca="false">IF($R1519="","",INDEX(usia_label,MATCH($R1519,usia_min,1)))</f>
        <v/>
      </c>
      <c r="T1519" s="36"/>
      <c r="U1519" s="41"/>
      <c r="V1519" s="36"/>
      <c r="W1519" s="36"/>
      <c r="X1519" s="40" t="str">
        <f aca="false">IF($M1519="","",$M1519&amp;"#"&amp;COUNTIF($M$4:$M1519,$M1519))</f>
        <v/>
      </c>
      <c r="Y1519" s="40" t="str">
        <f aca="false">IF($B1519="","",IF($C1519="","NIK kosong",IF(LEN($C1519)&lt;&gt;16,"NIK bukan 16 digit",IF(COUNTIF($C$4:$C$2003,$C1519&amp;"*")&gt;1,"NIK ganda",IF(AND($D1519&lt;&gt;"",LEN($D1519)&lt;&gt;16),"No. KK bukan 16 digit",IF(AND($F1519="",$I1519=""),"Alamat kosong",IF($N1519="","Jabatan kosong",IF($O1519="","No. HP kosong",IF(AND($R1519&lt;&gt;"",$R1519&lt;17),"Usia di bawah 17","")))))))))</f>
        <v/>
      </c>
      <c r="Z1519" s="40" t="str">
        <f aca="false">IF($B1519="","",IF(AND(OR(CARI!$C$5="",ISNUMBER(SEARCH(CARI!$C$5,$B1519&amp;" "&amp;$C1519&amp;" "&amp;$D1519&amp;" "&amp;$O1519&amp;" "&amp;$I1519&amp;" "&amp;$F1519&amp;" "&amp;$J1519&amp;" "&amp;$K1519&amp;" "&amp;$L1519&amp;" "&amp;$V1519))),OR(CARI!$C$6="",$F1519=CARI!$C$6),OR(CARI!$C$7="",$G1519=CARI!$C$7),OR(CARI!$C$8="",$T1519=CARI!$C$8)),MAX($Z$3:Z1518)+1,""))</f>
        <v/>
      </c>
      <c r="AA1519" s="40" t="str">
        <f aca="false">IF($Y1519="","",MAX($AA$3:AA1518)+1)</f>
        <v/>
      </c>
      <c r="AB1519" s="40" t="str">
        <f aca="false">IF($F1519="","",$F1519&amp;"#"&amp;COUNTIF($F$4:$F1519,$F1519))</f>
        <v/>
      </c>
      <c r="AC1519" s="40" t="str">
        <f aca="false">IF($B1519="","",IF(AND(OR(CETAK!$J$10="",$F1519=CETAK!$J$10),OR(CETAK!$J$11="",$G1519=CETAK!$J$11),OR(CETAK!$J$12="",$P1519=CETAK!$J$12),OR(CETAK!$J$13="",$N1519=CETAK!$J$13),OR(CETAK!$J$14="",$T1519=CETAK!$J$14)),MAX($AC$3:AC1518)+1,""))</f>
        <v/>
      </c>
      <c r="AD1519" s="40" t="str">
        <f aca="false">IF($B1519="","",IF(AND(OR(ABSENSI!$H$10="",$F1519=ABSENSI!$H$10),OR(ABSENSI!$H$11="",$G1519=ABSENSI!$H$11),OR(ABSENSI!$H$12="",$P1519=ABSENSI!$H$12)),MAX($AD$3:AD1518)+1,""))</f>
        <v/>
      </c>
      <c r="AE1519" s="40" t="str">
        <f aca="false">IF($B1519="","",IF(AND(OR(KARTU!$K$6="",$F1519=KARTU!$K$6),OR(KARTU!$K$7="",$G1519=KARTU!$K$7),OR(KARTU!$K$8="",$P1519=KARTU!$K$8)),MAX($AE$3:AE1518)+1,""))</f>
        <v/>
      </c>
    </row>
    <row r="1520" customFormat="false" ht="15" hidden="false" customHeight="false" outlineLevel="0" collapsed="false">
      <c r="A1520" s="35" t="str">
        <f aca="false">IF($B1520="","",COUNTA($B$4:$B1520))</f>
        <v/>
      </c>
      <c r="B1520" s="36"/>
      <c r="C1520" s="37"/>
      <c r="D1520" s="37"/>
      <c r="E1520" s="38"/>
      <c r="F1520" s="36"/>
      <c r="G1520" s="39"/>
      <c r="H1520" s="39"/>
      <c r="I1520" s="36"/>
      <c r="J1520" s="36"/>
      <c r="K1520" s="36"/>
      <c r="L1520" s="36"/>
      <c r="M1520" s="40" t="str">
        <f aca="false">IF($F1520="","",$F1520&amp;IF($G1520="",""," - RT "&amp;$G1520&amp;IF($H1520="","","/"&amp;$H1520)))</f>
        <v/>
      </c>
      <c r="N1520" s="36"/>
      <c r="O1520" s="37"/>
      <c r="P1520" s="39"/>
      <c r="Q1520" s="41"/>
      <c r="R1520" s="35" t="str">
        <f aca="true">IF(OR($B1520="",$Q1520=""),"",DATEDIF($Q1520,TODAY(),"Y"))</f>
        <v/>
      </c>
      <c r="S1520" s="40" t="str">
        <f aca="false">IF($R1520="","",INDEX(usia_label,MATCH($R1520,usia_min,1)))</f>
        <v/>
      </c>
      <c r="T1520" s="36"/>
      <c r="U1520" s="41"/>
      <c r="V1520" s="36"/>
      <c r="W1520" s="36"/>
      <c r="X1520" s="40" t="str">
        <f aca="false">IF($M1520="","",$M1520&amp;"#"&amp;COUNTIF($M$4:$M1520,$M1520))</f>
        <v/>
      </c>
      <c r="Y1520" s="40" t="str">
        <f aca="false">IF($B1520="","",IF($C1520="","NIK kosong",IF(LEN($C1520)&lt;&gt;16,"NIK bukan 16 digit",IF(COUNTIF($C$4:$C$2003,$C1520&amp;"*")&gt;1,"NIK ganda",IF(AND($D1520&lt;&gt;"",LEN($D1520)&lt;&gt;16),"No. KK bukan 16 digit",IF(AND($F1520="",$I1520=""),"Alamat kosong",IF($N1520="","Jabatan kosong",IF($O1520="","No. HP kosong",IF(AND($R1520&lt;&gt;"",$R1520&lt;17),"Usia di bawah 17","")))))))))</f>
        <v/>
      </c>
      <c r="Z1520" s="40" t="str">
        <f aca="false">IF($B1520="","",IF(AND(OR(CARI!$C$5="",ISNUMBER(SEARCH(CARI!$C$5,$B1520&amp;" "&amp;$C1520&amp;" "&amp;$D1520&amp;" "&amp;$O1520&amp;" "&amp;$I1520&amp;" "&amp;$F1520&amp;" "&amp;$J1520&amp;" "&amp;$K1520&amp;" "&amp;$L1520&amp;" "&amp;$V1520))),OR(CARI!$C$6="",$F1520=CARI!$C$6),OR(CARI!$C$7="",$G1520=CARI!$C$7),OR(CARI!$C$8="",$T1520=CARI!$C$8)),MAX($Z$3:Z1519)+1,""))</f>
        <v/>
      </c>
      <c r="AA1520" s="40" t="str">
        <f aca="false">IF($Y1520="","",MAX($AA$3:AA1519)+1)</f>
        <v/>
      </c>
      <c r="AB1520" s="40" t="str">
        <f aca="false">IF($F1520="","",$F1520&amp;"#"&amp;COUNTIF($F$4:$F1520,$F1520))</f>
        <v/>
      </c>
      <c r="AC1520" s="40" t="str">
        <f aca="false">IF($B1520="","",IF(AND(OR(CETAK!$J$10="",$F1520=CETAK!$J$10),OR(CETAK!$J$11="",$G1520=CETAK!$J$11),OR(CETAK!$J$12="",$P1520=CETAK!$J$12),OR(CETAK!$J$13="",$N1520=CETAK!$J$13),OR(CETAK!$J$14="",$T1520=CETAK!$J$14)),MAX($AC$3:AC1519)+1,""))</f>
        <v/>
      </c>
      <c r="AD1520" s="40" t="str">
        <f aca="false">IF($B1520="","",IF(AND(OR(ABSENSI!$H$10="",$F1520=ABSENSI!$H$10),OR(ABSENSI!$H$11="",$G1520=ABSENSI!$H$11),OR(ABSENSI!$H$12="",$P1520=ABSENSI!$H$12)),MAX($AD$3:AD1519)+1,""))</f>
        <v/>
      </c>
      <c r="AE1520" s="40" t="str">
        <f aca="false">IF($B1520="","",IF(AND(OR(KARTU!$K$6="",$F1520=KARTU!$K$6),OR(KARTU!$K$7="",$G1520=KARTU!$K$7),OR(KARTU!$K$8="",$P1520=KARTU!$K$8)),MAX($AE$3:AE1519)+1,""))</f>
        <v/>
      </c>
    </row>
    <row r="1521" customFormat="false" ht="15" hidden="false" customHeight="false" outlineLevel="0" collapsed="false">
      <c r="A1521" s="35" t="str">
        <f aca="false">IF($B1521="","",COUNTA($B$4:$B1521))</f>
        <v/>
      </c>
      <c r="B1521" s="36"/>
      <c r="C1521" s="37"/>
      <c r="D1521" s="37"/>
      <c r="E1521" s="38"/>
      <c r="F1521" s="36"/>
      <c r="G1521" s="39"/>
      <c r="H1521" s="39"/>
      <c r="I1521" s="36"/>
      <c r="J1521" s="36"/>
      <c r="K1521" s="36"/>
      <c r="L1521" s="36"/>
      <c r="M1521" s="40" t="str">
        <f aca="false">IF($F1521="","",$F1521&amp;IF($G1521="",""," - RT "&amp;$G1521&amp;IF($H1521="","","/"&amp;$H1521)))</f>
        <v/>
      </c>
      <c r="N1521" s="36"/>
      <c r="O1521" s="37"/>
      <c r="P1521" s="39"/>
      <c r="Q1521" s="41"/>
      <c r="R1521" s="35" t="str">
        <f aca="true">IF(OR($B1521="",$Q1521=""),"",DATEDIF($Q1521,TODAY(),"Y"))</f>
        <v/>
      </c>
      <c r="S1521" s="40" t="str">
        <f aca="false">IF($R1521="","",INDEX(usia_label,MATCH($R1521,usia_min,1)))</f>
        <v/>
      </c>
      <c r="T1521" s="36"/>
      <c r="U1521" s="41"/>
      <c r="V1521" s="36"/>
      <c r="W1521" s="36"/>
      <c r="X1521" s="40" t="str">
        <f aca="false">IF($M1521="","",$M1521&amp;"#"&amp;COUNTIF($M$4:$M1521,$M1521))</f>
        <v/>
      </c>
      <c r="Y1521" s="40" t="str">
        <f aca="false">IF($B1521="","",IF($C1521="","NIK kosong",IF(LEN($C1521)&lt;&gt;16,"NIK bukan 16 digit",IF(COUNTIF($C$4:$C$2003,$C1521&amp;"*")&gt;1,"NIK ganda",IF(AND($D1521&lt;&gt;"",LEN($D1521)&lt;&gt;16),"No. KK bukan 16 digit",IF(AND($F1521="",$I1521=""),"Alamat kosong",IF($N1521="","Jabatan kosong",IF($O1521="","No. HP kosong",IF(AND($R1521&lt;&gt;"",$R1521&lt;17),"Usia di bawah 17","")))))))))</f>
        <v/>
      </c>
      <c r="Z1521" s="40" t="str">
        <f aca="false">IF($B1521="","",IF(AND(OR(CARI!$C$5="",ISNUMBER(SEARCH(CARI!$C$5,$B1521&amp;" "&amp;$C1521&amp;" "&amp;$D1521&amp;" "&amp;$O1521&amp;" "&amp;$I1521&amp;" "&amp;$F1521&amp;" "&amp;$J1521&amp;" "&amp;$K1521&amp;" "&amp;$L1521&amp;" "&amp;$V1521))),OR(CARI!$C$6="",$F1521=CARI!$C$6),OR(CARI!$C$7="",$G1521=CARI!$C$7),OR(CARI!$C$8="",$T1521=CARI!$C$8)),MAX($Z$3:Z1520)+1,""))</f>
        <v/>
      </c>
      <c r="AA1521" s="40" t="str">
        <f aca="false">IF($Y1521="","",MAX($AA$3:AA1520)+1)</f>
        <v/>
      </c>
      <c r="AB1521" s="40" t="str">
        <f aca="false">IF($F1521="","",$F1521&amp;"#"&amp;COUNTIF($F$4:$F1521,$F1521))</f>
        <v/>
      </c>
      <c r="AC1521" s="40" t="str">
        <f aca="false">IF($B1521="","",IF(AND(OR(CETAK!$J$10="",$F1521=CETAK!$J$10),OR(CETAK!$J$11="",$G1521=CETAK!$J$11),OR(CETAK!$J$12="",$P1521=CETAK!$J$12),OR(CETAK!$J$13="",$N1521=CETAK!$J$13),OR(CETAK!$J$14="",$T1521=CETAK!$J$14)),MAX($AC$3:AC1520)+1,""))</f>
        <v/>
      </c>
      <c r="AD1521" s="40" t="str">
        <f aca="false">IF($B1521="","",IF(AND(OR(ABSENSI!$H$10="",$F1521=ABSENSI!$H$10),OR(ABSENSI!$H$11="",$G1521=ABSENSI!$H$11),OR(ABSENSI!$H$12="",$P1521=ABSENSI!$H$12)),MAX($AD$3:AD1520)+1,""))</f>
        <v/>
      </c>
      <c r="AE1521" s="40" t="str">
        <f aca="false">IF($B1521="","",IF(AND(OR(KARTU!$K$6="",$F1521=KARTU!$K$6),OR(KARTU!$K$7="",$G1521=KARTU!$K$7),OR(KARTU!$K$8="",$P1521=KARTU!$K$8)),MAX($AE$3:AE1520)+1,""))</f>
        <v/>
      </c>
    </row>
    <row r="1522" customFormat="false" ht="15" hidden="false" customHeight="false" outlineLevel="0" collapsed="false">
      <c r="A1522" s="35" t="str">
        <f aca="false">IF($B1522="","",COUNTA($B$4:$B1522))</f>
        <v/>
      </c>
      <c r="B1522" s="36"/>
      <c r="C1522" s="37"/>
      <c r="D1522" s="37"/>
      <c r="E1522" s="38"/>
      <c r="F1522" s="36"/>
      <c r="G1522" s="39"/>
      <c r="H1522" s="39"/>
      <c r="I1522" s="36"/>
      <c r="J1522" s="36"/>
      <c r="K1522" s="36"/>
      <c r="L1522" s="36"/>
      <c r="M1522" s="40" t="str">
        <f aca="false">IF($F1522="","",$F1522&amp;IF($G1522="",""," - RT "&amp;$G1522&amp;IF($H1522="","","/"&amp;$H1522)))</f>
        <v/>
      </c>
      <c r="N1522" s="36"/>
      <c r="O1522" s="37"/>
      <c r="P1522" s="39"/>
      <c r="Q1522" s="41"/>
      <c r="R1522" s="35" t="str">
        <f aca="true">IF(OR($B1522="",$Q1522=""),"",DATEDIF($Q1522,TODAY(),"Y"))</f>
        <v/>
      </c>
      <c r="S1522" s="40" t="str">
        <f aca="false">IF($R1522="","",INDEX(usia_label,MATCH($R1522,usia_min,1)))</f>
        <v/>
      </c>
      <c r="T1522" s="36"/>
      <c r="U1522" s="41"/>
      <c r="V1522" s="36"/>
      <c r="W1522" s="36"/>
      <c r="X1522" s="40" t="str">
        <f aca="false">IF($M1522="","",$M1522&amp;"#"&amp;COUNTIF($M$4:$M1522,$M1522))</f>
        <v/>
      </c>
      <c r="Y1522" s="40" t="str">
        <f aca="false">IF($B1522="","",IF($C1522="","NIK kosong",IF(LEN($C1522)&lt;&gt;16,"NIK bukan 16 digit",IF(COUNTIF($C$4:$C$2003,$C1522&amp;"*")&gt;1,"NIK ganda",IF(AND($D1522&lt;&gt;"",LEN($D1522)&lt;&gt;16),"No. KK bukan 16 digit",IF(AND($F1522="",$I1522=""),"Alamat kosong",IF($N1522="","Jabatan kosong",IF($O1522="","No. HP kosong",IF(AND($R1522&lt;&gt;"",$R1522&lt;17),"Usia di bawah 17","")))))))))</f>
        <v/>
      </c>
      <c r="Z1522" s="40" t="str">
        <f aca="false">IF($B1522="","",IF(AND(OR(CARI!$C$5="",ISNUMBER(SEARCH(CARI!$C$5,$B1522&amp;" "&amp;$C1522&amp;" "&amp;$D1522&amp;" "&amp;$O1522&amp;" "&amp;$I1522&amp;" "&amp;$F1522&amp;" "&amp;$J1522&amp;" "&amp;$K1522&amp;" "&amp;$L1522&amp;" "&amp;$V1522))),OR(CARI!$C$6="",$F1522=CARI!$C$6),OR(CARI!$C$7="",$G1522=CARI!$C$7),OR(CARI!$C$8="",$T1522=CARI!$C$8)),MAX($Z$3:Z1521)+1,""))</f>
        <v/>
      </c>
      <c r="AA1522" s="40" t="str">
        <f aca="false">IF($Y1522="","",MAX($AA$3:AA1521)+1)</f>
        <v/>
      </c>
      <c r="AB1522" s="40" t="str">
        <f aca="false">IF($F1522="","",$F1522&amp;"#"&amp;COUNTIF($F$4:$F1522,$F1522))</f>
        <v/>
      </c>
      <c r="AC1522" s="40" t="str">
        <f aca="false">IF($B1522="","",IF(AND(OR(CETAK!$J$10="",$F1522=CETAK!$J$10),OR(CETAK!$J$11="",$G1522=CETAK!$J$11),OR(CETAK!$J$12="",$P1522=CETAK!$J$12),OR(CETAK!$J$13="",$N1522=CETAK!$J$13),OR(CETAK!$J$14="",$T1522=CETAK!$J$14)),MAX($AC$3:AC1521)+1,""))</f>
        <v/>
      </c>
      <c r="AD1522" s="40" t="str">
        <f aca="false">IF($B1522="","",IF(AND(OR(ABSENSI!$H$10="",$F1522=ABSENSI!$H$10),OR(ABSENSI!$H$11="",$G1522=ABSENSI!$H$11),OR(ABSENSI!$H$12="",$P1522=ABSENSI!$H$12)),MAX($AD$3:AD1521)+1,""))</f>
        <v/>
      </c>
      <c r="AE1522" s="40" t="str">
        <f aca="false">IF($B1522="","",IF(AND(OR(KARTU!$K$6="",$F1522=KARTU!$K$6),OR(KARTU!$K$7="",$G1522=KARTU!$K$7),OR(KARTU!$K$8="",$P1522=KARTU!$K$8)),MAX($AE$3:AE1521)+1,""))</f>
        <v/>
      </c>
    </row>
    <row r="1523" customFormat="false" ht="15" hidden="false" customHeight="false" outlineLevel="0" collapsed="false">
      <c r="A1523" s="35" t="str">
        <f aca="false">IF($B1523="","",COUNTA($B$4:$B1523))</f>
        <v/>
      </c>
      <c r="B1523" s="36"/>
      <c r="C1523" s="37"/>
      <c r="D1523" s="37"/>
      <c r="E1523" s="38"/>
      <c r="F1523" s="36"/>
      <c r="G1523" s="39"/>
      <c r="H1523" s="39"/>
      <c r="I1523" s="36"/>
      <c r="J1523" s="36"/>
      <c r="K1523" s="36"/>
      <c r="L1523" s="36"/>
      <c r="M1523" s="40" t="str">
        <f aca="false">IF($F1523="","",$F1523&amp;IF($G1523="",""," - RT "&amp;$G1523&amp;IF($H1523="","","/"&amp;$H1523)))</f>
        <v/>
      </c>
      <c r="N1523" s="36"/>
      <c r="O1523" s="37"/>
      <c r="P1523" s="39"/>
      <c r="Q1523" s="41"/>
      <c r="R1523" s="35" t="str">
        <f aca="true">IF(OR($B1523="",$Q1523=""),"",DATEDIF($Q1523,TODAY(),"Y"))</f>
        <v/>
      </c>
      <c r="S1523" s="40" t="str">
        <f aca="false">IF($R1523="","",INDEX(usia_label,MATCH($R1523,usia_min,1)))</f>
        <v/>
      </c>
      <c r="T1523" s="36"/>
      <c r="U1523" s="41"/>
      <c r="V1523" s="36"/>
      <c r="W1523" s="36"/>
      <c r="X1523" s="40" t="str">
        <f aca="false">IF($M1523="","",$M1523&amp;"#"&amp;COUNTIF($M$4:$M1523,$M1523))</f>
        <v/>
      </c>
      <c r="Y1523" s="40" t="str">
        <f aca="false">IF($B1523="","",IF($C1523="","NIK kosong",IF(LEN($C1523)&lt;&gt;16,"NIK bukan 16 digit",IF(COUNTIF($C$4:$C$2003,$C1523&amp;"*")&gt;1,"NIK ganda",IF(AND($D1523&lt;&gt;"",LEN($D1523)&lt;&gt;16),"No. KK bukan 16 digit",IF(AND($F1523="",$I1523=""),"Alamat kosong",IF($N1523="","Jabatan kosong",IF($O1523="","No. HP kosong",IF(AND($R1523&lt;&gt;"",$R1523&lt;17),"Usia di bawah 17","")))))))))</f>
        <v/>
      </c>
      <c r="Z1523" s="40" t="str">
        <f aca="false">IF($B1523="","",IF(AND(OR(CARI!$C$5="",ISNUMBER(SEARCH(CARI!$C$5,$B1523&amp;" "&amp;$C1523&amp;" "&amp;$D1523&amp;" "&amp;$O1523&amp;" "&amp;$I1523&amp;" "&amp;$F1523&amp;" "&amp;$J1523&amp;" "&amp;$K1523&amp;" "&amp;$L1523&amp;" "&amp;$V1523))),OR(CARI!$C$6="",$F1523=CARI!$C$6),OR(CARI!$C$7="",$G1523=CARI!$C$7),OR(CARI!$C$8="",$T1523=CARI!$C$8)),MAX($Z$3:Z1522)+1,""))</f>
        <v/>
      </c>
      <c r="AA1523" s="40" t="str">
        <f aca="false">IF($Y1523="","",MAX($AA$3:AA1522)+1)</f>
        <v/>
      </c>
      <c r="AB1523" s="40" t="str">
        <f aca="false">IF($F1523="","",$F1523&amp;"#"&amp;COUNTIF($F$4:$F1523,$F1523))</f>
        <v/>
      </c>
      <c r="AC1523" s="40" t="str">
        <f aca="false">IF($B1523="","",IF(AND(OR(CETAK!$J$10="",$F1523=CETAK!$J$10),OR(CETAK!$J$11="",$G1523=CETAK!$J$11),OR(CETAK!$J$12="",$P1523=CETAK!$J$12),OR(CETAK!$J$13="",$N1523=CETAK!$J$13),OR(CETAK!$J$14="",$T1523=CETAK!$J$14)),MAX($AC$3:AC1522)+1,""))</f>
        <v/>
      </c>
      <c r="AD1523" s="40" t="str">
        <f aca="false">IF($B1523="","",IF(AND(OR(ABSENSI!$H$10="",$F1523=ABSENSI!$H$10),OR(ABSENSI!$H$11="",$G1523=ABSENSI!$H$11),OR(ABSENSI!$H$12="",$P1523=ABSENSI!$H$12)),MAX($AD$3:AD1522)+1,""))</f>
        <v/>
      </c>
      <c r="AE1523" s="40" t="str">
        <f aca="false">IF($B1523="","",IF(AND(OR(KARTU!$K$6="",$F1523=KARTU!$K$6),OR(KARTU!$K$7="",$G1523=KARTU!$K$7),OR(KARTU!$K$8="",$P1523=KARTU!$K$8)),MAX($AE$3:AE1522)+1,""))</f>
        <v/>
      </c>
    </row>
    <row r="1524" customFormat="false" ht="15" hidden="false" customHeight="false" outlineLevel="0" collapsed="false">
      <c r="A1524" s="35" t="str">
        <f aca="false">IF($B1524="","",COUNTA($B$4:$B1524))</f>
        <v/>
      </c>
      <c r="B1524" s="36"/>
      <c r="C1524" s="37"/>
      <c r="D1524" s="37"/>
      <c r="E1524" s="38"/>
      <c r="F1524" s="36"/>
      <c r="G1524" s="39"/>
      <c r="H1524" s="39"/>
      <c r="I1524" s="36"/>
      <c r="J1524" s="36"/>
      <c r="K1524" s="36"/>
      <c r="L1524" s="36"/>
      <c r="M1524" s="40" t="str">
        <f aca="false">IF($F1524="","",$F1524&amp;IF($G1524="",""," - RT "&amp;$G1524&amp;IF($H1524="","","/"&amp;$H1524)))</f>
        <v/>
      </c>
      <c r="N1524" s="36"/>
      <c r="O1524" s="37"/>
      <c r="P1524" s="39"/>
      <c r="Q1524" s="41"/>
      <c r="R1524" s="35" t="str">
        <f aca="true">IF(OR($B1524="",$Q1524=""),"",DATEDIF($Q1524,TODAY(),"Y"))</f>
        <v/>
      </c>
      <c r="S1524" s="40" t="str">
        <f aca="false">IF($R1524="","",INDEX(usia_label,MATCH($R1524,usia_min,1)))</f>
        <v/>
      </c>
      <c r="T1524" s="36"/>
      <c r="U1524" s="41"/>
      <c r="V1524" s="36"/>
      <c r="W1524" s="36"/>
      <c r="X1524" s="40" t="str">
        <f aca="false">IF($M1524="","",$M1524&amp;"#"&amp;COUNTIF($M$4:$M1524,$M1524))</f>
        <v/>
      </c>
      <c r="Y1524" s="40" t="str">
        <f aca="false">IF($B1524="","",IF($C1524="","NIK kosong",IF(LEN($C1524)&lt;&gt;16,"NIK bukan 16 digit",IF(COUNTIF($C$4:$C$2003,$C1524&amp;"*")&gt;1,"NIK ganda",IF(AND($D1524&lt;&gt;"",LEN($D1524)&lt;&gt;16),"No. KK bukan 16 digit",IF(AND($F1524="",$I1524=""),"Alamat kosong",IF($N1524="","Jabatan kosong",IF($O1524="","No. HP kosong",IF(AND($R1524&lt;&gt;"",$R1524&lt;17),"Usia di bawah 17","")))))))))</f>
        <v/>
      </c>
      <c r="Z1524" s="40" t="str">
        <f aca="false">IF($B1524="","",IF(AND(OR(CARI!$C$5="",ISNUMBER(SEARCH(CARI!$C$5,$B1524&amp;" "&amp;$C1524&amp;" "&amp;$D1524&amp;" "&amp;$O1524&amp;" "&amp;$I1524&amp;" "&amp;$F1524&amp;" "&amp;$J1524&amp;" "&amp;$K1524&amp;" "&amp;$L1524&amp;" "&amp;$V1524))),OR(CARI!$C$6="",$F1524=CARI!$C$6),OR(CARI!$C$7="",$G1524=CARI!$C$7),OR(CARI!$C$8="",$T1524=CARI!$C$8)),MAX($Z$3:Z1523)+1,""))</f>
        <v/>
      </c>
      <c r="AA1524" s="40" t="str">
        <f aca="false">IF($Y1524="","",MAX($AA$3:AA1523)+1)</f>
        <v/>
      </c>
      <c r="AB1524" s="40" t="str">
        <f aca="false">IF($F1524="","",$F1524&amp;"#"&amp;COUNTIF($F$4:$F1524,$F1524))</f>
        <v/>
      </c>
      <c r="AC1524" s="40" t="str">
        <f aca="false">IF($B1524="","",IF(AND(OR(CETAK!$J$10="",$F1524=CETAK!$J$10),OR(CETAK!$J$11="",$G1524=CETAK!$J$11),OR(CETAK!$J$12="",$P1524=CETAK!$J$12),OR(CETAK!$J$13="",$N1524=CETAK!$J$13),OR(CETAK!$J$14="",$T1524=CETAK!$J$14)),MAX($AC$3:AC1523)+1,""))</f>
        <v/>
      </c>
      <c r="AD1524" s="40" t="str">
        <f aca="false">IF($B1524="","",IF(AND(OR(ABSENSI!$H$10="",$F1524=ABSENSI!$H$10),OR(ABSENSI!$H$11="",$G1524=ABSENSI!$H$11),OR(ABSENSI!$H$12="",$P1524=ABSENSI!$H$12)),MAX($AD$3:AD1523)+1,""))</f>
        <v/>
      </c>
      <c r="AE1524" s="40" t="str">
        <f aca="false">IF($B1524="","",IF(AND(OR(KARTU!$K$6="",$F1524=KARTU!$K$6),OR(KARTU!$K$7="",$G1524=KARTU!$K$7),OR(KARTU!$K$8="",$P1524=KARTU!$K$8)),MAX($AE$3:AE1523)+1,""))</f>
        <v/>
      </c>
    </row>
    <row r="1525" customFormat="false" ht="15" hidden="false" customHeight="false" outlineLevel="0" collapsed="false">
      <c r="A1525" s="35" t="str">
        <f aca="false">IF($B1525="","",COUNTA($B$4:$B1525))</f>
        <v/>
      </c>
      <c r="B1525" s="36"/>
      <c r="C1525" s="37"/>
      <c r="D1525" s="37"/>
      <c r="E1525" s="38"/>
      <c r="F1525" s="36"/>
      <c r="G1525" s="39"/>
      <c r="H1525" s="39"/>
      <c r="I1525" s="36"/>
      <c r="J1525" s="36"/>
      <c r="K1525" s="36"/>
      <c r="L1525" s="36"/>
      <c r="M1525" s="40" t="str">
        <f aca="false">IF($F1525="","",$F1525&amp;IF($G1525="",""," - RT "&amp;$G1525&amp;IF($H1525="","","/"&amp;$H1525)))</f>
        <v/>
      </c>
      <c r="N1525" s="36"/>
      <c r="O1525" s="37"/>
      <c r="P1525" s="39"/>
      <c r="Q1525" s="41"/>
      <c r="R1525" s="35" t="str">
        <f aca="true">IF(OR($B1525="",$Q1525=""),"",DATEDIF($Q1525,TODAY(),"Y"))</f>
        <v/>
      </c>
      <c r="S1525" s="40" t="str">
        <f aca="false">IF($R1525="","",INDEX(usia_label,MATCH($R1525,usia_min,1)))</f>
        <v/>
      </c>
      <c r="T1525" s="36"/>
      <c r="U1525" s="41"/>
      <c r="V1525" s="36"/>
      <c r="W1525" s="36"/>
      <c r="X1525" s="40" t="str">
        <f aca="false">IF($M1525="","",$M1525&amp;"#"&amp;COUNTIF($M$4:$M1525,$M1525))</f>
        <v/>
      </c>
      <c r="Y1525" s="40" t="str">
        <f aca="false">IF($B1525="","",IF($C1525="","NIK kosong",IF(LEN($C1525)&lt;&gt;16,"NIK bukan 16 digit",IF(COUNTIF($C$4:$C$2003,$C1525&amp;"*")&gt;1,"NIK ganda",IF(AND($D1525&lt;&gt;"",LEN($D1525)&lt;&gt;16),"No. KK bukan 16 digit",IF(AND($F1525="",$I1525=""),"Alamat kosong",IF($N1525="","Jabatan kosong",IF($O1525="","No. HP kosong",IF(AND($R1525&lt;&gt;"",$R1525&lt;17),"Usia di bawah 17","")))))))))</f>
        <v/>
      </c>
      <c r="Z1525" s="40" t="str">
        <f aca="false">IF($B1525="","",IF(AND(OR(CARI!$C$5="",ISNUMBER(SEARCH(CARI!$C$5,$B1525&amp;" "&amp;$C1525&amp;" "&amp;$D1525&amp;" "&amp;$O1525&amp;" "&amp;$I1525&amp;" "&amp;$F1525&amp;" "&amp;$J1525&amp;" "&amp;$K1525&amp;" "&amp;$L1525&amp;" "&amp;$V1525))),OR(CARI!$C$6="",$F1525=CARI!$C$6),OR(CARI!$C$7="",$G1525=CARI!$C$7),OR(CARI!$C$8="",$T1525=CARI!$C$8)),MAX($Z$3:Z1524)+1,""))</f>
        <v/>
      </c>
      <c r="AA1525" s="40" t="str">
        <f aca="false">IF($Y1525="","",MAX($AA$3:AA1524)+1)</f>
        <v/>
      </c>
      <c r="AB1525" s="40" t="str">
        <f aca="false">IF($F1525="","",$F1525&amp;"#"&amp;COUNTIF($F$4:$F1525,$F1525))</f>
        <v/>
      </c>
      <c r="AC1525" s="40" t="str">
        <f aca="false">IF($B1525="","",IF(AND(OR(CETAK!$J$10="",$F1525=CETAK!$J$10),OR(CETAK!$J$11="",$G1525=CETAK!$J$11),OR(CETAK!$J$12="",$P1525=CETAK!$J$12),OR(CETAK!$J$13="",$N1525=CETAK!$J$13),OR(CETAK!$J$14="",$T1525=CETAK!$J$14)),MAX($AC$3:AC1524)+1,""))</f>
        <v/>
      </c>
      <c r="AD1525" s="40" t="str">
        <f aca="false">IF($B1525="","",IF(AND(OR(ABSENSI!$H$10="",$F1525=ABSENSI!$H$10),OR(ABSENSI!$H$11="",$G1525=ABSENSI!$H$11),OR(ABSENSI!$H$12="",$P1525=ABSENSI!$H$12)),MAX($AD$3:AD1524)+1,""))</f>
        <v/>
      </c>
      <c r="AE1525" s="40" t="str">
        <f aca="false">IF($B1525="","",IF(AND(OR(KARTU!$K$6="",$F1525=KARTU!$K$6),OR(KARTU!$K$7="",$G1525=KARTU!$K$7),OR(KARTU!$K$8="",$P1525=KARTU!$K$8)),MAX($AE$3:AE1524)+1,""))</f>
        <v/>
      </c>
    </row>
    <row r="1526" customFormat="false" ht="15" hidden="false" customHeight="false" outlineLevel="0" collapsed="false">
      <c r="A1526" s="35" t="str">
        <f aca="false">IF($B1526="","",COUNTA($B$4:$B1526))</f>
        <v/>
      </c>
      <c r="B1526" s="36"/>
      <c r="C1526" s="37"/>
      <c r="D1526" s="37"/>
      <c r="E1526" s="38"/>
      <c r="F1526" s="36"/>
      <c r="G1526" s="39"/>
      <c r="H1526" s="39"/>
      <c r="I1526" s="36"/>
      <c r="J1526" s="36"/>
      <c r="K1526" s="36"/>
      <c r="L1526" s="36"/>
      <c r="M1526" s="40" t="str">
        <f aca="false">IF($F1526="","",$F1526&amp;IF($G1526="",""," - RT "&amp;$G1526&amp;IF($H1526="","","/"&amp;$H1526)))</f>
        <v/>
      </c>
      <c r="N1526" s="36"/>
      <c r="O1526" s="37"/>
      <c r="P1526" s="39"/>
      <c r="Q1526" s="41"/>
      <c r="R1526" s="35" t="str">
        <f aca="true">IF(OR($B1526="",$Q1526=""),"",DATEDIF($Q1526,TODAY(),"Y"))</f>
        <v/>
      </c>
      <c r="S1526" s="40" t="str">
        <f aca="false">IF($R1526="","",INDEX(usia_label,MATCH($R1526,usia_min,1)))</f>
        <v/>
      </c>
      <c r="T1526" s="36"/>
      <c r="U1526" s="41"/>
      <c r="V1526" s="36"/>
      <c r="W1526" s="36"/>
      <c r="X1526" s="40" t="str">
        <f aca="false">IF($M1526="","",$M1526&amp;"#"&amp;COUNTIF($M$4:$M1526,$M1526))</f>
        <v/>
      </c>
      <c r="Y1526" s="40" t="str">
        <f aca="false">IF($B1526="","",IF($C1526="","NIK kosong",IF(LEN($C1526)&lt;&gt;16,"NIK bukan 16 digit",IF(COUNTIF($C$4:$C$2003,$C1526&amp;"*")&gt;1,"NIK ganda",IF(AND($D1526&lt;&gt;"",LEN($D1526)&lt;&gt;16),"No. KK bukan 16 digit",IF(AND($F1526="",$I1526=""),"Alamat kosong",IF($N1526="","Jabatan kosong",IF($O1526="","No. HP kosong",IF(AND($R1526&lt;&gt;"",$R1526&lt;17),"Usia di bawah 17","")))))))))</f>
        <v/>
      </c>
      <c r="Z1526" s="40" t="str">
        <f aca="false">IF($B1526="","",IF(AND(OR(CARI!$C$5="",ISNUMBER(SEARCH(CARI!$C$5,$B1526&amp;" "&amp;$C1526&amp;" "&amp;$D1526&amp;" "&amp;$O1526&amp;" "&amp;$I1526&amp;" "&amp;$F1526&amp;" "&amp;$J1526&amp;" "&amp;$K1526&amp;" "&amp;$L1526&amp;" "&amp;$V1526))),OR(CARI!$C$6="",$F1526=CARI!$C$6),OR(CARI!$C$7="",$G1526=CARI!$C$7),OR(CARI!$C$8="",$T1526=CARI!$C$8)),MAX($Z$3:Z1525)+1,""))</f>
        <v/>
      </c>
      <c r="AA1526" s="40" t="str">
        <f aca="false">IF($Y1526="","",MAX($AA$3:AA1525)+1)</f>
        <v/>
      </c>
      <c r="AB1526" s="40" t="str">
        <f aca="false">IF($F1526="","",$F1526&amp;"#"&amp;COUNTIF($F$4:$F1526,$F1526))</f>
        <v/>
      </c>
      <c r="AC1526" s="40" t="str">
        <f aca="false">IF($B1526="","",IF(AND(OR(CETAK!$J$10="",$F1526=CETAK!$J$10),OR(CETAK!$J$11="",$G1526=CETAK!$J$11),OR(CETAK!$J$12="",$P1526=CETAK!$J$12),OR(CETAK!$J$13="",$N1526=CETAK!$J$13),OR(CETAK!$J$14="",$T1526=CETAK!$J$14)),MAX($AC$3:AC1525)+1,""))</f>
        <v/>
      </c>
      <c r="AD1526" s="40" t="str">
        <f aca="false">IF($B1526="","",IF(AND(OR(ABSENSI!$H$10="",$F1526=ABSENSI!$H$10),OR(ABSENSI!$H$11="",$G1526=ABSENSI!$H$11),OR(ABSENSI!$H$12="",$P1526=ABSENSI!$H$12)),MAX($AD$3:AD1525)+1,""))</f>
        <v/>
      </c>
      <c r="AE1526" s="40" t="str">
        <f aca="false">IF($B1526="","",IF(AND(OR(KARTU!$K$6="",$F1526=KARTU!$K$6),OR(KARTU!$K$7="",$G1526=KARTU!$K$7),OR(KARTU!$K$8="",$P1526=KARTU!$K$8)),MAX($AE$3:AE1525)+1,""))</f>
        <v/>
      </c>
    </row>
    <row r="1527" customFormat="false" ht="15" hidden="false" customHeight="false" outlineLevel="0" collapsed="false">
      <c r="A1527" s="35" t="str">
        <f aca="false">IF($B1527="","",COUNTA($B$4:$B1527))</f>
        <v/>
      </c>
      <c r="B1527" s="36"/>
      <c r="C1527" s="37"/>
      <c r="D1527" s="37"/>
      <c r="E1527" s="38"/>
      <c r="F1527" s="36"/>
      <c r="G1527" s="39"/>
      <c r="H1527" s="39"/>
      <c r="I1527" s="36"/>
      <c r="J1527" s="36"/>
      <c r="K1527" s="36"/>
      <c r="L1527" s="36"/>
      <c r="M1527" s="40" t="str">
        <f aca="false">IF($F1527="","",$F1527&amp;IF($G1527="",""," - RT "&amp;$G1527&amp;IF($H1527="","","/"&amp;$H1527)))</f>
        <v/>
      </c>
      <c r="N1527" s="36"/>
      <c r="O1527" s="37"/>
      <c r="P1527" s="39"/>
      <c r="Q1527" s="41"/>
      <c r="R1527" s="35" t="str">
        <f aca="true">IF(OR($B1527="",$Q1527=""),"",DATEDIF($Q1527,TODAY(),"Y"))</f>
        <v/>
      </c>
      <c r="S1527" s="40" t="str">
        <f aca="false">IF($R1527="","",INDEX(usia_label,MATCH($R1527,usia_min,1)))</f>
        <v/>
      </c>
      <c r="T1527" s="36"/>
      <c r="U1527" s="41"/>
      <c r="V1527" s="36"/>
      <c r="W1527" s="36"/>
      <c r="X1527" s="40" t="str">
        <f aca="false">IF($M1527="","",$M1527&amp;"#"&amp;COUNTIF($M$4:$M1527,$M1527))</f>
        <v/>
      </c>
      <c r="Y1527" s="40" t="str">
        <f aca="false">IF($B1527="","",IF($C1527="","NIK kosong",IF(LEN($C1527)&lt;&gt;16,"NIK bukan 16 digit",IF(COUNTIF($C$4:$C$2003,$C1527&amp;"*")&gt;1,"NIK ganda",IF(AND($D1527&lt;&gt;"",LEN($D1527)&lt;&gt;16),"No. KK bukan 16 digit",IF(AND($F1527="",$I1527=""),"Alamat kosong",IF($N1527="","Jabatan kosong",IF($O1527="","No. HP kosong",IF(AND($R1527&lt;&gt;"",$R1527&lt;17),"Usia di bawah 17","")))))))))</f>
        <v/>
      </c>
      <c r="Z1527" s="40" t="str">
        <f aca="false">IF($B1527="","",IF(AND(OR(CARI!$C$5="",ISNUMBER(SEARCH(CARI!$C$5,$B1527&amp;" "&amp;$C1527&amp;" "&amp;$D1527&amp;" "&amp;$O1527&amp;" "&amp;$I1527&amp;" "&amp;$F1527&amp;" "&amp;$J1527&amp;" "&amp;$K1527&amp;" "&amp;$L1527&amp;" "&amp;$V1527))),OR(CARI!$C$6="",$F1527=CARI!$C$6),OR(CARI!$C$7="",$G1527=CARI!$C$7),OR(CARI!$C$8="",$T1527=CARI!$C$8)),MAX($Z$3:Z1526)+1,""))</f>
        <v/>
      </c>
      <c r="AA1527" s="40" t="str">
        <f aca="false">IF($Y1527="","",MAX($AA$3:AA1526)+1)</f>
        <v/>
      </c>
      <c r="AB1527" s="40" t="str">
        <f aca="false">IF($F1527="","",$F1527&amp;"#"&amp;COUNTIF($F$4:$F1527,$F1527))</f>
        <v/>
      </c>
      <c r="AC1527" s="40" t="str">
        <f aca="false">IF($B1527="","",IF(AND(OR(CETAK!$J$10="",$F1527=CETAK!$J$10),OR(CETAK!$J$11="",$G1527=CETAK!$J$11),OR(CETAK!$J$12="",$P1527=CETAK!$J$12),OR(CETAK!$J$13="",$N1527=CETAK!$J$13),OR(CETAK!$J$14="",$T1527=CETAK!$J$14)),MAX($AC$3:AC1526)+1,""))</f>
        <v/>
      </c>
      <c r="AD1527" s="40" t="str">
        <f aca="false">IF($B1527="","",IF(AND(OR(ABSENSI!$H$10="",$F1527=ABSENSI!$H$10),OR(ABSENSI!$H$11="",$G1527=ABSENSI!$H$11),OR(ABSENSI!$H$12="",$P1527=ABSENSI!$H$12)),MAX($AD$3:AD1526)+1,""))</f>
        <v/>
      </c>
      <c r="AE1527" s="40" t="str">
        <f aca="false">IF($B1527="","",IF(AND(OR(KARTU!$K$6="",$F1527=KARTU!$K$6),OR(KARTU!$K$7="",$G1527=KARTU!$K$7),OR(KARTU!$K$8="",$P1527=KARTU!$K$8)),MAX($AE$3:AE1526)+1,""))</f>
        <v/>
      </c>
    </row>
    <row r="1528" customFormat="false" ht="15" hidden="false" customHeight="false" outlineLevel="0" collapsed="false">
      <c r="A1528" s="35" t="str">
        <f aca="false">IF($B1528="","",COUNTA($B$4:$B1528))</f>
        <v/>
      </c>
      <c r="B1528" s="36"/>
      <c r="C1528" s="37"/>
      <c r="D1528" s="37"/>
      <c r="E1528" s="38"/>
      <c r="F1528" s="36"/>
      <c r="G1528" s="39"/>
      <c r="H1528" s="39"/>
      <c r="I1528" s="36"/>
      <c r="J1528" s="36"/>
      <c r="K1528" s="36"/>
      <c r="L1528" s="36"/>
      <c r="M1528" s="40" t="str">
        <f aca="false">IF($F1528="","",$F1528&amp;IF($G1528="",""," - RT "&amp;$G1528&amp;IF($H1528="","","/"&amp;$H1528)))</f>
        <v/>
      </c>
      <c r="N1528" s="36"/>
      <c r="O1528" s="37"/>
      <c r="P1528" s="39"/>
      <c r="Q1528" s="41"/>
      <c r="R1528" s="35" t="str">
        <f aca="true">IF(OR($B1528="",$Q1528=""),"",DATEDIF($Q1528,TODAY(),"Y"))</f>
        <v/>
      </c>
      <c r="S1528" s="40" t="str">
        <f aca="false">IF($R1528="","",INDEX(usia_label,MATCH($R1528,usia_min,1)))</f>
        <v/>
      </c>
      <c r="T1528" s="36"/>
      <c r="U1528" s="41"/>
      <c r="V1528" s="36"/>
      <c r="W1528" s="36"/>
      <c r="X1528" s="40" t="str">
        <f aca="false">IF($M1528="","",$M1528&amp;"#"&amp;COUNTIF($M$4:$M1528,$M1528))</f>
        <v/>
      </c>
      <c r="Y1528" s="40" t="str">
        <f aca="false">IF($B1528="","",IF($C1528="","NIK kosong",IF(LEN($C1528)&lt;&gt;16,"NIK bukan 16 digit",IF(COUNTIF($C$4:$C$2003,$C1528&amp;"*")&gt;1,"NIK ganda",IF(AND($D1528&lt;&gt;"",LEN($D1528)&lt;&gt;16),"No. KK bukan 16 digit",IF(AND($F1528="",$I1528=""),"Alamat kosong",IF($N1528="","Jabatan kosong",IF($O1528="","No. HP kosong",IF(AND($R1528&lt;&gt;"",$R1528&lt;17),"Usia di bawah 17","")))))))))</f>
        <v/>
      </c>
      <c r="Z1528" s="40" t="str">
        <f aca="false">IF($B1528="","",IF(AND(OR(CARI!$C$5="",ISNUMBER(SEARCH(CARI!$C$5,$B1528&amp;" "&amp;$C1528&amp;" "&amp;$D1528&amp;" "&amp;$O1528&amp;" "&amp;$I1528&amp;" "&amp;$F1528&amp;" "&amp;$J1528&amp;" "&amp;$K1528&amp;" "&amp;$L1528&amp;" "&amp;$V1528))),OR(CARI!$C$6="",$F1528=CARI!$C$6),OR(CARI!$C$7="",$G1528=CARI!$C$7),OR(CARI!$C$8="",$T1528=CARI!$C$8)),MAX($Z$3:Z1527)+1,""))</f>
        <v/>
      </c>
      <c r="AA1528" s="40" t="str">
        <f aca="false">IF($Y1528="","",MAX($AA$3:AA1527)+1)</f>
        <v/>
      </c>
      <c r="AB1528" s="40" t="str">
        <f aca="false">IF($F1528="","",$F1528&amp;"#"&amp;COUNTIF($F$4:$F1528,$F1528))</f>
        <v/>
      </c>
      <c r="AC1528" s="40" t="str">
        <f aca="false">IF($B1528="","",IF(AND(OR(CETAK!$J$10="",$F1528=CETAK!$J$10),OR(CETAK!$J$11="",$G1528=CETAK!$J$11),OR(CETAK!$J$12="",$P1528=CETAK!$J$12),OR(CETAK!$J$13="",$N1528=CETAK!$J$13),OR(CETAK!$J$14="",$T1528=CETAK!$J$14)),MAX($AC$3:AC1527)+1,""))</f>
        <v/>
      </c>
      <c r="AD1528" s="40" t="str">
        <f aca="false">IF($B1528="","",IF(AND(OR(ABSENSI!$H$10="",$F1528=ABSENSI!$H$10),OR(ABSENSI!$H$11="",$G1528=ABSENSI!$H$11),OR(ABSENSI!$H$12="",$P1528=ABSENSI!$H$12)),MAX($AD$3:AD1527)+1,""))</f>
        <v/>
      </c>
      <c r="AE1528" s="40" t="str">
        <f aca="false">IF($B1528="","",IF(AND(OR(KARTU!$K$6="",$F1528=KARTU!$K$6),OR(KARTU!$K$7="",$G1528=KARTU!$K$7),OR(KARTU!$K$8="",$P1528=KARTU!$K$8)),MAX($AE$3:AE1527)+1,""))</f>
        <v/>
      </c>
    </row>
    <row r="1529" customFormat="false" ht="15" hidden="false" customHeight="false" outlineLevel="0" collapsed="false">
      <c r="A1529" s="35" t="str">
        <f aca="false">IF($B1529="","",COUNTA($B$4:$B1529))</f>
        <v/>
      </c>
      <c r="B1529" s="36"/>
      <c r="C1529" s="37"/>
      <c r="D1529" s="37"/>
      <c r="E1529" s="38"/>
      <c r="F1529" s="36"/>
      <c r="G1529" s="39"/>
      <c r="H1529" s="39"/>
      <c r="I1529" s="36"/>
      <c r="J1529" s="36"/>
      <c r="K1529" s="36"/>
      <c r="L1529" s="36"/>
      <c r="M1529" s="40" t="str">
        <f aca="false">IF($F1529="","",$F1529&amp;IF($G1529="",""," - RT "&amp;$G1529&amp;IF($H1529="","","/"&amp;$H1529)))</f>
        <v/>
      </c>
      <c r="N1529" s="36"/>
      <c r="O1529" s="37"/>
      <c r="P1529" s="39"/>
      <c r="Q1529" s="41"/>
      <c r="R1529" s="35" t="str">
        <f aca="true">IF(OR($B1529="",$Q1529=""),"",DATEDIF($Q1529,TODAY(),"Y"))</f>
        <v/>
      </c>
      <c r="S1529" s="40" t="str">
        <f aca="false">IF($R1529="","",INDEX(usia_label,MATCH($R1529,usia_min,1)))</f>
        <v/>
      </c>
      <c r="T1529" s="36"/>
      <c r="U1529" s="41"/>
      <c r="V1529" s="36"/>
      <c r="W1529" s="36"/>
      <c r="X1529" s="40" t="str">
        <f aca="false">IF($M1529="","",$M1529&amp;"#"&amp;COUNTIF($M$4:$M1529,$M1529))</f>
        <v/>
      </c>
      <c r="Y1529" s="40" t="str">
        <f aca="false">IF($B1529="","",IF($C1529="","NIK kosong",IF(LEN($C1529)&lt;&gt;16,"NIK bukan 16 digit",IF(COUNTIF($C$4:$C$2003,$C1529&amp;"*")&gt;1,"NIK ganda",IF(AND($D1529&lt;&gt;"",LEN($D1529)&lt;&gt;16),"No. KK bukan 16 digit",IF(AND($F1529="",$I1529=""),"Alamat kosong",IF($N1529="","Jabatan kosong",IF($O1529="","No. HP kosong",IF(AND($R1529&lt;&gt;"",$R1529&lt;17),"Usia di bawah 17","")))))))))</f>
        <v/>
      </c>
      <c r="Z1529" s="40" t="str">
        <f aca="false">IF($B1529="","",IF(AND(OR(CARI!$C$5="",ISNUMBER(SEARCH(CARI!$C$5,$B1529&amp;" "&amp;$C1529&amp;" "&amp;$D1529&amp;" "&amp;$O1529&amp;" "&amp;$I1529&amp;" "&amp;$F1529&amp;" "&amp;$J1529&amp;" "&amp;$K1529&amp;" "&amp;$L1529&amp;" "&amp;$V1529))),OR(CARI!$C$6="",$F1529=CARI!$C$6),OR(CARI!$C$7="",$G1529=CARI!$C$7),OR(CARI!$C$8="",$T1529=CARI!$C$8)),MAX($Z$3:Z1528)+1,""))</f>
        <v/>
      </c>
      <c r="AA1529" s="40" t="str">
        <f aca="false">IF($Y1529="","",MAX($AA$3:AA1528)+1)</f>
        <v/>
      </c>
      <c r="AB1529" s="40" t="str">
        <f aca="false">IF($F1529="","",$F1529&amp;"#"&amp;COUNTIF($F$4:$F1529,$F1529))</f>
        <v/>
      </c>
      <c r="AC1529" s="40" t="str">
        <f aca="false">IF($B1529="","",IF(AND(OR(CETAK!$J$10="",$F1529=CETAK!$J$10),OR(CETAK!$J$11="",$G1529=CETAK!$J$11),OR(CETAK!$J$12="",$P1529=CETAK!$J$12),OR(CETAK!$J$13="",$N1529=CETAK!$J$13),OR(CETAK!$J$14="",$T1529=CETAK!$J$14)),MAX($AC$3:AC1528)+1,""))</f>
        <v/>
      </c>
      <c r="AD1529" s="40" t="str">
        <f aca="false">IF($B1529="","",IF(AND(OR(ABSENSI!$H$10="",$F1529=ABSENSI!$H$10),OR(ABSENSI!$H$11="",$G1529=ABSENSI!$H$11),OR(ABSENSI!$H$12="",$P1529=ABSENSI!$H$12)),MAX($AD$3:AD1528)+1,""))</f>
        <v/>
      </c>
      <c r="AE1529" s="40" t="str">
        <f aca="false">IF($B1529="","",IF(AND(OR(KARTU!$K$6="",$F1529=KARTU!$K$6),OR(KARTU!$K$7="",$G1529=KARTU!$K$7),OR(KARTU!$K$8="",$P1529=KARTU!$K$8)),MAX($AE$3:AE1528)+1,""))</f>
        <v/>
      </c>
    </row>
    <row r="1530" customFormat="false" ht="15" hidden="false" customHeight="false" outlineLevel="0" collapsed="false">
      <c r="A1530" s="35" t="str">
        <f aca="false">IF($B1530="","",COUNTA($B$4:$B1530))</f>
        <v/>
      </c>
      <c r="B1530" s="36"/>
      <c r="C1530" s="37"/>
      <c r="D1530" s="37"/>
      <c r="E1530" s="38"/>
      <c r="F1530" s="36"/>
      <c r="G1530" s="39"/>
      <c r="H1530" s="39"/>
      <c r="I1530" s="36"/>
      <c r="J1530" s="36"/>
      <c r="K1530" s="36"/>
      <c r="L1530" s="36"/>
      <c r="M1530" s="40" t="str">
        <f aca="false">IF($F1530="","",$F1530&amp;IF($G1530="",""," - RT "&amp;$G1530&amp;IF($H1530="","","/"&amp;$H1530)))</f>
        <v/>
      </c>
      <c r="N1530" s="36"/>
      <c r="O1530" s="37"/>
      <c r="P1530" s="39"/>
      <c r="Q1530" s="41"/>
      <c r="R1530" s="35" t="str">
        <f aca="true">IF(OR($B1530="",$Q1530=""),"",DATEDIF($Q1530,TODAY(),"Y"))</f>
        <v/>
      </c>
      <c r="S1530" s="40" t="str">
        <f aca="false">IF($R1530="","",INDEX(usia_label,MATCH($R1530,usia_min,1)))</f>
        <v/>
      </c>
      <c r="T1530" s="36"/>
      <c r="U1530" s="41"/>
      <c r="V1530" s="36"/>
      <c r="W1530" s="36"/>
      <c r="X1530" s="40" t="str">
        <f aca="false">IF($M1530="","",$M1530&amp;"#"&amp;COUNTIF($M$4:$M1530,$M1530))</f>
        <v/>
      </c>
      <c r="Y1530" s="40" t="str">
        <f aca="false">IF($B1530="","",IF($C1530="","NIK kosong",IF(LEN($C1530)&lt;&gt;16,"NIK bukan 16 digit",IF(COUNTIF($C$4:$C$2003,$C1530&amp;"*")&gt;1,"NIK ganda",IF(AND($D1530&lt;&gt;"",LEN($D1530)&lt;&gt;16),"No. KK bukan 16 digit",IF(AND($F1530="",$I1530=""),"Alamat kosong",IF($N1530="","Jabatan kosong",IF($O1530="","No. HP kosong",IF(AND($R1530&lt;&gt;"",$R1530&lt;17),"Usia di bawah 17","")))))))))</f>
        <v/>
      </c>
      <c r="Z1530" s="40" t="str">
        <f aca="false">IF($B1530="","",IF(AND(OR(CARI!$C$5="",ISNUMBER(SEARCH(CARI!$C$5,$B1530&amp;" "&amp;$C1530&amp;" "&amp;$D1530&amp;" "&amp;$O1530&amp;" "&amp;$I1530&amp;" "&amp;$F1530&amp;" "&amp;$J1530&amp;" "&amp;$K1530&amp;" "&amp;$L1530&amp;" "&amp;$V1530))),OR(CARI!$C$6="",$F1530=CARI!$C$6),OR(CARI!$C$7="",$G1530=CARI!$C$7),OR(CARI!$C$8="",$T1530=CARI!$C$8)),MAX($Z$3:Z1529)+1,""))</f>
        <v/>
      </c>
      <c r="AA1530" s="40" t="str">
        <f aca="false">IF($Y1530="","",MAX($AA$3:AA1529)+1)</f>
        <v/>
      </c>
      <c r="AB1530" s="40" t="str">
        <f aca="false">IF($F1530="","",$F1530&amp;"#"&amp;COUNTIF($F$4:$F1530,$F1530))</f>
        <v/>
      </c>
      <c r="AC1530" s="40" t="str">
        <f aca="false">IF($B1530="","",IF(AND(OR(CETAK!$J$10="",$F1530=CETAK!$J$10),OR(CETAK!$J$11="",$G1530=CETAK!$J$11),OR(CETAK!$J$12="",$P1530=CETAK!$J$12),OR(CETAK!$J$13="",$N1530=CETAK!$J$13),OR(CETAK!$J$14="",$T1530=CETAK!$J$14)),MAX($AC$3:AC1529)+1,""))</f>
        <v/>
      </c>
      <c r="AD1530" s="40" t="str">
        <f aca="false">IF($B1530="","",IF(AND(OR(ABSENSI!$H$10="",$F1530=ABSENSI!$H$10),OR(ABSENSI!$H$11="",$G1530=ABSENSI!$H$11),OR(ABSENSI!$H$12="",$P1530=ABSENSI!$H$12)),MAX($AD$3:AD1529)+1,""))</f>
        <v/>
      </c>
      <c r="AE1530" s="40" t="str">
        <f aca="false">IF($B1530="","",IF(AND(OR(KARTU!$K$6="",$F1530=KARTU!$K$6),OR(KARTU!$K$7="",$G1530=KARTU!$K$7),OR(KARTU!$K$8="",$P1530=KARTU!$K$8)),MAX($AE$3:AE1529)+1,""))</f>
        <v/>
      </c>
    </row>
    <row r="1531" customFormat="false" ht="15" hidden="false" customHeight="false" outlineLevel="0" collapsed="false">
      <c r="A1531" s="35" t="str">
        <f aca="false">IF($B1531="","",COUNTA($B$4:$B1531))</f>
        <v/>
      </c>
      <c r="B1531" s="36"/>
      <c r="C1531" s="37"/>
      <c r="D1531" s="37"/>
      <c r="E1531" s="38"/>
      <c r="F1531" s="36"/>
      <c r="G1531" s="39"/>
      <c r="H1531" s="39"/>
      <c r="I1531" s="36"/>
      <c r="J1531" s="36"/>
      <c r="K1531" s="36"/>
      <c r="L1531" s="36"/>
      <c r="M1531" s="40" t="str">
        <f aca="false">IF($F1531="","",$F1531&amp;IF($G1531="",""," - RT "&amp;$G1531&amp;IF($H1531="","","/"&amp;$H1531)))</f>
        <v/>
      </c>
      <c r="N1531" s="36"/>
      <c r="O1531" s="37"/>
      <c r="P1531" s="39"/>
      <c r="Q1531" s="41"/>
      <c r="R1531" s="35" t="str">
        <f aca="true">IF(OR($B1531="",$Q1531=""),"",DATEDIF($Q1531,TODAY(),"Y"))</f>
        <v/>
      </c>
      <c r="S1531" s="40" t="str">
        <f aca="false">IF($R1531="","",INDEX(usia_label,MATCH($R1531,usia_min,1)))</f>
        <v/>
      </c>
      <c r="T1531" s="36"/>
      <c r="U1531" s="41"/>
      <c r="V1531" s="36"/>
      <c r="W1531" s="36"/>
      <c r="X1531" s="40" t="str">
        <f aca="false">IF($M1531="","",$M1531&amp;"#"&amp;COUNTIF($M$4:$M1531,$M1531))</f>
        <v/>
      </c>
      <c r="Y1531" s="40" t="str">
        <f aca="false">IF($B1531="","",IF($C1531="","NIK kosong",IF(LEN($C1531)&lt;&gt;16,"NIK bukan 16 digit",IF(COUNTIF($C$4:$C$2003,$C1531&amp;"*")&gt;1,"NIK ganda",IF(AND($D1531&lt;&gt;"",LEN($D1531)&lt;&gt;16),"No. KK bukan 16 digit",IF(AND($F1531="",$I1531=""),"Alamat kosong",IF($N1531="","Jabatan kosong",IF($O1531="","No. HP kosong",IF(AND($R1531&lt;&gt;"",$R1531&lt;17),"Usia di bawah 17","")))))))))</f>
        <v/>
      </c>
      <c r="Z1531" s="40" t="str">
        <f aca="false">IF($B1531="","",IF(AND(OR(CARI!$C$5="",ISNUMBER(SEARCH(CARI!$C$5,$B1531&amp;" "&amp;$C1531&amp;" "&amp;$D1531&amp;" "&amp;$O1531&amp;" "&amp;$I1531&amp;" "&amp;$F1531&amp;" "&amp;$J1531&amp;" "&amp;$K1531&amp;" "&amp;$L1531&amp;" "&amp;$V1531))),OR(CARI!$C$6="",$F1531=CARI!$C$6),OR(CARI!$C$7="",$G1531=CARI!$C$7),OR(CARI!$C$8="",$T1531=CARI!$C$8)),MAX($Z$3:Z1530)+1,""))</f>
        <v/>
      </c>
      <c r="AA1531" s="40" t="str">
        <f aca="false">IF($Y1531="","",MAX($AA$3:AA1530)+1)</f>
        <v/>
      </c>
      <c r="AB1531" s="40" t="str">
        <f aca="false">IF($F1531="","",$F1531&amp;"#"&amp;COUNTIF($F$4:$F1531,$F1531))</f>
        <v/>
      </c>
      <c r="AC1531" s="40" t="str">
        <f aca="false">IF($B1531="","",IF(AND(OR(CETAK!$J$10="",$F1531=CETAK!$J$10),OR(CETAK!$J$11="",$G1531=CETAK!$J$11),OR(CETAK!$J$12="",$P1531=CETAK!$J$12),OR(CETAK!$J$13="",$N1531=CETAK!$J$13),OR(CETAK!$J$14="",$T1531=CETAK!$J$14)),MAX($AC$3:AC1530)+1,""))</f>
        <v/>
      </c>
      <c r="AD1531" s="40" t="str">
        <f aca="false">IF($B1531="","",IF(AND(OR(ABSENSI!$H$10="",$F1531=ABSENSI!$H$10),OR(ABSENSI!$H$11="",$G1531=ABSENSI!$H$11),OR(ABSENSI!$H$12="",$P1531=ABSENSI!$H$12)),MAX($AD$3:AD1530)+1,""))</f>
        <v/>
      </c>
      <c r="AE1531" s="40" t="str">
        <f aca="false">IF($B1531="","",IF(AND(OR(KARTU!$K$6="",$F1531=KARTU!$K$6),OR(KARTU!$K$7="",$G1531=KARTU!$K$7),OR(KARTU!$K$8="",$P1531=KARTU!$K$8)),MAX($AE$3:AE1530)+1,""))</f>
        <v/>
      </c>
    </row>
    <row r="1532" customFormat="false" ht="15" hidden="false" customHeight="false" outlineLevel="0" collapsed="false">
      <c r="A1532" s="35" t="str">
        <f aca="false">IF($B1532="","",COUNTA($B$4:$B1532))</f>
        <v/>
      </c>
      <c r="B1532" s="36"/>
      <c r="C1532" s="37"/>
      <c r="D1532" s="37"/>
      <c r="E1532" s="38"/>
      <c r="F1532" s="36"/>
      <c r="G1532" s="39"/>
      <c r="H1532" s="39"/>
      <c r="I1532" s="36"/>
      <c r="J1532" s="36"/>
      <c r="K1532" s="36"/>
      <c r="L1532" s="36"/>
      <c r="M1532" s="40" t="str">
        <f aca="false">IF($F1532="","",$F1532&amp;IF($G1532="",""," - RT "&amp;$G1532&amp;IF($H1532="","","/"&amp;$H1532)))</f>
        <v/>
      </c>
      <c r="N1532" s="36"/>
      <c r="O1532" s="37"/>
      <c r="P1532" s="39"/>
      <c r="Q1532" s="41"/>
      <c r="R1532" s="35" t="str">
        <f aca="true">IF(OR($B1532="",$Q1532=""),"",DATEDIF($Q1532,TODAY(),"Y"))</f>
        <v/>
      </c>
      <c r="S1532" s="40" t="str">
        <f aca="false">IF($R1532="","",INDEX(usia_label,MATCH($R1532,usia_min,1)))</f>
        <v/>
      </c>
      <c r="T1532" s="36"/>
      <c r="U1532" s="41"/>
      <c r="V1532" s="36"/>
      <c r="W1532" s="36"/>
      <c r="X1532" s="40" t="str">
        <f aca="false">IF($M1532="","",$M1532&amp;"#"&amp;COUNTIF($M$4:$M1532,$M1532))</f>
        <v/>
      </c>
      <c r="Y1532" s="40" t="str">
        <f aca="false">IF($B1532="","",IF($C1532="","NIK kosong",IF(LEN($C1532)&lt;&gt;16,"NIK bukan 16 digit",IF(COUNTIF($C$4:$C$2003,$C1532&amp;"*")&gt;1,"NIK ganda",IF(AND($D1532&lt;&gt;"",LEN($D1532)&lt;&gt;16),"No. KK bukan 16 digit",IF(AND($F1532="",$I1532=""),"Alamat kosong",IF($N1532="","Jabatan kosong",IF($O1532="","No. HP kosong",IF(AND($R1532&lt;&gt;"",$R1532&lt;17),"Usia di bawah 17","")))))))))</f>
        <v/>
      </c>
      <c r="Z1532" s="40" t="str">
        <f aca="false">IF($B1532="","",IF(AND(OR(CARI!$C$5="",ISNUMBER(SEARCH(CARI!$C$5,$B1532&amp;" "&amp;$C1532&amp;" "&amp;$D1532&amp;" "&amp;$O1532&amp;" "&amp;$I1532&amp;" "&amp;$F1532&amp;" "&amp;$J1532&amp;" "&amp;$K1532&amp;" "&amp;$L1532&amp;" "&amp;$V1532))),OR(CARI!$C$6="",$F1532=CARI!$C$6),OR(CARI!$C$7="",$G1532=CARI!$C$7),OR(CARI!$C$8="",$T1532=CARI!$C$8)),MAX($Z$3:Z1531)+1,""))</f>
        <v/>
      </c>
      <c r="AA1532" s="40" t="str">
        <f aca="false">IF($Y1532="","",MAX($AA$3:AA1531)+1)</f>
        <v/>
      </c>
      <c r="AB1532" s="40" t="str">
        <f aca="false">IF($F1532="","",$F1532&amp;"#"&amp;COUNTIF($F$4:$F1532,$F1532))</f>
        <v/>
      </c>
      <c r="AC1532" s="40" t="str">
        <f aca="false">IF($B1532="","",IF(AND(OR(CETAK!$J$10="",$F1532=CETAK!$J$10),OR(CETAK!$J$11="",$G1532=CETAK!$J$11),OR(CETAK!$J$12="",$P1532=CETAK!$J$12),OR(CETAK!$J$13="",$N1532=CETAK!$J$13),OR(CETAK!$J$14="",$T1532=CETAK!$J$14)),MAX($AC$3:AC1531)+1,""))</f>
        <v/>
      </c>
      <c r="AD1532" s="40" t="str">
        <f aca="false">IF($B1532="","",IF(AND(OR(ABSENSI!$H$10="",$F1532=ABSENSI!$H$10),OR(ABSENSI!$H$11="",$G1532=ABSENSI!$H$11),OR(ABSENSI!$H$12="",$P1532=ABSENSI!$H$12)),MAX($AD$3:AD1531)+1,""))</f>
        <v/>
      </c>
      <c r="AE1532" s="40" t="str">
        <f aca="false">IF($B1532="","",IF(AND(OR(KARTU!$K$6="",$F1532=KARTU!$K$6),OR(KARTU!$K$7="",$G1532=KARTU!$K$7),OR(KARTU!$K$8="",$P1532=KARTU!$K$8)),MAX($AE$3:AE1531)+1,""))</f>
        <v/>
      </c>
    </row>
    <row r="1533" customFormat="false" ht="15" hidden="false" customHeight="false" outlineLevel="0" collapsed="false">
      <c r="A1533" s="35" t="str">
        <f aca="false">IF($B1533="","",COUNTA($B$4:$B1533))</f>
        <v/>
      </c>
      <c r="B1533" s="36"/>
      <c r="C1533" s="37"/>
      <c r="D1533" s="37"/>
      <c r="E1533" s="38"/>
      <c r="F1533" s="36"/>
      <c r="G1533" s="39"/>
      <c r="H1533" s="39"/>
      <c r="I1533" s="36"/>
      <c r="J1533" s="36"/>
      <c r="K1533" s="36"/>
      <c r="L1533" s="36"/>
      <c r="M1533" s="40" t="str">
        <f aca="false">IF($F1533="","",$F1533&amp;IF($G1533="",""," - RT "&amp;$G1533&amp;IF($H1533="","","/"&amp;$H1533)))</f>
        <v/>
      </c>
      <c r="N1533" s="36"/>
      <c r="O1533" s="37"/>
      <c r="P1533" s="39"/>
      <c r="Q1533" s="41"/>
      <c r="R1533" s="35" t="str">
        <f aca="true">IF(OR($B1533="",$Q1533=""),"",DATEDIF($Q1533,TODAY(),"Y"))</f>
        <v/>
      </c>
      <c r="S1533" s="40" t="str">
        <f aca="false">IF($R1533="","",INDEX(usia_label,MATCH($R1533,usia_min,1)))</f>
        <v/>
      </c>
      <c r="T1533" s="36"/>
      <c r="U1533" s="41"/>
      <c r="V1533" s="36"/>
      <c r="W1533" s="36"/>
      <c r="X1533" s="40" t="str">
        <f aca="false">IF($M1533="","",$M1533&amp;"#"&amp;COUNTIF($M$4:$M1533,$M1533))</f>
        <v/>
      </c>
      <c r="Y1533" s="40" t="str">
        <f aca="false">IF($B1533="","",IF($C1533="","NIK kosong",IF(LEN($C1533)&lt;&gt;16,"NIK bukan 16 digit",IF(COUNTIF($C$4:$C$2003,$C1533&amp;"*")&gt;1,"NIK ganda",IF(AND($D1533&lt;&gt;"",LEN($D1533)&lt;&gt;16),"No. KK bukan 16 digit",IF(AND($F1533="",$I1533=""),"Alamat kosong",IF($N1533="","Jabatan kosong",IF($O1533="","No. HP kosong",IF(AND($R1533&lt;&gt;"",$R1533&lt;17),"Usia di bawah 17","")))))))))</f>
        <v/>
      </c>
      <c r="Z1533" s="40" t="str">
        <f aca="false">IF($B1533="","",IF(AND(OR(CARI!$C$5="",ISNUMBER(SEARCH(CARI!$C$5,$B1533&amp;" "&amp;$C1533&amp;" "&amp;$D1533&amp;" "&amp;$O1533&amp;" "&amp;$I1533&amp;" "&amp;$F1533&amp;" "&amp;$J1533&amp;" "&amp;$K1533&amp;" "&amp;$L1533&amp;" "&amp;$V1533))),OR(CARI!$C$6="",$F1533=CARI!$C$6),OR(CARI!$C$7="",$G1533=CARI!$C$7),OR(CARI!$C$8="",$T1533=CARI!$C$8)),MAX($Z$3:Z1532)+1,""))</f>
        <v/>
      </c>
      <c r="AA1533" s="40" t="str">
        <f aca="false">IF($Y1533="","",MAX($AA$3:AA1532)+1)</f>
        <v/>
      </c>
      <c r="AB1533" s="40" t="str">
        <f aca="false">IF($F1533="","",$F1533&amp;"#"&amp;COUNTIF($F$4:$F1533,$F1533))</f>
        <v/>
      </c>
      <c r="AC1533" s="40" t="str">
        <f aca="false">IF($B1533="","",IF(AND(OR(CETAK!$J$10="",$F1533=CETAK!$J$10),OR(CETAK!$J$11="",$G1533=CETAK!$J$11),OR(CETAK!$J$12="",$P1533=CETAK!$J$12),OR(CETAK!$J$13="",$N1533=CETAK!$J$13),OR(CETAK!$J$14="",$T1533=CETAK!$J$14)),MAX($AC$3:AC1532)+1,""))</f>
        <v/>
      </c>
      <c r="AD1533" s="40" t="str">
        <f aca="false">IF($B1533="","",IF(AND(OR(ABSENSI!$H$10="",$F1533=ABSENSI!$H$10),OR(ABSENSI!$H$11="",$G1533=ABSENSI!$H$11),OR(ABSENSI!$H$12="",$P1533=ABSENSI!$H$12)),MAX($AD$3:AD1532)+1,""))</f>
        <v/>
      </c>
      <c r="AE1533" s="40" t="str">
        <f aca="false">IF($B1533="","",IF(AND(OR(KARTU!$K$6="",$F1533=KARTU!$K$6),OR(KARTU!$K$7="",$G1533=KARTU!$K$7),OR(KARTU!$K$8="",$P1533=KARTU!$K$8)),MAX($AE$3:AE1532)+1,""))</f>
        <v/>
      </c>
    </row>
    <row r="1534" customFormat="false" ht="15" hidden="false" customHeight="false" outlineLevel="0" collapsed="false">
      <c r="A1534" s="35" t="str">
        <f aca="false">IF($B1534="","",COUNTA($B$4:$B1534))</f>
        <v/>
      </c>
      <c r="B1534" s="36"/>
      <c r="C1534" s="37"/>
      <c r="D1534" s="37"/>
      <c r="E1534" s="38"/>
      <c r="F1534" s="36"/>
      <c r="G1534" s="39"/>
      <c r="H1534" s="39"/>
      <c r="I1534" s="36"/>
      <c r="J1534" s="36"/>
      <c r="K1534" s="36"/>
      <c r="L1534" s="36"/>
      <c r="M1534" s="40" t="str">
        <f aca="false">IF($F1534="","",$F1534&amp;IF($G1534="",""," - RT "&amp;$G1534&amp;IF($H1534="","","/"&amp;$H1534)))</f>
        <v/>
      </c>
      <c r="N1534" s="36"/>
      <c r="O1534" s="37"/>
      <c r="P1534" s="39"/>
      <c r="Q1534" s="41"/>
      <c r="R1534" s="35" t="str">
        <f aca="true">IF(OR($B1534="",$Q1534=""),"",DATEDIF($Q1534,TODAY(),"Y"))</f>
        <v/>
      </c>
      <c r="S1534" s="40" t="str">
        <f aca="false">IF($R1534="","",INDEX(usia_label,MATCH($R1534,usia_min,1)))</f>
        <v/>
      </c>
      <c r="T1534" s="36"/>
      <c r="U1534" s="41"/>
      <c r="V1534" s="36"/>
      <c r="W1534" s="36"/>
      <c r="X1534" s="40" t="str">
        <f aca="false">IF($M1534="","",$M1534&amp;"#"&amp;COUNTIF($M$4:$M1534,$M1534))</f>
        <v/>
      </c>
      <c r="Y1534" s="40" t="str">
        <f aca="false">IF($B1534="","",IF($C1534="","NIK kosong",IF(LEN($C1534)&lt;&gt;16,"NIK bukan 16 digit",IF(COUNTIF($C$4:$C$2003,$C1534&amp;"*")&gt;1,"NIK ganda",IF(AND($D1534&lt;&gt;"",LEN($D1534)&lt;&gt;16),"No. KK bukan 16 digit",IF(AND($F1534="",$I1534=""),"Alamat kosong",IF($N1534="","Jabatan kosong",IF($O1534="","No. HP kosong",IF(AND($R1534&lt;&gt;"",$R1534&lt;17),"Usia di bawah 17","")))))))))</f>
        <v/>
      </c>
      <c r="Z1534" s="40" t="str">
        <f aca="false">IF($B1534="","",IF(AND(OR(CARI!$C$5="",ISNUMBER(SEARCH(CARI!$C$5,$B1534&amp;" "&amp;$C1534&amp;" "&amp;$D1534&amp;" "&amp;$O1534&amp;" "&amp;$I1534&amp;" "&amp;$F1534&amp;" "&amp;$J1534&amp;" "&amp;$K1534&amp;" "&amp;$L1534&amp;" "&amp;$V1534))),OR(CARI!$C$6="",$F1534=CARI!$C$6),OR(CARI!$C$7="",$G1534=CARI!$C$7),OR(CARI!$C$8="",$T1534=CARI!$C$8)),MAX($Z$3:Z1533)+1,""))</f>
        <v/>
      </c>
      <c r="AA1534" s="40" t="str">
        <f aca="false">IF($Y1534="","",MAX($AA$3:AA1533)+1)</f>
        <v/>
      </c>
      <c r="AB1534" s="40" t="str">
        <f aca="false">IF($F1534="","",$F1534&amp;"#"&amp;COUNTIF($F$4:$F1534,$F1534))</f>
        <v/>
      </c>
      <c r="AC1534" s="40" t="str">
        <f aca="false">IF($B1534="","",IF(AND(OR(CETAK!$J$10="",$F1534=CETAK!$J$10),OR(CETAK!$J$11="",$G1534=CETAK!$J$11),OR(CETAK!$J$12="",$P1534=CETAK!$J$12),OR(CETAK!$J$13="",$N1534=CETAK!$J$13),OR(CETAK!$J$14="",$T1534=CETAK!$J$14)),MAX($AC$3:AC1533)+1,""))</f>
        <v/>
      </c>
      <c r="AD1534" s="40" t="str">
        <f aca="false">IF($B1534="","",IF(AND(OR(ABSENSI!$H$10="",$F1534=ABSENSI!$H$10),OR(ABSENSI!$H$11="",$G1534=ABSENSI!$H$11),OR(ABSENSI!$H$12="",$P1534=ABSENSI!$H$12)),MAX($AD$3:AD1533)+1,""))</f>
        <v/>
      </c>
      <c r="AE1534" s="40" t="str">
        <f aca="false">IF($B1534="","",IF(AND(OR(KARTU!$K$6="",$F1534=KARTU!$K$6),OR(KARTU!$K$7="",$G1534=KARTU!$K$7),OR(KARTU!$K$8="",$P1534=KARTU!$K$8)),MAX($AE$3:AE1533)+1,""))</f>
        <v/>
      </c>
    </row>
    <row r="1535" customFormat="false" ht="15" hidden="false" customHeight="false" outlineLevel="0" collapsed="false">
      <c r="A1535" s="35" t="str">
        <f aca="false">IF($B1535="","",COUNTA($B$4:$B1535))</f>
        <v/>
      </c>
      <c r="B1535" s="36"/>
      <c r="C1535" s="37"/>
      <c r="D1535" s="37"/>
      <c r="E1535" s="38"/>
      <c r="F1535" s="36"/>
      <c r="G1535" s="39"/>
      <c r="H1535" s="39"/>
      <c r="I1535" s="36"/>
      <c r="J1535" s="36"/>
      <c r="K1535" s="36"/>
      <c r="L1535" s="36"/>
      <c r="M1535" s="40" t="str">
        <f aca="false">IF($F1535="","",$F1535&amp;IF($G1535="",""," - RT "&amp;$G1535&amp;IF($H1535="","","/"&amp;$H1535)))</f>
        <v/>
      </c>
      <c r="N1535" s="36"/>
      <c r="O1535" s="37"/>
      <c r="P1535" s="39"/>
      <c r="Q1535" s="41"/>
      <c r="R1535" s="35" t="str">
        <f aca="true">IF(OR($B1535="",$Q1535=""),"",DATEDIF($Q1535,TODAY(),"Y"))</f>
        <v/>
      </c>
      <c r="S1535" s="40" t="str">
        <f aca="false">IF($R1535="","",INDEX(usia_label,MATCH($R1535,usia_min,1)))</f>
        <v/>
      </c>
      <c r="T1535" s="36"/>
      <c r="U1535" s="41"/>
      <c r="V1535" s="36"/>
      <c r="W1535" s="36"/>
      <c r="X1535" s="40" t="str">
        <f aca="false">IF($M1535="","",$M1535&amp;"#"&amp;COUNTIF($M$4:$M1535,$M1535))</f>
        <v/>
      </c>
      <c r="Y1535" s="40" t="str">
        <f aca="false">IF($B1535="","",IF($C1535="","NIK kosong",IF(LEN($C1535)&lt;&gt;16,"NIK bukan 16 digit",IF(COUNTIF($C$4:$C$2003,$C1535&amp;"*")&gt;1,"NIK ganda",IF(AND($D1535&lt;&gt;"",LEN($D1535)&lt;&gt;16),"No. KK bukan 16 digit",IF(AND($F1535="",$I1535=""),"Alamat kosong",IF($N1535="","Jabatan kosong",IF($O1535="","No. HP kosong",IF(AND($R1535&lt;&gt;"",$R1535&lt;17),"Usia di bawah 17","")))))))))</f>
        <v/>
      </c>
      <c r="Z1535" s="40" t="str">
        <f aca="false">IF($B1535="","",IF(AND(OR(CARI!$C$5="",ISNUMBER(SEARCH(CARI!$C$5,$B1535&amp;" "&amp;$C1535&amp;" "&amp;$D1535&amp;" "&amp;$O1535&amp;" "&amp;$I1535&amp;" "&amp;$F1535&amp;" "&amp;$J1535&amp;" "&amp;$K1535&amp;" "&amp;$L1535&amp;" "&amp;$V1535))),OR(CARI!$C$6="",$F1535=CARI!$C$6),OR(CARI!$C$7="",$G1535=CARI!$C$7),OR(CARI!$C$8="",$T1535=CARI!$C$8)),MAX($Z$3:Z1534)+1,""))</f>
        <v/>
      </c>
      <c r="AA1535" s="40" t="str">
        <f aca="false">IF($Y1535="","",MAX($AA$3:AA1534)+1)</f>
        <v/>
      </c>
      <c r="AB1535" s="40" t="str">
        <f aca="false">IF($F1535="","",$F1535&amp;"#"&amp;COUNTIF($F$4:$F1535,$F1535))</f>
        <v/>
      </c>
      <c r="AC1535" s="40" t="str">
        <f aca="false">IF($B1535="","",IF(AND(OR(CETAK!$J$10="",$F1535=CETAK!$J$10),OR(CETAK!$J$11="",$G1535=CETAK!$J$11),OR(CETAK!$J$12="",$P1535=CETAK!$J$12),OR(CETAK!$J$13="",$N1535=CETAK!$J$13),OR(CETAK!$J$14="",$T1535=CETAK!$J$14)),MAX($AC$3:AC1534)+1,""))</f>
        <v/>
      </c>
      <c r="AD1535" s="40" t="str">
        <f aca="false">IF($B1535="","",IF(AND(OR(ABSENSI!$H$10="",$F1535=ABSENSI!$H$10),OR(ABSENSI!$H$11="",$G1535=ABSENSI!$H$11),OR(ABSENSI!$H$12="",$P1535=ABSENSI!$H$12)),MAX($AD$3:AD1534)+1,""))</f>
        <v/>
      </c>
      <c r="AE1535" s="40" t="str">
        <f aca="false">IF($B1535="","",IF(AND(OR(KARTU!$K$6="",$F1535=KARTU!$K$6),OR(KARTU!$K$7="",$G1535=KARTU!$K$7),OR(KARTU!$K$8="",$P1535=KARTU!$K$8)),MAX($AE$3:AE1534)+1,""))</f>
        <v/>
      </c>
    </row>
    <row r="1536" customFormat="false" ht="15" hidden="false" customHeight="false" outlineLevel="0" collapsed="false">
      <c r="A1536" s="35" t="str">
        <f aca="false">IF($B1536="","",COUNTA($B$4:$B1536))</f>
        <v/>
      </c>
      <c r="B1536" s="36"/>
      <c r="C1536" s="37"/>
      <c r="D1536" s="37"/>
      <c r="E1536" s="38"/>
      <c r="F1536" s="36"/>
      <c r="G1536" s="39"/>
      <c r="H1536" s="39"/>
      <c r="I1536" s="36"/>
      <c r="J1536" s="36"/>
      <c r="K1536" s="36"/>
      <c r="L1536" s="36"/>
      <c r="M1536" s="40" t="str">
        <f aca="false">IF($F1536="","",$F1536&amp;IF($G1536="",""," - RT "&amp;$G1536&amp;IF($H1536="","","/"&amp;$H1536)))</f>
        <v/>
      </c>
      <c r="N1536" s="36"/>
      <c r="O1536" s="37"/>
      <c r="P1536" s="39"/>
      <c r="Q1536" s="41"/>
      <c r="R1536" s="35" t="str">
        <f aca="true">IF(OR($B1536="",$Q1536=""),"",DATEDIF($Q1536,TODAY(),"Y"))</f>
        <v/>
      </c>
      <c r="S1536" s="40" t="str">
        <f aca="false">IF($R1536="","",INDEX(usia_label,MATCH($R1536,usia_min,1)))</f>
        <v/>
      </c>
      <c r="T1536" s="36"/>
      <c r="U1536" s="41"/>
      <c r="V1536" s="36"/>
      <c r="W1536" s="36"/>
      <c r="X1536" s="40" t="str">
        <f aca="false">IF($M1536="","",$M1536&amp;"#"&amp;COUNTIF($M$4:$M1536,$M1536))</f>
        <v/>
      </c>
      <c r="Y1536" s="40" t="str">
        <f aca="false">IF($B1536="","",IF($C1536="","NIK kosong",IF(LEN($C1536)&lt;&gt;16,"NIK bukan 16 digit",IF(COUNTIF($C$4:$C$2003,$C1536&amp;"*")&gt;1,"NIK ganda",IF(AND($D1536&lt;&gt;"",LEN($D1536)&lt;&gt;16),"No. KK bukan 16 digit",IF(AND($F1536="",$I1536=""),"Alamat kosong",IF($N1536="","Jabatan kosong",IF($O1536="","No. HP kosong",IF(AND($R1536&lt;&gt;"",$R1536&lt;17),"Usia di bawah 17","")))))))))</f>
        <v/>
      </c>
      <c r="Z1536" s="40" t="str">
        <f aca="false">IF($B1536="","",IF(AND(OR(CARI!$C$5="",ISNUMBER(SEARCH(CARI!$C$5,$B1536&amp;" "&amp;$C1536&amp;" "&amp;$D1536&amp;" "&amp;$O1536&amp;" "&amp;$I1536&amp;" "&amp;$F1536&amp;" "&amp;$J1536&amp;" "&amp;$K1536&amp;" "&amp;$L1536&amp;" "&amp;$V1536))),OR(CARI!$C$6="",$F1536=CARI!$C$6),OR(CARI!$C$7="",$G1536=CARI!$C$7),OR(CARI!$C$8="",$T1536=CARI!$C$8)),MAX($Z$3:Z1535)+1,""))</f>
        <v/>
      </c>
      <c r="AA1536" s="40" t="str">
        <f aca="false">IF($Y1536="","",MAX($AA$3:AA1535)+1)</f>
        <v/>
      </c>
      <c r="AB1536" s="40" t="str">
        <f aca="false">IF($F1536="","",$F1536&amp;"#"&amp;COUNTIF($F$4:$F1536,$F1536))</f>
        <v/>
      </c>
      <c r="AC1536" s="40" t="str">
        <f aca="false">IF($B1536="","",IF(AND(OR(CETAK!$J$10="",$F1536=CETAK!$J$10),OR(CETAK!$J$11="",$G1536=CETAK!$J$11),OR(CETAK!$J$12="",$P1536=CETAK!$J$12),OR(CETAK!$J$13="",$N1536=CETAK!$J$13),OR(CETAK!$J$14="",$T1536=CETAK!$J$14)),MAX($AC$3:AC1535)+1,""))</f>
        <v/>
      </c>
      <c r="AD1536" s="40" t="str">
        <f aca="false">IF($B1536="","",IF(AND(OR(ABSENSI!$H$10="",$F1536=ABSENSI!$H$10),OR(ABSENSI!$H$11="",$G1536=ABSENSI!$H$11),OR(ABSENSI!$H$12="",$P1536=ABSENSI!$H$12)),MAX($AD$3:AD1535)+1,""))</f>
        <v/>
      </c>
      <c r="AE1536" s="40" t="str">
        <f aca="false">IF($B1536="","",IF(AND(OR(KARTU!$K$6="",$F1536=KARTU!$K$6),OR(KARTU!$K$7="",$G1536=KARTU!$K$7),OR(KARTU!$K$8="",$P1536=KARTU!$K$8)),MAX($AE$3:AE1535)+1,""))</f>
        <v/>
      </c>
    </row>
    <row r="1537" customFormat="false" ht="15" hidden="false" customHeight="false" outlineLevel="0" collapsed="false">
      <c r="A1537" s="35" t="str">
        <f aca="false">IF($B1537="","",COUNTA($B$4:$B1537))</f>
        <v/>
      </c>
      <c r="B1537" s="36"/>
      <c r="C1537" s="37"/>
      <c r="D1537" s="37"/>
      <c r="E1537" s="38"/>
      <c r="F1537" s="36"/>
      <c r="G1537" s="39"/>
      <c r="H1537" s="39"/>
      <c r="I1537" s="36"/>
      <c r="J1537" s="36"/>
      <c r="K1537" s="36"/>
      <c r="L1537" s="36"/>
      <c r="M1537" s="40" t="str">
        <f aca="false">IF($F1537="","",$F1537&amp;IF($G1537="",""," - RT "&amp;$G1537&amp;IF($H1537="","","/"&amp;$H1537)))</f>
        <v/>
      </c>
      <c r="N1537" s="36"/>
      <c r="O1537" s="37"/>
      <c r="P1537" s="39"/>
      <c r="Q1537" s="41"/>
      <c r="R1537" s="35" t="str">
        <f aca="true">IF(OR($B1537="",$Q1537=""),"",DATEDIF($Q1537,TODAY(),"Y"))</f>
        <v/>
      </c>
      <c r="S1537" s="40" t="str">
        <f aca="false">IF($R1537="","",INDEX(usia_label,MATCH($R1537,usia_min,1)))</f>
        <v/>
      </c>
      <c r="T1537" s="36"/>
      <c r="U1537" s="41"/>
      <c r="V1537" s="36"/>
      <c r="W1537" s="36"/>
      <c r="X1537" s="40" t="str">
        <f aca="false">IF($M1537="","",$M1537&amp;"#"&amp;COUNTIF($M$4:$M1537,$M1537))</f>
        <v/>
      </c>
      <c r="Y1537" s="40" t="str">
        <f aca="false">IF($B1537="","",IF($C1537="","NIK kosong",IF(LEN($C1537)&lt;&gt;16,"NIK bukan 16 digit",IF(COUNTIF($C$4:$C$2003,$C1537&amp;"*")&gt;1,"NIK ganda",IF(AND($D1537&lt;&gt;"",LEN($D1537)&lt;&gt;16),"No. KK bukan 16 digit",IF(AND($F1537="",$I1537=""),"Alamat kosong",IF($N1537="","Jabatan kosong",IF($O1537="","No. HP kosong",IF(AND($R1537&lt;&gt;"",$R1537&lt;17),"Usia di bawah 17","")))))))))</f>
        <v/>
      </c>
      <c r="Z1537" s="40" t="str">
        <f aca="false">IF($B1537="","",IF(AND(OR(CARI!$C$5="",ISNUMBER(SEARCH(CARI!$C$5,$B1537&amp;" "&amp;$C1537&amp;" "&amp;$D1537&amp;" "&amp;$O1537&amp;" "&amp;$I1537&amp;" "&amp;$F1537&amp;" "&amp;$J1537&amp;" "&amp;$K1537&amp;" "&amp;$L1537&amp;" "&amp;$V1537))),OR(CARI!$C$6="",$F1537=CARI!$C$6),OR(CARI!$C$7="",$G1537=CARI!$C$7),OR(CARI!$C$8="",$T1537=CARI!$C$8)),MAX($Z$3:Z1536)+1,""))</f>
        <v/>
      </c>
      <c r="AA1537" s="40" t="str">
        <f aca="false">IF($Y1537="","",MAX($AA$3:AA1536)+1)</f>
        <v/>
      </c>
      <c r="AB1537" s="40" t="str">
        <f aca="false">IF($F1537="","",$F1537&amp;"#"&amp;COUNTIF($F$4:$F1537,$F1537))</f>
        <v/>
      </c>
      <c r="AC1537" s="40" t="str">
        <f aca="false">IF($B1537="","",IF(AND(OR(CETAK!$J$10="",$F1537=CETAK!$J$10),OR(CETAK!$J$11="",$G1537=CETAK!$J$11),OR(CETAK!$J$12="",$P1537=CETAK!$J$12),OR(CETAK!$J$13="",$N1537=CETAK!$J$13),OR(CETAK!$J$14="",$T1537=CETAK!$J$14)),MAX($AC$3:AC1536)+1,""))</f>
        <v/>
      </c>
      <c r="AD1537" s="40" t="str">
        <f aca="false">IF($B1537="","",IF(AND(OR(ABSENSI!$H$10="",$F1537=ABSENSI!$H$10),OR(ABSENSI!$H$11="",$G1537=ABSENSI!$H$11),OR(ABSENSI!$H$12="",$P1537=ABSENSI!$H$12)),MAX($AD$3:AD1536)+1,""))</f>
        <v/>
      </c>
      <c r="AE1537" s="40" t="str">
        <f aca="false">IF($B1537="","",IF(AND(OR(KARTU!$K$6="",$F1537=KARTU!$K$6),OR(KARTU!$K$7="",$G1537=KARTU!$K$7),OR(KARTU!$K$8="",$P1537=KARTU!$K$8)),MAX($AE$3:AE1536)+1,""))</f>
        <v/>
      </c>
    </row>
    <row r="1538" customFormat="false" ht="15" hidden="false" customHeight="false" outlineLevel="0" collapsed="false">
      <c r="A1538" s="35" t="str">
        <f aca="false">IF($B1538="","",COUNTA($B$4:$B1538))</f>
        <v/>
      </c>
      <c r="B1538" s="36"/>
      <c r="C1538" s="37"/>
      <c r="D1538" s="37"/>
      <c r="E1538" s="38"/>
      <c r="F1538" s="36"/>
      <c r="G1538" s="39"/>
      <c r="H1538" s="39"/>
      <c r="I1538" s="36"/>
      <c r="J1538" s="36"/>
      <c r="K1538" s="36"/>
      <c r="L1538" s="36"/>
      <c r="M1538" s="40" t="str">
        <f aca="false">IF($F1538="","",$F1538&amp;IF($G1538="",""," - RT "&amp;$G1538&amp;IF($H1538="","","/"&amp;$H1538)))</f>
        <v/>
      </c>
      <c r="N1538" s="36"/>
      <c r="O1538" s="37"/>
      <c r="P1538" s="39"/>
      <c r="Q1538" s="41"/>
      <c r="R1538" s="35" t="str">
        <f aca="true">IF(OR($B1538="",$Q1538=""),"",DATEDIF($Q1538,TODAY(),"Y"))</f>
        <v/>
      </c>
      <c r="S1538" s="40" t="str">
        <f aca="false">IF($R1538="","",INDEX(usia_label,MATCH($R1538,usia_min,1)))</f>
        <v/>
      </c>
      <c r="T1538" s="36"/>
      <c r="U1538" s="41"/>
      <c r="V1538" s="36"/>
      <c r="W1538" s="36"/>
      <c r="X1538" s="40" t="str">
        <f aca="false">IF($M1538="","",$M1538&amp;"#"&amp;COUNTIF($M$4:$M1538,$M1538))</f>
        <v/>
      </c>
      <c r="Y1538" s="40" t="str">
        <f aca="false">IF($B1538="","",IF($C1538="","NIK kosong",IF(LEN($C1538)&lt;&gt;16,"NIK bukan 16 digit",IF(COUNTIF($C$4:$C$2003,$C1538&amp;"*")&gt;1,"NIK ganda",IF(AND($D1538&lt;&gt;"",LEN($D1538)&lt;&gt;16),"No. KK bukan 16 digit",IF(AND($F1538="",$I1538=""),"Alamat kosong",IF($N1538="","Jabatan kosong",IF($O1538="","No. HP kosong",IF(AND($R1538&lt;&gt;"",$R1538&lt;17),"Usia di bawah 17","")))))))))</f>
        <v/>
      </c>
      <c r="Z1538" s="40" t="str">
        <f aca="false">IF($B1538="","",IF(AND(OR(CARI!$C$5="",ISNUMBER(SEARCH(CARI!$C$5,$B1538&amp;" "&amp;$C1538&amp;" "&amp;$D1538&amp;" "&amp;$O1538&amp;" "&amp;$I1538&amp;" "&amp;$F1538&amp;" "&amp;$J1538&amp;" "&amp;$K1538&amp;" "&amp;$L1538&amp;" "&amp;$V1538))),OR(CARI!$C$6="",$F1538=CARI!$C$6),OR(CARI!$C$7="",$G1538=CARI!$C$7),OR(CARI!$C$8="",$T1538=CARI!$C$8)),MAX($Z$3:Z1537)+1,""))</f>
        <v/>
      </c>
      <c r="AA1538" s="40" t="str">
        <f aca="false">IF($Y1538="","",MAX($AA$3:AA1537)+1)</f>
        <v/>
      </c>
      <c r="AB1538" s="40" t="str">
        <f aca="false">IF($F1538="","",$F1538&amp;"#"&amp;COUNTIF($F$4:$F1538,$F1538))</f>
        <v/>
      </c>
      <c r="AC1538" s="40" t="str">
        <f aca="false">IF($B1538="","",IF(AND(OR(CETAK!$J$10="",$F1538=CETAK!$J$10),OR(CETAK!$J$11="",$G1538=CETAK!$J$11),OR(CETAK!$J$12="",$P1538=CETAK!$J$12),OR(CETAK!$J$13="",$N1538=CETAK!$J$13),OR(CETAK!$J$14="",$T1538=CETAK!$J$14)),MAX($AC$3:AC1537)+1,""))</f>
        <v/>
      </c>
      <c r="AD1538" s="40" t="str">
        <f aca="false">IF($B1538="","",IF(AND(OR(ABSENSI!$H$10="",$F1538=ABSENSI!$H$10),OR(ABSENSI!$H$11="",$G1538=ABSENSI!$H$11),OR(ABSENSI!$H$12="",$P1538=ABSENSI!$H$12)),MAX($AD$3:AD1537)+1,""))</f>
        <v/>
      </c>
      <c r="AE1538" s="40" t="str">
        <f aca="false">IF($B1538="","",IF(AND(OR(KARTU!$K$6="",$F1538=KARTU!$K$6),OR(KARTU!$K$7="",$G1538=KARTU!$K$7),OR(KARTU!$K$8="",$P1538=KARTU!$K$8)),MAX($AE$3:AE1537)+1,""))</f>
        <v/>
      </c>
    </row>
    <row r="1539" customFormat="false" ht="15" hidden="false" customHeight="false" outlineLevel="0" collapsed="false">
      <c r="A1539" s="35" t="str">
        <f aca="false">IF($B1539="","",COUNTA($B$4:$B1539))</f>
        <v/>
      </c>
      <c r="B1539" s="36"/>
      <c r="C1539" s="37"/>
      <c r="D1539" s="37"/>
      <c r="E1539" s="38"/>
      <c r="F1539" s="36"/>
      <c r="G1539" s="39"/>
      <c r="H1539" s="39"/>
      <c r="I1539" s="36"/>
      <c r="J1539" s="36"/>
      <c r="K1539" s="36"/>
      <c r="L1539" s="36"/>
      <c r="M1539" s="40" t="str">
        <f aca="false">IF($F1539="","",$F1539&amp;IF($G1539="",""," - RT "&amp;$G1539&amp;IF($H1539="","","/"&amp;$H1539)))</f>
        <v/>
      </c>
      <c r="N1539" s="36"/>
      <c r="O1539" s="37"/>
      <c r="P1539" s="39"/>
      <c r="Q1539" s="41"/>
      <c r="R1539" s="35" t="str">
        <f aca="true">IF(OR($B1539="",$Q1539=""),"",DATEDIF($Q1539,TODAY(),"Y"))</f>
        <v/>
      </c>
      <c r="S1539" s="40" t="str">
        <f aca="false">IF($R1539="","",INDEX(usia_label,MATCH($R1539,usia_min,1)))</f>
        <v/>
      </c>
      <c r="T1539" s="36"/>
      <c r="U1539" s="41"/>
      <c r="V1539" s="36"/>
      <c r="W1539" s="36"/>
      <c r="X1539" s="40" t="str">
        <f aca="false">IF($M1539="","",$M1539&amp;"#"&amp;COUNTIF($M$4:$M1539,$M1539))</f>
        <v/>
      </c>
      <c r="Y1539" s="40" t="str">
        <f aca="false">IF($B1539="","",IF($C1539="","NIK kosong",IF(LEN($C1539)&lt;&gt;16,"NIK bukan 16 digit",IF(COUNTIF($C$4:$C$2003,$C1539&amp;"*")&gt;1,"NIK ganda",IF(AND($D1539&lt;&gt;"",LEN($D1539)&lt;&gt;16),"No. KK bukan 16 digit",IF(AND($F1539="",$I1539=""),"Alamat kosong",IF($N1539="","Jabatan kosong",IF($O1539="","No. HP kosong",IF(AND($R1539&lt;&gt;"",$R1539&lt;17),"Usia di bawah 17","")))))))))</f>
        <v/>
      </c>
      <c r="Z1539" s="40" t="str">
        <f aca="false">IF($B1539="","",IF(AND(OR(CARI!$C$5="",ISNUMBER(SEARCH(CARI!$C$5,$B1539&amp;" "&amp;$C1539&amp;" "&amp;$D1539&amp;" "&amp;$O1539&amp;" "&amp;$I1539&amp;" "&amp;$F1539&amp;" "&amp;$J1539&amp;" "&amp;$K1539&amp;" "&amp;$L1539&amp;" "&amp;$V1539))),OR(CARI!$C$6="",$F1539=CARI!$C$6),OR(CARI!$C$7="",$G1539=CARI!$C$7),OR(CARI!$C$8="",$T1539=CARI!$C$8)),MAX($Z$3:Z1538)+1,""))</f>
        <v/>
      </c>
      <c r="AA1539" s="40" t="str">
        <f aca="false">IF($Y1539="","",MAX($AA$3:AA1538)+1)</f>
        <v/>
      </c>
      <c r="AB1539" s="40" t="str">
        <f aca="false">IF($F1539="","",$F1539&amp;"#"&amp;COUNTIF($F$4:$F1539,$F1539))</f>
        <v/>
      </c>
      <c r="AC1539" s="40" t="str">
        <f aca="false">IF($B1539="","",IF(AND(OR(CETAK!$J$10="",$F1539=CETAK!$J$10),OR(CETAK!$J$11="",$G1539=CETAK!$J$11),OR(CETAK!$J$12="",$P1539=CETAK!$J$12),OR(CETAK!$J$13="",$N1539=CETAK!$J$13),OR(CETAK!$J$14="",$T1539=CETAK!$J$14)),MAX($AC$3:AC1538)+1,""))</f>
        <v/>
      </c>
      <c r="AD1539" s="40" t="str">
        <f aca="false">IF($B1539="","",IF(AND(OR(ABSENSI!$H$10="",$F1539=ABSENSI!$H$10),OR(ABSENSI!$H$11="",$G1539=ABSENSI!$H$11),OR(ABSENSI!$H$12="",$P1539=ABSENSI!$H$12)),MAX($AD$3:AD1538)+1,""))</f>
        <v/>
      </c>
      <c r="AE1539" s="40" t="str">
        <f aca="false">IF($B1539="","",IF(AND(OR(KARTU!$K$6="",$F1539=KARTU!$K$6),OR(KARTU!$K$7="",$G1539=KARTU!$K$7),OR(KARTU!$K$8="",$P1539=KARTU!$K$8)),MAX($AE$3:AE1538)+1,""))</f>
        <v/>
      </c>
    </row>
    <row r="1540" customFormat="false" ht="15" hidden="false" customHeight="false" outlineLevel="0" collapsed="false">
      <c r="A1540" s="35" t="str">
        <f aca="false">IF($B1540="","",COUNTA($B$4:$B1540))</f>
        <v/>
      </c>
      <c r="B1540" s="36"/>
      <c r="C1540" s="37"/>
      <c r="D1540" s="37"/>
      <c r="E1540" s="38"/>
      <c r="F1540" s="36"/>
      <c r="G1540" s="39"/>
      <c r="H1540" s="39"/>
      <c r="I1540" s="36"/>
      <c r="J1540" s="36"/>
      <c r="K1540" s="36"/>
      <c r="L1540" s="36"/>
      <c r="M1540" s="40" t="str">
        <f aca="false">IF($F1540="","",$F1540&amp;IF($G1540="",""," - RT "&amp;$G1540&amp;IF($H1540="","","/"&amp;$H1540)))</f>
        <v/>
      </c>
      <c r="N1540" s="36"/>
      <c r="O1540" s="37"/>
      <c r="P1540" s="39"/>
      <c r="Q1540" s="41"/>
      <c r="R1540" s="35" t="str">
        <f aca="true">IF(OR($B1540="",$Q1540=""),"",DATEDIF($Q1540,TODAY(),"Y"))</f>
        <v/>
      </c>
      <c r="S1540" s="40" t="str">
        <f aca="false">IF($R1540="","",INDEX(usia_label,MATCH($R1540,usia_min,1)))</f>
        <v/>
      </c>
      <c r="T1540" s="36"/>
      <c r="U1540" s="41"/>
      <c r="V1540" s="36"/>
      <c r="W1540" s="36"/>
      <c r="X1540" s="40" t="str">
        <f aca="false">IF($M1540="","",$M1540&amp;"#"&amp;COUNTIF($M$4:$M1540,$M1540))</f>
        <v/>
      </c>
      <c r="Y1540" s="40" t="str">
        <f aca="false">IF($B1540="","",IF($C1540="","NIK kosong",IF(LEN($C1540)&lt;&gt;16,"NIK bukan 16 digit",IF(COUNTIF($C$4:$C$2003,$C1540&amp;"*")&gt;1,"NIK ganda",IF(AND($D1540&lt;&gt;"",LEN($D1540)&lt;&gt;16),"No. KK bukan 16 digit",IF(AND($F1540="",$I1540=""),"Alamat kosong",IF($N1540="","Jabatan kosong",IF($O1540="","No. HP kosong",IF(AND($R1540&lt;&gt;"",$R1540&lt;17),"Usia di bawah 17","")))))))))</f>
        <v/>
      </c>
      <c r="Z1540" s="40" t="str">
        <f aca="false">IF($B1540="","",IF(AND(OR(CARI!$C$5="",ISNUMBER(SEARCH(CARI!$C$5,$B1540&amp;" "&amp;$C1540&amp;" "&amp;$D1540&amp;" "&amp;$O1540&amp;" "&amp;$I1540&amp;" "&amp;$F1540&amp;" "&amp;$J1540&amp;" "&amp;$K1540&amp;" "&amp;$L1540&amp;" "&amp;$V1540))),OR(CARI!$C$6="",$F1540=CARI!$C$6),OR(CARI!$C$7="",$G1540=CARI!$C$7),OR(CARI!$C$8="",$T1540=CARI!$C$8)),MAX($Z$3:Z1539)+1,""))</f>
        <v/>
      </c>
      <c r="AA1540" s="40" t="str">
        <f aca="false">IF($Y1540="","",MAX($AA$3:AA1539)+1)</f>
        <v/>
      </c>
      <c r="AB1540" s="40" t="str">
        <f aca="false">IF($F1540="","",$F1540&amp;"#"&amp;COUNTIF($F$4:$F1540,$F1540))</f>
        <v/>
      </c>
      <c r="AC1540" s="40" t="str">
        <f aca="false">IF($B1540="","",IF(AND(OR(CETAK!$J$10="",$F1540=CETAK!$J$10),OR(CETAK!$J$11="",$G1540=CETAK!$J$11),OR(CETAK!$J$12="",$P1540=CETAK!$J$12),OR(CETAK!$J$13="",$N1540=CETAK!$J$13),OR(CETAK!$J$14="",$T1540=CETAK!$J$14)),MAX($AC$3:AC1539)+1,""))</f>
        <v/>
      </c>
      <c r="AD1540" s="40" t="str">
        <f aca="false">IF($B1540="","",IF(AND(OR(ABSENSI!$H$10="",$F1540=ABSENSI!$H$10),OR(ABSENSI!$H$11="",$G1540=ABSENSI!$H$11),OR(ABSENSI!$H$12="",$P1540=ABSENSI!$H$12)),MAX($AD$3:AD1539)+1,""))</f>
        <v/>
      </c>
      <c r="AE1540" s="40" t="str">
        <f aca="false">IF($B1540="","",IF(AND(OR(KARTU!$K$6="",$F1540=KARTU!$K$6),OR(KARTU!$K$7="",$G1540=KARTU!$K$7),OR(KARTU!$K$8="",$P1540=KARTU!$K$8)),MAX($AE$3:AE1539)+1,""))</f>
        <v/>
      </c>
    </row>
    <row r="1541" customFormat="false" ht="15" hidden="false" customHeight="false" outlineLevel="0" collapsed="false">
      <c r="A1541" s="35" t="str">
        <f aca="false">IF($B1541="","",COUNTA($B$4:$B1541))</f>
        <v/>
      </c>
      <c r="B1541" s="36"/>
      <c r="C1541" s="37"/>
      <c r="D1541" s="37"/>
      <c r="E1541" s="38"/>
      <c r="F1541" s="36"/>
      <c r="G1541" s="39"/>
      <c r="H1541" s="39"/>
      <c r="I1541" s="36"/>
      <c r="J1541" s="36"/>
      <c r="K1541" s="36"/>
      <c r="L1541" s="36"/>
      <c r="M1541" s="40" t="str">
        <f aca="false">IF($F1541="","",$F1541&amp;IF($G1541="",""," - RT "&amp;$G1541&amp;IF($H1541="","","/"&amp;$H1541)))</f>
        <v/>
      </c>
      <c r="N1541" s="36"/>
      <c r="O1541" s="37"/>
      <c r="P1541" s="39"/>
      <c r="Q1541" s="41"/>
      <c r="R1541" s="35" t="str">
        <f aca="true">IF(OR($B1541="",$Q1541=""),"",DATEDIF($Q1541,TODAY(),"Y"))</f>
        <v/>
      </c>
      <c r="S1541" s="40" t="str">
        <f aca="false">IF($R1541="","",INDEX(usia_label,MATCH($R1541,usia_min,1)))</f>
        <v/>
      </c>
      <c r="T1541" s="36"/>
      <c r="U1541" s="41"/>
      <c r="V1541" s="36"/>
      <c r="W1541" s="36"/>
      <c r="X1541" s="40" t="str">
        <f aca="false">IF($M1541="","",$M1541&amp;"#"&amp;COUNTIF($M$4:$M1541,$M1541))</f>
        <v/>
      </c>
      <c r="Y1541" s="40" t="str">
        <f aca="false">IF($B1541="","",IF($C1541="","NIK kosong",IF(LEN($C1541)&lt;&gt;16,"NIK bukan 16 digit",IF(COUNTIF($C$4:$C$2003,$C1541&amp;"*")&gt;1,"NIK ganda",IF(AND($D1541&lt;&gt;"",LEN($D1541)&lt;&gt;16),"No. KK bukan 16 digit",IF(AND($F1541="",$I1541=""),"Alamat kosong",IF($N1541="","Jabatan kosong",IF($O1541="","No. HP kosong",IF(AND($R1541&lt;&gt;"",$R1541&lt;17),"Usia di bawah 17","")))))))))</f>
        <v/>
      </c>
      <c r="Z1541" s="40" t="str">
        <f aca="false">IF($B1541="","",IF(AND(OR(CARI!$C$5="",ISNUMBER(SEARCH(CARI!$C$5,$B1541&amp;" "&amp;$C1541&amp;" "&amp;$D1541&amp;" "&amp;$O1541&amp;" "&amp;$I1541&amp;" "&amp;$F1541&amp;" "&amp;$J1541&amp;" "&amp;$K1541&amp;" "&amp;$L1541&amp;" "&amp;$V1541))),OR(CARI!$C$6="",$F1541=CARI!$C$6),OR(CARI!$C$7="",$G1541=CARI!$C$7),OR(CARI!$C$8="",$T1541=CARI!$C$8)),MAX($Z$3:Z1540)+1,""))</f>
        <v/>
      </c>
      <c r="AA1541" s="40" t="str">
        <f aca="false">IF($Y1541="","",MAX($AA$3:AA1540)+1)</f>
        <v/>
      </c>
      <c r="AB1541" s="40" t="str">
        <f aca="false">IF($F1541="","",$F1541&amp;"#"&amp;COUNTIF($F$4:$F1541,$F1541))</f>
        <v/>
      </c>
      <c r="AC1541" s="40" t="str">
        <f aca="false">IF($B1541="","",IF(AND(OR(CETAK!$J$10="",$F1541=CETAK!$J$10),OR(CETAK!$J$11="",$G1541=CETAK!$J$11),OR(CETAK!$J$12="",$P1541=CETAK!$J$12),OR(CETAK!$J$13="",$N1541=CETAK!$J$13),OR(CETAK!$J$14="",$T1541=CETAK!$J$14)),MAX($AC$3:AC1540)+1,""))</f>
        <v/>
      </c>
      <c r="AD1541" s="40" t="str">
        <f aca="false">IF($B1541="","",IF(AND(OR(ABSENSI!$H$10="",$F1541=ABSENSI!$H$10),OR(ABSENSI!$H$11="",$G1541=ABSENSI!$H$11),OR(ABSENSI!$H$12="",$P1541=ABSENSI!$H$12)),MAX($AD$3:AD1540)+1,""))</f>
        <v/>
      </c>
      <c r="AE1541" s="40" t="str">
        <f aca="false">IF($B1541="","",IF(AND(OR(KARTU!$K$6="",$F1541=KARTU!$K$6),OR(KARTU!$K$7="",$G1541=KARTU!$K$7),OR(KARTU!$K$8="",$P1541=KARTU!$K$8)),MAX($AE$3:AE1540)+1,""))</f>
        <v/>
      </c>
    </row>
    <row r="1542" customFormat="false" ht="15" hidden="false" customHeight="false" outlineLevel="0" collapsed="false">
      <c r="A1542" s="35" t="str">
        <f aca="false">IF($B1542="","",COUNTA($B$4:$B1542))</f>
        <v/>
      </c>
      <c r="B1542" s="36"/>
      <c r="C1542" s="37"/>
      <c r="D1542" s="37"/>
      <c r="E1542" s="38"/>
      <c r="F1542" s="36"/>
      <c r="G1542" s="39"/>
      <c r="H1542" s="39"/>
      <c r="I1542" s="36"/>
      <c r="J1542" s="36"/>
      <c r="K1542" s="36"/>
      <c r="L1542" s="36"/>
      <c r="M1542" s="40" t="str">
        <f aca="false">IF($F1542="","",$F1542&amp;IF($G1542="",""," - RT "&amp;$G1542&amp;IF($H1542="","","/"&amp;$H1542)))</f>
        <v/>
      </c>
      <c r="N1542" s="36"/>
      <c r="O1542" s="37"/>
      <c r="P1542" s="39"/>
      <c r="Q1542" s="41"/>
      <c r="R1542" s="35" t="str">
        <f aca="true">IF(OR($B1542="",$Q1542=""),"",DATEDIF($Q1542,TODAY(),"Y"))</f>
        <v/>
      </c>
      <c r="S1542" s="40" t="str">
        <f aca="false">IF($R1542="","",INDEX(usia_label,MATCH($R1542,usia_min,1)))</f>
        <v/>
      </c>
      <c r="T1542" s="36"/>
      <c r="U1542" s="41"/>
      <c r="V1542" s="36"/>
      <c r="W1542" s="36"/>
      <c r="X1542" s="40" t="str">
        <f aca="false">IF($M1542="","",$M1542&amp;"#"&amp;COUNTIF($M$4:$M1542,$M1542))</f>
        <v/>
      </c>
      <c r="Y1542" s="40" t="str">
        <f aca="false">IF($B1542="","",IF($C1542="","NIK kosong",IF(LEN($C1542)&lt;&gt;16,"NIK bukan 16 digit",IF(COUNTIF($C$4:$C$2003,$C1542&amp;"*")&gt;1,"NIK ganda",IF(AND($D1542&lt;&gt;"",LEN($D1542)&lt;&gt;16),"No. KK bukan 16 digit",IF(AND($F1542="",$I1542=""),"Alamat kosong",IF($N1542="","Jabatan kosong",IF($O1542="","No. HP kosong",IF(AND($R1542&lt;&gt;"",$R1542&lt;17),"Usia di bawah 17","")))))))))</f>
        <v/>
      </c>
      <c r="Z1542" s="40" t="str">
        <f aca="false">IF($B1542="","",IF(AND(OR(CARI!$C$5="",ISNUMBER(SEARCH(CARI!$C$5,$B1542&amp;" "&amp;$C1542&amp;" "&amp;$D1542&amp;" "&amp;$O1542&amp;" "&amp;$I1542&amp;" "&amp;$F1542&amp;" "&amp;$J1542&amp;" "&amp;$K1542&amp;" "&amp;$L1542&amp;" "&amp;$V1542))),OR(CARI!$C$6="",$F1542=CARI!$C$6),OR(CARI!$C$7="",$G1542=CARI!$C$7),OR(CARI!$C$8="",$T1542=CARI!$C$8)),MAX($Z$3:Z1541)+1,""))</f>
        <v/>
      </c>
      <c r="AA1542" s="40" t="str">
        <f aca="false">IF($Y1542="","",MAX($AA$3:AA1541)+1)</f>
        <v/>
      </c>
      <c r="AB1542" s="40" t="str">
        <f aca="false">IF($F1542="","",$F1542&amp;"#"&amp;COUNTIF($F$4:$F1542,$F1542))</f>
        <v/>
      </c>
      <c r="AC1542" s="40" t="str">
        <f aca="false">IF($B1542="","",IF(AND(OR(CETAK!$J$10="",$F1542=CETAK!$J$10),OR(CETAK!$J$11="",$G1542=CETAK!$J$11),OR(CETAK!$J$12="",$P1542=CETAK!$J$12),OR(CETAK!$J$13="",$N1542=CETAK!$J$13),OR(CETAK!$J$14="",$T1542=CETAK!$J$14)),MAX($AC$3:AC1541)+1,""))</f>
        <v/>
      </c>
      <c r="AD1542" s="40" t="str">
        <f aca="false">IF($B1542="","",IF(AND(OR(ABSENSI!$H$10="",$F1542=ABSENSI!$H$10),OR(ABSENSI!$H$11="",$G1542=ABSENSI!$H$11),OR(ABSENSI!$H$12="",$P1542=ABSENSI!$H$12)),MAX($AD$3:AD1541)+1,""))</f>
        <v/>
      </c>
      <c r="AE1542" s="40" t="str">
        <f aca="false">IF($B1542="","",IF(AND(OR(KARTU!$K$6="",$F1542=KARTU!$K$6),OR(KARTU!$K$7="",$G1542=KARTU!$K$7),OR(KARTU!$K$8="",$P1542=KARTU!$K$8)),MAX($AE$3:AE1541)+1,""))</f>
        <v/>
      </c>
    </row>
    <row r="1543" customFormat="false" ht="15" hidden="false" customHeight="false" outlineLevel="0" collapsed="false">
      <c r="A1543" s="35" t="str">
        <f aca="false">IF($B1543="","",COUNTA($B$4:$B1543))</f>
        <v/>
      </c>
      <c r="B1543" s="36"/>
      <c r="C1543" s="37"/>
      <c r="D1543" s="37"/>
      <c r="E1543" s="38"/>
      <c r="F1543" s="36"/>
      <c r="G1543" s="39"/>
      <c r="H1543" s="39"/>
      <c r="I1543" s="36"/>
      <c r="J1543" s="36"/>
      <c r="K1543" s="36"/>
      <c r="L1543" s="36"/>
      <c r="M1543" s="40" t="str">
        <f aca="false">IF($F1543="","",$F1543&amp;IF($G1543="",""," - RT "&amp;$G1543&amp;IF($H1543="","","/"&amp;$H1543)))</f>
        <v/>
      </c>
      <c r="N1543" s="36"/>
      <c r="O1543" s="37"/>
      <c r="P1543" s="39"/>
      <c r="Q1543" s="41"/>
      <c r="R1543" s="35" t="str">
        <f aca="true">IF(OR($B1543="",$Q1543=""),"",DATEDIF($Q1543,TODAY(),"Y"))</f>
        <v/>
      </c>
      <c r="S1543" s="40" t="str">
        <f aca="false">IF($R1543="","",INDEX(usia_label,MATCH($R1543,usia_min,1)))</f>
        <v/>
      </c>
      <c r="T1543" s="36"/>
      <c r="U1543" s="41"/>
      <c r="V1543" s="36"/>
      <c r="W1543" s="36"/>
      <c r="X1543" s="40" t="str">
        <f aca="false">IF($M1543="","",$M1543&amp;"#"&amp;COUNTIF($M$4:$M1543,$M1543))</f>
        <v/>
      </c>
      <c r="Y1543" s="40" t="str">
        <f aca="false">IF($B1543="","",IF($C1543="","NIK kosong",IF(LEN($C1543)&lt;&gt;16,"NIK bukan 16 digit",IF(COUNTIF($C$4:$C$2003,$C1543&amp;"*")&gt;1,"NIK ganda",IF(AND($D1543&lt;&gt;"",LEN($D1543)&lt;&gt;16),"No. KK bukan 16 digit",IF(AND($F1543="",$I1543=""),"Alamat kosong",IF($N1543="","Jabatan kosong",IF($O1543="","No. HP kosong",IF(AND($R1543&lt;&gt;"",$R1543&lt;17),"Usia di bawah 17","")))))))))</f>
        <v/>
      </c>
      <c r="Z1543" s="40" t="str">
        <f aca="false">IF($B1543="","",IF(AND(OR(CARI!$C$5="",ISNUMBER(SEARCH(CARI!$C$5,$B1543&amp;" "&amp;$C1543&amp;" "&amp;$D1543&amp;" "&amp;$O1543&amp;" "&amp;$I1543&amp;" "&amp;$F1543&amp;" "&amp;$J1543&amp;" "&amp;$K1543&amp;" "&amp;$L1543&amp;" "&amp;$V1543))),OR(CARI!$C$6="",$F1543=CARI!$C$6),OR(CARI!$C$7="",$G1543=CARI!$C$7),OR(CARI!$C$8="",$T1543=CARI!$C$8)),MAX($Z$3:Z1542)+1,""))</f>
        <v/>
      </c>
      <c r="AA1543" s="40" t="str">
        <f aca="false">IF($Y1543="","",MAX($AA$3:AA1542)+1)</f>
        <v/>
      </c>
      <c r="AB1543" s="40" t="str">
        <f aca="false">IF($F1543="","",$F1543&amp;"#"&amp;COUNTIF($F$4:$F1543,$F1543))</f>
        <v/>
      </c>
      <c r="AC1543" s="40" t="str">
        <f aca="false">IF($B1543="","",IF(AND(OR(CETAK!$J$10="",$F1543=CETAK!$J$10),OR(CETAK!$J$11="",$G1543=CETAK!$J$11),OR(CETAK!$J$12="",$P1543=CETAK!$J$12),OR(CETAK!$J$13="",$N1543=CETAK!$J$13),OR(CETAK!$J$14="",$T1543=CETAK!$J$14)),MAX($AC$3:AC1542)+1,""))</f>
        <v/>
      </c>
      <c r="AD1543" s="40" t="str">
        <f aca="false">IF($B1543="","",IF(AND(OR(ABSENSI!$H$10="",$F1543=ABSENSI!$H$10),OR(ABSENSI!$H$11="",$G1543=ABSENSI!$H$11),OR(ABSENSI!$H$12="",$P1543=ABSENSI!$H$12)),MAX($AD$3:AD1542)+1,""))</f>
        <v/>
      </c>
      <c r="AE1543" s="40" t="str">
        <f aca="false">IF($B1543="","",IF(AND(OR(KARTU!$K$6="",$F1543=KARTU!$K$6),OR(KARTU!$K$7="",$G1543=KARTU!$K$7),OR(KARTU!$K$8="",$P1543=KARTU!$K$8)),MAX($AE$3:AE1542)+1,""))</f>
        <v/>
      </c>
    </row>
    <row r="1544" customFormat="false" ht="15" hidden="false" customHeight="false" outlineLevel="0" collapsed="false">
      <c r="A1544" s="35" t="str">
        <f aca="false">IF($B1544="","",COUNTA($B$4:$B1544))</f>
        <v/>
      </c>
      <c r="B1544" s="36"/>
      <c r="C1544" s="37"/>
      <c r="D1544" s="37"/>
      <c r="E1544" s="38"/>
      <c r="F1544" s="36"/>
      <c r="G1544" s="39"/>
      <c r="H1544" s="39"/>
      <c r="I1544" s="36"/>
      <c r="J1544" s="36"/>
      <c r="K1544" s="36"/>
      <c r="L1544" s="36"/>
      <c r="M1544" s="40" t="str">
        <f aca="false">IF($F1544="","",$F1544&amp;IF($G1544="",""," - RT "&amp;$G1544&amp;IF($H1544="","","/"&amp;$H1544)))</f>
        <v/>
      </c>
      <c r="N1544" s="36"/>
      <c r="O1544" s="37"/>
      <c r="P1544" s="39"/>
      <c r="Q1544" s="41"/>
      <c r="R1544" s="35" t="str">
        <f aca="true">IF(OR($B1544="",$Q1544=""),"",DATEDIF($Q1544,TODAY(),"Y"))</f>
        <v/>
      </c>
      <c r="S1544" s="40" t="str">
        <f aca="false">IF($R1544="","",INDEX(usia_label,MATCH($R1544,usia_min,1)))</f>
        <v/>
      </c>
      <c r="T1544" s="36"/>
      <c r="U1544" s="41"/>
      <c r="V1544" s="36"/>
      <c r="W1544" s="36"/>
      <c r="X1544" s="40" t="str">
        <f aca="false">IF($M1544="","",$M1544&amp;"#"&amp;COUNTIF($M$4:$M1544,$M1544))</f>
        <v/>
      </c>
      <c r="Y1544" s="40" t="str">
        <f aca="false">IF($B1544="","",IF($C1544="","NIK kosong",IF(LEN($C1544)&lt;&gt;16,"NIK bukan 16 digit",IF(COUNTIF($C$4:$C$2003,$C1544&amp;"*")&gt;1,"NIK ganda",IF(AND($D1544&lt;&gt;"",LEN($D1544)&lt;&gt;16),"No. KK bukan 16 digit",IF(AND($F1544="",$I1544=""),"Alamat kosong",IF($N1544="","Jabatan kosong",IF($O1544="","No. HP kosong",IF(AND($R1544&lt;&gt;"",$R1544&lt;17),"Usia di bawah 17","")))))))))</f>
        <v/>
      </c>
      <c r="Z1544" s="40" t="str">
        <f aca="false">IF($B1544="","",IF(AND(OR(CARI!$C$5="",ISNUMBER(SEARCH(CARI!$C$5,$B1544&amp;" "&amp;$C1544&amp;" "&amp;$D1544&amp;" "&amp;$O1544&amp;" "&amp;$I1544&amp;" "&amp;$F1544&amp;" "&amp;$J1544&amp;" "&amp;$K1544&amp;" "&amp;$L1544&amp;" "&amp;$V1544))),OR(CARI!$C$6="",$F1544=CARI!$C$6),OR(CARI!$C$7="",$G1544=CARI!$C$7),OR(CARI!$C$8="",$T1544=CARI!$C$8)),MAX($Z$3:Z1543)+1,""))</f>
        <v/>
      </c>
      <c r="AA1544" s="40" t="str">
        <f aca="false">IF($Y1544="","",MAX($AA$3:AA1543)+1)</f>
        <v/>
      </c>
      <c r="AB1544" s="40" t="str">
        <f aca="false">IF($F1544="","",$F1544&amp;"#"&amp;COUNTIF($F$4:$F1544,$F1544))</f>
        <v/>
      </c>
      <c r="AC1544" s="40" t="str">
        <f aca="false">IF($B1544="","",IF(AND(OR(CETAK!$J$10="",$F1544=CETAK!$J$10),OR(CETAK!$J$11="",$G1544=CETAK!$J$11),OR(CETAK!$J$12="",$P1544=CETAK!$J$12),OR(CETAK!$J$13="",$N1544=CETAK!$J$13),OR(CETAK!$J$14="",$T1544=CETAK!$J$14)),MAX($AC$3:AC1543)+1,""))</f>
        <v/>
      </c>
      <c r="AD1544" s="40" t="str">
        <f aca="false">IF($B1544="","",IF(AND(OR(ABSENSI!$H$10="",$F1544=ABSENSI!$H$10),OR(ABSENSI!$H$11="",$G1544=ABSENSI!$H$11),OR(ABSENSI!$H$12="",$P1544=ABSENSI!$H$12)),MAX($AD$3:AD1543)+1,""))</f>
        <v/>
      </c>
      <c r="AE1544" s="40" t="str">
        <f aca="false">IF($B1544="","",IF(AND(OR(KARTU!$K$6="",$F1544=KARTU!$K$6),OR(KARTU!$K$7="",$G1544=KARTU!$K$7),OR(KARTU!$K$8="",$P1544=KARTU!$K$8)),MAX($AE$3:AE1543)+1,""))</f>
        <v/>
      </c>
    </row>
    <row r="1545" customFormat="false" ht="15" hidden="false" customHeight="false" outlineLevel="0" collapsed="false">
      <c r="A1545" s="35" t="str">
        <f aca="false">IF($B1545="","",COUNTA($B$4:$B1545))</f>
        <v/>
      </c>
      <c r="B1545" s="36"/>
      <c r="C1545" s="37"/>
      <c r="D1545" s="37"/>
      <c r="E1545" s="38"/>
      <c r="F1545" s="36"/>
      <c r="G1545" s="39"/>
      <c r="H1545" s="39"/>
      <c r="I1545" s="36"/>
      <c r="J1545" s="36"/>
      <c r="K1545" s="36"/>
      <c r="L1545" s="36"/>
      <c r="M1545" s="40" t="str">
        <f aca="false">IF($F1545="","",$F1545&amp;IF($G1545="",""," - RT "&amp;$G1545&amp;IF($H1545="","","/"&amp;$H1545)))</f>
        <v/>
      </c>
      <c r="N1545" s="36"/>
      <c r="O1545" s="37"/>
      <c r="P1545" s="39"/>
      <c r="Q1545" s="41"/>
      <c r="R1545" s="35" t="str">
        <f aca="true">IF(OR($B1545="",$Q1545=""),"",DATEDIF($Q1545,TODAY(),"Y"))</f>
        <v/>
      </c>
      <c r="S1545" s="40" t="str">
        <f aca="false">IF($R1545="","",INDEX(usia_label,MATCH($R1545,usia_min,1)))</f>
        <v/>
      </c>
      <c r="T1545" s="36"/>
      <c r="U1545" s="41"/>
      <c r="V1545" s="36"/>
      <c r="W1545" s="36"/>
      <c r="X1545" s="40" t="str">
        <f aca="false">IF($M1545="","",$M1545&amp;"#"&amp;COUNTIF($M$4:$M1545,$M1545))</f>
        <v/>
      </c>
      <c r="Y1545" s="40" t="str">
        <f aca="false">IF($B1545="","",IF($C1545="","NIK kosong",IF(LEN($C1545)&lt;&gt;16,"NIK bukan 16 digit",IF(COUNTIF($C$4:$C$2003,$C1545&amp;"*")&gt;1,"NIK ganda",IF(AND($D1545&lt;&gt;"",LEN($D1545)&lt;&gt;16),"No. KK bukan 16 digit",IF(AND($F1545="",$I1545=""),"Alamat kosong",IF($N1545="","Jabatan kosong",IF($O1545="","No. HP kosong",IF(AND($R1545&lt;&gt;"",$R1545&lt;17),"Usia di bawah 17","")))))))))</f>
        <v/>
      </c>
      <c r="Z1545" s="40" t="str">
        <f aca="false">IF($B1545="","",IF(AND(OR(CARI!$C$5="",ISNUMBER(SEARCH(CARI!$C$5,$B1545&amp;" "&amp;$C1545&amp;" "&amp;$D1545&amp;" "&amp;$O1545&amp;" "&amp;$I1545&amp;" "&amp;$F1545&amp;" "&amp;$J1545&amp;" "&amp;$K1545&amp;" "&amp;$L1545&amp;" "&amp;$V1545))),OR(CARI!$C$6="",$F1545=CARI!$C$6),OR(CARI!$C$7="",$G1545=CARI!$C$7),OR(CARI!$C$8="",$T1545=CARI!$C$8)),MAX($Z$3:Z1544)+1,""))</f>
        <v/>
      </c>
      <c r="AA1545" s="40" t="str">
        <f aca="false">IF($Y1545="","",MAX($AA$3:AA1544)+1)</f>
        <v/>
      </c>
      <c r="AB1545" s="40" t="str">
        <f aca="false">IF($F1545="","",$F1545&amp;"#"&amp;COUNTIF($F$4:$F1545,$F1545))</f>
        <v/>
      </c>
      <c r="AC1545" s="40" t="str">
        <f aca="false">IF($B1545="","",IF(AND(OR(CETAK!$J$10="",$F1545=CETAK!$J$10),OR(CETAK!$J$11="",$G1545=CETAK!$J$11),OR(CETAK!$J$12="",$P1545=CETAK!$J$12),OR(CETAK!$J$13="",$N1545=CETAK!$J$13),OR(CETAK!$J$14="",$T1545=CETAK!$J$14)),MAX($AC$3:AC1544)+1,""))</f>
        <v/>
      </c>
      <c r="AD1545" s="40" t="str">
        <f aca="false">IF($B1545="","",IF(AND(OR(ABSENSI!$H$10="",$F1545=ABSENSI!$H$10),OR(ABSENSI!$H$11="",$G1545=ABSENSI!$H$11),OR(ABSENSI!$H$12="",$P1545=ABSENSI!$H$12)),MAX($AD$3:AD1544)+1,""))</f>
        <v/>
      </c>
      <c r="AE1545" s="40" t="str">
        <f aca="false">IF($B1545="","",IF(AND(OR(KARTU!$K$6="",$F1545=KARTU!$K$6),OR(KARTU!$K$7="",$G1545=KARTU!$K$7),OR(KARTU!$K$8="",$P1545=KARTU!$K$8)),MAX($AE$3:AE1544)+1,""))</f>
        <v/>
      </c>
    </row>
    <row r="1546" customFormat="false" ht="15" hidden="false" customHeight="false" outlineLevel="0" collapsed="false">
      <c r="A1546" s="35" t="str">
        <f aca="false">IF($B1546="","",COUNTA($B$4:$B1546))</f>
        <v/>
      </c>
      <c r="B1546" s="36"/>
      <c r="C1546" s="37"/>
      <c r="D1546" s="37"/>
      <c r="E1546" s="38"/>
      <c r="F1546" s="36"/>
      <c r="G1546" s="39"/>
      <c r="H1546" s="39"/>
      <c r="I1546" s="36"/>
      <c r="J1546" s="36"/>
      <c r="K1546" s="36"/>
      <c r="L1546" s="36"/>
      <c r="M1546" s="40" t="str">
        <f aca="false">IF($F1546="","",$F1546&amp;IF($G1546="",""," - RT "&amp;$G1546&amp;IF($H1546="","","/"&amp;$H1546)))</f>
        <v/>
      </c>
      <c r="N1546" s="36"/>
      <c r="O1546" s="37"/>
      <c r="P1546" s="39"/>
      <c r="Q1546" s="41"/>
      <c r="R1546" s="35" t="str">
        <f aca="true">IF(OR($B1546="",$Q1546=""),"",DATEDIF($Q1546,TODAY(),"Y"))</f>
        <v/>
      </c>
      <c r="S1546" s="40" t="str">
        <f aca="false">IF($R1546="","",INDEX(usia_label,MATCH($R1546,usia_min,1)))</f>
        <v/>
      </c>
      <c r="T1546" s="36"/>
      <c r="U1546" s="41"/>
      <c r="V1546" s="36"/>
      <c r="W1546" s="36"/>
      <c r="X1546" s="40" t="str">
        <f aca="false">IF($M1546="","",$M1546&amp;"#"&amp;COUNTIF($M$4:$M1546,$M1546))</f>
        <v/>
      </c>
      <c r="Y1546" s="40" t="str">
        <f aca="false">IF($B1546="","",IF($C1546="","NIK kosong",IF(LEN($C1546)&lt;&gt;16,"NIK bukan 16 digit",IF(COUNTIF($C$4:$C$2003,$C1546&amp;"*")&gt;1,"NIK ganda",IF(AND($D1546&lt;&gt;"",LEN($D1546)&lt;&gt;16),"No. KK bukan 16 digit",IF(AND($F1546="",$I1546=""),"Alamat kosong",IF($N1546="","Jabatan kosong",IF($O1546="","No. HP kosong",IF(AND($R1546&lt;&gt;"",$R1546&lt;17),"Usia di bawah 17","")))))))))</f>
        <v/>
      </c>
      <c r="Z1546" s="40" t="str">
        <f aca="false">IF($B1546="","",IF(AND(OR(CARI!$C$5="",ISNUMBER(SEARCH(CARI!$C$5,$B1546&amp;" "&amp;$C1546&amp;" "&amp;$D1546&amp;" "&amp;$O1546&amp;" "&amp;$I1546&amp;" "&amp;$F1546&amp;" "&amp;$J1546&amp;" "&amp;$K1546&amp;" "&amp;$L1546&amp;" "&amp;$V1546))),OR(CARI!$C$6="",$F1546=CARI!$C$6),OR(CARI!$C$7="",$G1546=CARI!$C$7),OR(CARI!$C$8="",$T1546=CARI!$C$8)),MAX($Z$3:Z1545)+1,""))</f>
        <v/>
      </c>
      <c r="AA1546" s="40" t="str">
        <f aca="false">IF($Y1546="","",MAX($AA$3:AA1545)+1)</f>
        <v/>
      </c>
      <c r="AB1546" s="40" t="str">
        <f aca="false">IF($F1546="","",$F1546&amp;"#"&amp;COUNTIF($F$4:$F1546,$F1546))</f>
        <v/>
      </c>
      <c r="AC1546" s="40" t="str">
        <f aca="false">IF($B1546="","",IF(AND(OR(CETAK!$J$10="",$F1546=CETAK!$J$10),OR(CETAK!$J$11="",$G1546=CETAK!$J$11),OR(CETAK!$J$12="",$P1546=CETAK!$J$12),OR(CETAK!$J$13="",$N1546=CETAK!$J$13),OR(CETAK!$J$14="",$T1546=CETAK!$J$14)),MAX($AC$3:AC1545)+1,""))</f>
        <v/>
      </c>
      <c r="AD1546" s="40" t="str">
        <f aca="false">IF($B1546="","",IF(AND(OR(ABSENSI!$H$10="",$F1546=ABSENSI!$H$10),OR(ABSENSI!$H$11="",$G1546=ABSENSI!$H$11),OR(ABSENSI!$H$12="",$P1546=ABSENSI!$H$12)),MAX($AD$3:AD1545)+1,""))</f>
        <v/>
      </c>
      <c r="AE1546" s="40" t="str">
        <f aca="false">IF($B1546="","",IF(AND(OR(KARTU!$K$6="",$F1546=KARTU!$K$6),OR(KARTU!$K$7="",$G1546=KARTU!$K$7),OR(KARTU!$K$8="",$P1546=KARTU!$K$8)),MAX($AE$3:AE1545)+1,""))</f>
        <v/>
      </c>
    </row>
    <row r="1547" customFormat="false" ht="15" hidden="false" customHeight="false" outlineLevel="0" collapsed="false">
      <c r="A1547" s="35" t="str">
        <f aca="false">IF($B1547="","",COUNTA($B$4:$B1547))</f>
        <v/>
      </c>
      <c r="B1547" s="36"/>
      <c r="C1547" s="37"/>
      <c r="D1547" s="37"/>
      <c r="E1547" s="38"/>
      <c r="F1547" s="36"/>
      <c r="G1547" s="39"/>
      <c r="H1547" s="39"/>
      <c r="I1547" s="36"/>
      <c r="J1547" s="36"/>
      <c r="K1547" s="36"/>
      <c r="L1547" s="36"/>
      <c r="M1547" s="40" t="str">
        <f aca="false">IF($F1547="","",$F1547&amp;IF($G1547="",""," - RT "&amp;$G1547&amp;IF($H1547="","","/"&amp;$H1547)))</f>
        <v/>
      </c>
      <c r="N1547" s="36"/>
      <c r="O1547" s="37"/>
      <c r="P1547" s="39"/>
      <c r="Q1547" s="41"/>
      <c r="R1547" s="35" t="str">
        <f aca="true">IF(OR($B1547="",$Q1547=""),"",DATEDIF($Q1547,TODAY(),"Y"))</f>
        <v/>
      </c>
      <c r="S1547" s="40" t="str">
        <f aca="false">IF($R1547="","",INDEX(usia_label,MATCH($R1547,usia_min,1)))</f>
        <v/>
      </c>
      <c r="T1547" s="36"/>
      <c r="U1547" s="41"/>
      <c r="V1547" s="36"/>
      <c r="W1547" s="36"/>
      <c r="X1547" s="40" t="str">
        <f aca="false">IF($M1547="","",$M1547&amp;"#"&amp;COUNTIF($M$4:$M1547,$M1547))</f>
        <v/>
      </c>
      <c r="Y1547" s="40" t="str">
        <f aca="false">IF($B1547="","",IF($C1547="","NIK kosong",IF(LEN($C1547)&lt;&gt;16,"NIK bukan 16 digit",IF(COUNTIF($C$4:$C$2003,$C1547&amp;"*")&gt;1,"NIK ganda",IF(AND($D1547&lt;&gt;"",LEN($D1547)&lt;&gt;16),"No. KK bukan 16 digit",IF(AND($F1547="",$I1547=""),"Alamat kosong",IF($N1547="","Jabatan kosong",IF($O1547="","No. HP kosong",IF(AND($R1547&lt;&gt;"",$R1547&lt;17),"Usia di bawah 17","")))))))))</f>
        <v/>
      </c>
      <c r="Z1547" s="40" t="str">
        <f aca="false">IF($B1547="","",IF(AND(OR(CARI!$C$5="",ISNUMBER(SEARCH(CARI!$C$5,$B1547&amp;" "&amp;$C1547&amp;" "&amp;$D1547&amp;" "&amp;$O1547&amp;" "&amp;$I1547&amp;" "&amp;$F1547&amp;" "&amp;$J1547&amp;" "&amp;$K1547&amp;" "&amp;$L1547&amp;" "&amp;$V1547))),OR(CARI!$C$6="",$F1547=CARI!$C$6),OR(CARI!$C$7="",$G1547=CARI!$C$7),OR(CARI!$C$8="",$T1547=CARI!$C$8)),MAX($Z$3:Z1546)+1,""))</f>
        <v/>
      </c>
      <c r="AA1547" s="40" t="str">
        <f aca="false">IF($Y1547="","",MAX($AA$3:AA1546)+1)</f>
        <v/>
      </c>
      <c r="AB1547" s="40" t="str">
        <f aca="false">IF($F1547="","",$F1547&amp;"#"&amp;COUNTIF($F$4:$F1547,$F1547))</f>
        <v/>
      </c>
      <c r="AC1547" s="40" t="str">
        <f aca="false">IF($B1547="","",IF(AND(OR(CETAK!$J$10="",$F1547=CETAK!$J$10),OR(CETAK!$J$11="",$G1547=CETAK!$J$11),OR(CETAK!$J$12="",$P1547=CETAK!$J$12),OR(CETAK!$J$13="",$N1547=CETAK!$J$13),OR(CETAK!$J$14="",$T1547=CETAK!$J$14)),MAX($AC$3:AC1546)+1,""))</f>
        <v/>
      </c>
      <c r="AD1547" s="40" t="str">
        <f aca="false">IF($B1547="","",IF(AND(OR(ABSENSI!$H$10="",$F1547=ABSENSI!$H$10),OR(ABSENSI!$H$11="",$G1547=ABSENSI!$H$11),OR(ABSENSI!$H$12="",$P1547=ABSENSI!$H$12)),MAX($AD$3:AD1546)+1,""))</f>
        <v/>
      </c>
      <c r="AE1547" s="40" t="str">
        <f aca="false">IF($B1547="","",IF(AND(OR(KARTU!$K$6="",$F1547=KARTU!$K$6),OR(KARTU!$K$7="",$G1547=KARTU!$K$7),OR(KARTU!$K$8="",$P1547=KARTU!$K$8)),MAX($AE$3:AE1546)+1,""))</f>
        <v/>
      </c>
    </row>
    <row r="1548" customFormat="false" ht="15" hidden="false" customHeight="false" outlineLevel="0" collapsed="false">
      <c r="A1548" s="35" t="str">
        <f aca="false">IF($B1548="","",COUNTA($B$4:$B1548))</f>
        <v/>
      </c>
      <c r="B1548" s="36"/>
      <c r="C1548" s="37"/>
      <c r="D1548" s="37"/>
      <c r="E1548" s="38"/>
      <c r="F1548" s="36"/>
      <c r="G1548" s="39"/>
      <c r="H1548" s="39"/>
      <c r="I1548" s="36"/>
      <c r="J1548" s="36"/>
      <c r="K1548" s="36"/>
      <c r="L1548" s="36"/>
      <c r="M1548" s="40" t="str">
        <f aca="false">IF($F1548="","",$F1548&amp;IF($G1548="",""," - RT "&amp;$G1548&amp;IF($H1548="","","/"&amp;$H1548)))</f>
        <v/>
      </c>
      <c r="N1548" s="36"/>
      <c r="O1548" s="37"/>
      <c r="P1548" s="39"/>
      <c r="Q1548" s="41"/>
      <c r="R1548" s="35" t="str">
        <f aca="true">IF(OR($B1548="",$Q1548=""),"",DATEDIF($Q1548,TODAY(),"Y"))</f>
        <v/>
      </c>
      <c r="S1548" s="40" t="str">
        <f aca="false">IF($R1548="","",INDEX(usia_label,MATCH($R1548,usia_min,1)))</f>
        <v/>
      </c>
      <c r="T1548" s="36"/>
      <c r="U1548" s="41"/>
      <c r="V1548" s="36"/>
      <c r="W1548" s="36"/>
      <c r="X1548" s="40" t="str">
        <f aca="false">IF($M1548="","",$M1548&amp;"#"&amp;COUNTIF($M$4:$M1548,$M1548))</f>
        <v/>
      </c>
      <c r="Y1548" s="40" t="str">
        <f aca="false">IF($B1548="","",IF($C1548="","NIK kosong",IF(LEN($C1548)&lt;&gt;16,"NIK bukan 16 digit",IF(COUNTIF($C$4:$C$2003,$C1548&amp;"*")&gt;1,"NIK ganda",IF(AND($D1548&lt;&gt;"",LEN($D1548)&lt;&gt;16),"No. KK bukan 16 digit",IF(AND($F1548="",$I1548=""),"Alamat kosong",IF($N1548="","Jabatan kosong",IF($O1548="","No. HP kosong",IF(AND($R1548&lt;&gt;"",$R1548&lt;17),"Usia di bawah 17","")))))))))</f>
        <v/>
      </c>
      <c r="Z1548" s="40" t="str">
        <f aca="false">IF($B1548="","",IF(AND(OR(CARI!$C$5="",ISNUMBER(SEARCH(CARI!$C$5,$B1548&amp;" "&amp;$C1548&amp;" "&amp;$D1548&amp;" "&amp;$O1548&amp;" "&amp;$I1548&amp;" "&amp;$F1548&amp;" "&amp;$J1548&amp;" "&amp;$K1548&amp;" "&amp;$L1548&amp;" "&amp;$V1548))),OR(CARI!$C$6="",$F1548=CARI!$C$6),OR(CARI!$C$7="",$G1548=CARI!$C$7),OR(CARI!$C$8="",$T1548=CARI!$C$8)),MAX($Z$3:Z1547)+1,""))</f>
        <v/>
      </c>
      <c r="AA1548" s="40" t="str">
        <f aca="false">IF($Y1548="","",MAX($AA$3:AA1547)+1)</f>
        <v/>
      </c>
      <c r="AB1548" s="40" t="str">
        <f aca="false">IF($F1548="","",$F1548&amp;"#"&amp;COUNTIF($F$4:$F1548,$F1548))</f>
        <v/>
      </c>
      <c r="AC1548" s="40" t="str">
        <f aca="false">IF($B1548="","",IF(AND(OR(CETAK!$J$10="",$F1548=CETAK!$J$10),OR(CETAK!$J$11="",$G1548=CETAK!$J$11),OR(CETAK!$J$12="",$P1548=CETAK!$J$12),OR(CETAK!$J$13="",$N1548=CETAK!$J$13),OR(CETAK!$J$14="",$T1548=CETAK!$J$14)),MAX($AC$3:AC1547)+1,""))</f>
        <v/>
      </c>
      <c r="AD1548" s="40" t="str">
        <f aca="false">IF($B1548="","",IF(AND(OR(ABSENSI!$H$10="",$F1548=ABSENSI!$H$10),OR(ABSENSI!$H$11="",$G1548=ABSENSI!$H$11),OR(ABSENSI!$H$12="",$P1548=ABSENSI!$H$12)),MAX($AD$3:AD1547)+1,""))</f>
        <v/>
      </c>
      <c r="AE1548" s="40" t="str">
        <f aca="false">IF($B1548="","",IF(AND(OR(KARTU!$K$6="",$F1548=KARTU!$K$6),OR(KARTU!$K$7="",$G1548=KARTU!$K$7),OR(KARTU!$K$8="",$P1548=KARTU!$K$8)),MAX($AE$3:AE1547)+1,""))</f>
        <v/>
      </c>
    </row>
    <row r="1549" customFormat="false" ht="15" hidden="false" customHeight="false" outlineLevel="0" collapsed="false">
      <c r="A1549" s="35" t="str">
        <f aca="false">IF($B1549="","",COUNTA($B$4:$B1549))</f>
        <v/>
      </c>
      <c r="B1549" s="36"/>
      <c r="C1549" s="37"/>
      <c r="D1549" s="37"/>
      <c r="E1549" s="38"/>
      <c r="F1549" s="36"/>
      <c r="G1549" s="39"/>
      <c r="H1549" s="39"/>
      <c r="I1549" s="36"/>
      <c r="J1549" s="36"/>
      <c r="K1549" s="36"/>
      <c r="L1549" s="36"/>
      <c r="M1549" s="40" t="str">
        <f aca="false">IF($F1549="","",$F1549&amp;IF($G1549="",""," - RT "&amp;$G1549&amp;IF($H1549="","","/"&amp;$H1549)))</f>
        <v/>
      </c>
      <c r="N1549" s="36"/>
      <c r="O1549" s="37"/>
      <c r="P1549" s="39"/>
      <c r="Q1549" s="41"/>
      <c r="R1549" s="35" t="str">
        <f aca="true">IF(OR($B1549="",$Q1549=""),"",DATEDIF($Q1549,TODAY(),"Y"))</f>
        <v/>
      </c>
      <c r="S1549" s="40" t="str">
        <f aca="false">IF($R1549="","",INDEX(usia_label,MATCH($R1549,usia_min,1)))</f>
        <v/>
      </c>
      <c r="T1549" s="36"/>
      <c r="U1549" s="41"/>
      <c r="V1549" s="36"/>
      <c r="W1549" s="36"/>
      <c r="X1549" s="40" t="str">
        <f aca="false">IF($M1549="","",$M1549&amp;"#"&amp;COUNTIF($M$4:$M1549,$M1549))</f>
        <v/>
      </c>
      <c r="Y1549" s="40" t="str">
        <f aca="false">IF($B1549="","",IF($C1549="","NIK kosong",IF(LEN($C1549)&lt;&gt;16,"NIK bukan 16 digit",IF(COUNTIF($C$4:$C$2003,$C1549&amp;"*")&gt;1,"NIK ganda",IF(AND($D1549&lt;&gt;"",LEN($D1549)&lt;&gt;16),"No. KK bukan 16 digit",IF(AND($F1549="",$I1549=""),"Alamat kosong",IF($N1549="","Jabatan kosong",IF($O1549="","No. HP kosong",IF(AND($R1549&lt;&gt;"",$R1549&lt;17),"Usia di bawah 17","")))))))))</f>
        <v/>
      </c>
      <c r="Z1549" s="40" t="str">
        <f aca="false">IF($B1549="","",IF(AND(OR(CARI!$C$5="",ISNUMBER(SEARCH(CARI!$C$5,$B1549&amp;" "&amp;$C1549&amp;" "&amp;$D1549&amp;" "&amp;$O1549&amp;" "&amp;$I1549&amp;" "&amp;$F1549&amp;" "&amp;$J1549&amp;" "&amp;$K1549&amp;" "&amp;$L1549&amp;" "&amp;$V1549))),OR(CARI!$C$6="",$F1549=CARI!$C$6),OR(CARI!$C$7="",$G1549=CARI!$C$7),OR(CARI!$C$8="",$T1549=CARI!$C$8)),MAX($Z$3:Z1548)+1,""))</f>
        <v/>
      </c>
      <c r="AA1549" s="40" t="str">
        <f aca="false">IF($Y1549="","",MAX($AA$3:AA1548)+1)</f>
        <v/>
      </c>
      <c r="AB1549" s="40" t="str">
        <f aca="false">IF($F1549="","",$F1549&amp;"#"&amp;COUNTIF($F$4:$F1549,$F1549))</f>
        <v/>
      </c>
      <c r="AC1549" s="40" t="str">
        <f aca="false">IF($B1549="","",IF(AND(OR(CETAK!$J$10="",$F1549=CETAK!$J$10),OR(CETAK!$J$11="",$G1549=CETAK!$J$11),OR(CETAK!$J$12="",$P1549=CETAK!$J$12),OR(CETAK!$J$13="",$N1549=CETAK!$J$13),OR(CETAK!$J$14="",$T1549=CETAK!$J$14)),MAX($AC$3:AC1548)+1,""))</f>
        <v/>
      </c>
      <c r="AD1549" s="40" t="str">
        <f aca="false">IF($B1549="","",IF(AND(OR(ABSENSI!$H$10="",$F1549=ABSENSI!$H$10),OR(ABSENSI!$H$11="",$G1549=ABSENSI!$H$11),OR(ABSENSI!$H$12="",$P1549=ABSENSI!$H$12)),MAX($AD$3:AD1548)+1,""))</f>
        <v/>
      </c>
      <c r="AE1549" s="40" t="str">
        <f aca="false">IF($B1549="","",IF(AND(OR(KARTU!$K$6="",$F1549=KARTU!$K$6),OR(KARTU!$K$7="",$G1549=KARTU!$K$7),OR(KARTU!$K$8="",$P1549=KARTU!$K$8)),MAX($AE$3:AE1548)+1,""))</f>
        <v/>
      </c>
    </row>
    <row r="1550" customFormat="false" ht="15" hidden="false" customHeight="false" outlineLevel="0" collapsed="false">
      <c r="A1550" s="35" t="str">
        <f aca="false">IF($B1550="","",COUNTA($B$4:$B1550))</f>
        <v/>
      </c>
      <c r="B1550" s="36"/>
      <c r="C1550" s="37"/>
      <c r="D1550" s="37"/>
      <c r="E1550" s="38"/>
      <c r="F1550" s="36"/>
      <c r="G1550" s="39"/>
      <c r="H1550" s="39"/>
      <c r="I1550" s="36"/>
      <c r="J1550" s="36"/>
      <c r="K1550" s="36"/>
      <c r="L1550" s="36"/>
      <c r="M1550" s="40" t="str">
        <f aca="false">IF($F1550="","",$F1550&amp;IF($G1550="",""," - RT "&amp;$G1550&amp;IF($H1550="","","/"&amp;$H1550)))</f>
        <v/>
      </c>
      <c r="N1550" s="36"/>
      <c r="O1550" s="37"/>
      <c r="P1550" s="39"/>
      <c r="Q1550" s="41"/>
      <c r="R1550" s="35" t="str">
        <f aca="true">IF(OR($B1550="",$Q1550=""),"",DATEDIF($Q1550,TODAY(),"Y"))</f>
        <v/>
      </c>
      <c r="S1550" s="40" t="str">
        <f aca="false">IF($R1550="","",INDEX(usia_label,MATCH($R1550,usia_min,1)))</f>
        <v/>
      </c>
      <c r="T1550" s="36"/>
      <c r="U1550" s="41"/>
      <c r="V1550" s="36"/>
      <c r="W1550" s="36"/>
      <c r="X1550" s="40" t="str">
        <f aca="false">IF($M1550="","",$M1550&amp;"#"&amp;COUNTIF($M$4:$M1550,$M1550))</f>
        <v/>
      </c>
      <c r="Y1550" s="40" t="str">
        <f aca="false">IF($B1550="","",IF($C1550="","NIK kosong",IF(LEN($C1550)&lt;&gt;16,"NIK bukan 16 digit",IF(COUNTIF($C$4:$C$2003,$C1550&amp;"*")&gt;1,"NIK ganda",IF(AND($D1550&lt;&gt;"",LEN($D1550)&lt;&gt;16),"No. KK bukan 16 digit",IF(AND($F1550="",$I1550=""),"Alamat kosong",IF($N1550="","Jabatan kosong",IF($O1550="","No. HP kosong",IF(AND($R1550&lt;&gt;"",$R1550&lt;17),"Usia di bawah 17","")))))))))</f>
        <v/>
      </c>
      <c r="Z1550" s="40" t="str">
        <f aca="false">IF($B1550="","",IF(AND(OR(CARI!$C$5="",ISNUMBER(SEARCH(CARI!$C$5,$B1550&amp;" "&amp;$C1550&amp;" "&amp;$D1550&amp;" "&amp;$O1550&amp;" "&amp;$I1550&amp;" "&amp;$F1550&amp;" "&amp;$J1550&amp;" "&amp;$K1550&amp;" "&amp;$L1550&amp;" "&amp;$V1550))),OR(CARI!$C$6="",$F1550=CARI!$C$6),OR(CARI!$C$7="",$G1550=CARI!$C$7),OR(CARI!$C$8="",$T1550=CARI!$C$8)),MAX($Z$3:Z1549)+1,""))</f>
        <v/>
      </c>
      <c r="AA1550" s="40" t="str">
        <f aca="false">IF($Y1550="","",MAX($AA$3:AA1549)+1)</f>
        <v/>
      </c>
      <c r="AB1550" s="40" t="str">
        <f aca="false">IF($F1550="","",$F1550&amp;"#"&amp;COUNTIF($F$4:$F1550,$F1550))</f>
        <v/>
      </c>
      <c r="AC1550" s="40" t="str">
        <f aca="false">IF($B1550="","",IF(AND(OR(CETAK!$J$10="",$F1550=CETAK!$J$10),OR(CETAK!$J$11="",$G1550=CETAK!$J$11),OR(CETAK!$J$12="",$P1550=CETAK!$J$12),OR(CETAK!$J$13="",$N1550=CETAK!$J$13),OR(CETAK!$J$14="",$T1550=CETAK!$J$14)),MAX($AC$3:AC1549)+1,""))</f>
        <v/>
      </c>
      <c r="AD1550" s="40" t="str">
        <f aca="false">IF($B1550="","",IF(AND(OR(ABSENSI!$H$10="",$F1550=ABSENSI!$H$10),OR(ABSENSI!$H$11="",$G1550=ABSENSI!$H$11),OR(ABSENSI!$H$12="",$P1550=ABSENSI!$H$12)),MAX($AD$3:AD1549)+1,""))</f>
        <v/>
      </c>
      <c r="AE1550" s="40" t="str">
        <f aca="false">IF($B1550="","",IF(AND(OR(KARTU!$K$6="",$F1550=KARTU!$K$6),OR(KARTU!$K$7="",$G1550=KARTU!$K$7),OR(KARTU!$K$8="",$P1550=KARTU!$K$8)),MAX($AE$3:AE1549)+1,""))</f>
        <v/>
      </c>
    </row>
    <row r="1551" customFormat="false" ht="15" hidden="false" customHeight="false" outlineLevel="0" collapsed="false">
      <c r="A1551" s="35" t="str">
        <f aca="false">IF($B1551="","",COUNTA($B$4:$B1551))</f>
        <v/>
      </c>
      <c r="B1551" s="36"/>
      <c r="C1551" s="37"/>
      <c r="D1551" s="37"/>
      <c r="E1551" s="38"/>
      <c r="F1551" s="36"/>
      <c r="G1551" s="39"/>
      <c r="H1551" s="39"/>
      <c r="I1551" s="36"/>
      <c r="J1551" s="36"/>
      <c r="K1551" s="36"/>
      <c r="L1551" s="36"/>
      <c r="M1551" s="40" t="str">
        <f aca="false">IF($F1551="","",$F1551&amp;IF($G1551="",""," - RT "&amp;$G1551&amp;IF($H1551="","","/"&amp;$H1551)))</f>
        <v/>
      </c>
      <c r="N1551" s="36"/>
      <c r="O1551" s="37"/>
      <c r="P1551" s="39"/>
      <c r="Q1551" s="41"/>
      <c r="R1551" s="35" t="str">
        <f aca="true">IF(OR($B1551="",$Q1551=""),"",DATEDIF($Q1551,TODAY(),"Y"))</f>
        <v/>
      </c>
      <c r="S1551" s="40" t="str">
        <f aca="false">IF($R1551="","",INDEX(usia_label,MATCH($R1551,usia_min,1)))</f>
        <v/>
      </c>
      <c r="T1551" s="36"/>
      <c r="U1551" s="41"/>
      <c r="V1551" s="36"/>
      <c r="W1551" s="36"/>
      <c r="X1551" s="40" t="str">
        <f aca="false">IF($M1551="","",$M1551&amp;"#"&amp;COUNTIF($M$4:$M1551,$M1551))</f>
        <v/>
      </c>
      <c r="Y1551" s="40" t="str">
        <f aca="false">IF($B1551="","",IF($C1551="","NIK kosong",IF(LEN($C1551)&lt;&gt;16,"NIK bukan 16 digit",IF(COUNTIF($C$4:$C$2003,$C1551&amp;"*")&gt;1,"NIK ganda",IF(AND($D1551&lt;&gt;"",LEN($D1551)&lt;&gt;16),"No. KK bukan 16 digit",IF(AND($F1551="",$I1551=""),"Alamat kosong",IF($N1551="","Jabatan kosong",IF($O1551="","No. HP kosong",IF(AND($R1551&lt;&gt;"",$R1551&lt;17),"Usia di bawah 17","")))))))))</f>
        <v/>
      </c>
      <c r="Z1551" s="40" t="str">
        <f aca="false">IF($B1551="","",IF(AND(OR(CARI!$C$5="",ISNUMBER(SEARCH(CARI!$C$5,$B1551&amp;" "&amp;$C1551&amp;" "&amp;$D1551&amp;" "&amp;$O1551&amp;" "&amp;$I1551&amp;" "&amp;$F1551&amp;" "&amp;$J1551&amp;" "&amp;$K1551&amp;" "&amp;$L1551&amp;" "&amp;$V1551))),OR(CARI!$C$6="",$F1551=CARI!$C$6),OR(CARI!$C$7="",$G1551=CARI!$C$7),OR(CARI!$C$8="",$T1551=CARI!$C$8)),MAX($Z$3:Z1550)+1,""))</f>
        <v/>
      </c>
      <c r="AA1551" s="40" t="str">
        <f aca="false">IF($Y1551="","",MAX($AA$3:AA1550)+1)</f>
        <v/>
      </c>
      <c r="AB1551" s="40" t="str">
        <f aca="false">IF($F1551="","",$F1551&amp;"#"&amp;COUNTIF($F$4:$F1551,$F1551))</f>
        <v/>
      </c>
      <c r="AC1551" s="40" t="str">
        <f aca="false">IF($B1551="","",IF(AND(OR(CETAK!$J$10="",$F1551=CETAK!$J$10),OR(CETAK!$J$11="",$G1551=CETAK!$J$11),OR(CETAK!$J$12="",$P1551=CETAK!$J$12),OR(CETAK!$J$13="",$N1551=CETAK!$J$13),OR(CETAK!$J$14="",$T1551=CETAK!$J$14)),MAX($AC$3:AC1550)+1,""))</f>
        <v/>
      </c>
      <c r="AD1551" s="40" t="str">
        <f aca="false">IF($B1551="","",IF(AND(OR(ABSENSI!$H$10="",$F1551=ABSENSI!$H$10),OR(ABSENSI!$H$11="",$G1551=ABSENSI!$H$11),OR(ABSENSI!$H$12="",$P1551=ABSENSI!$H$12)),MAX($AD$3:AD1550)+1,""))</f>
        <v/>
      </c>
      <c r="AE1551" s="40" t="str">
        <f aca="false">IF($B1551="","",IF(AND(OR(KARTU!$K$6="",$F1551=KARTU!$K$6),OR(KARTU!$K$7="",$G1551=KARTU!$K$7),OR(KARTU!$K$8="",$P1551=KARTU!$K$8)),MAX($AE$3:AE1550)+1,""))</f>
        <v/>
      </c>
    </row>
    <row r="1552" customFormat="false" ht="15" hidden="false" customHeight="false" outlineLevel="0" collapsed="false">
      <c r="A1552" s="35" t="str">
        <f aca="false">IF($B1552="","",COUNTA($B$4:$B1552))</f>
        <v/>
      </c>
      <c r="B1552" s="36"/>
      <c r="C1552" s="37"/>
      <c r="D1552" s="37"/>
      <c r="E1552" s="38"/>
      <c r="F1552" s="36"/>
      <c r="G1552" s="39"/>
      <c r="H1552" s="39"/>
      <c r="I1552" s="36"/>
      <c r="J1552" s="36"/>
      <c r="K1552" s="36"/>
      <c r="L1552" s="36"/>
      <c r="M1552" s="40" t="str">
        <f aca="false">IF($F1552="","",$F1552&amp;IF($G1552="",""," - RT "&amp;$G1552&amp;IF($H1552="","","/"&amp;$H1552)))</f>
        <v/>
      </c>
      <c r="N1552" s="36"/>
      <c r="O1552" s="37"/>
      <c r="P1552" s="39"/>
      <c r="Q1552" s="41"/>
      <c r="R1552" s="35" t="str">
        <f aca="true">IF(OR($B1552="",$Q1552=""),"",DATEDIF($Q1552,TODAY(),"Y"))</f>
        <v/>
      </c>
      <c r="S1552" s="40" t="str">
        <f aca="false">IF($R1552="","",INDEX(usia_label,MATCH($R1552,usia_min,1)))</f>
        <v/>
      </c>
      <c r="T1552" s="36"/>
      <c r="U1552" s="41"/>
      <c r="V1552" s="36"/>
      <c r="W1552" s="36"/>
      <c r="X1552" s="40" t="str">
        <f aca="false">IF($M1552="","",$M1552&amp;"#"&amp;COUNTIF($M$4:$M1552,$M1552))</f>
        <v/>
      </c>
      <c r="Y1552" s="40" t="str">
        <f aca="false">IF($B1552="","",IF($C1552="","NIK kosong",IF(LEN($C1552)&lt;&gt;16,"NIK bukan 16 digit",IF(COUNTIF($C$4:$C$2003,$C1552&amp;"*")&gt;1,"NIK ganda",IF(AND($D1552&lt;&gt;"",LEN($D1552)&lt;&gt;16),"No. KK bukan 16 digit",IF(AND($F1552="",$I1552=""),"Alamat kosong",IF($N1552="","Jabatan kosong",IF($O1552="","No. HP kosong",IF(AND($R1552&lt;&gt;"",$R1552&lt;17),"Usia di bawah 17","")))))))))</f>
        <v/>
      </c>
      <c r="Z1552" s="40" t="str">
        <f aca="false">IF($B1552="","",IF(AND(OR(CARI!$C$5="",ISNUMBER(SEARCH(CARI!$C$5,$B1552&amp;" "&amp;$C1552&amp;" "&amp;$D1552&amp;" "&amp;$O1552&amp;" "&amp;$I1552&amp;" "&amp;$F1552&amp;" "&amp;$J1552&amp;" "&amp;$K1552&amp;" "&amp;$L1552&amp;" "&amp;$V1552))),OR(CARI!$C$6="",$F1552=CARI!$C$6),OR(CARI!$C$7="",$G1552=CARI!$C$7),OR(CARI!$C$8="",$T1552=CARI!$C$8)),MAX($Z$3:Z1551)+1,""))</f>
        <v/>
      </c>
      <c r="AA1552" s="40" t="str">
        <f aca="false">IF($Y1552="","",MAX($AA$3:AA1551)+1)</f>
        <v/>
      </c>
      <c r="AB1552" s="40" t="str">
        <f aca="false">IF($F1552="","",$F1552&amp;"#"&amp;COUNTIF($F$4:$F1552,$F1552))</f>
        <v/>
      </c>
      <c r="AC1552" s="40" t="str">
        <f aca="false">IF($B1552="","",IF(AND(OR(CETAK!$J$10="",$F1552=CETAK!$J$10),OR(CETAK!$J$11="",$G1552=CETAK!$J$11),OR(CETAK!$J$12="",$P1552=CETAK!$J$12),OR(CETAK!$J$13="",$N1552=CETAK!$J$13),OR(CETAK!$J$14="",$T1552=CETAK!$J$14)),MAX($AC$3:AC1551)+1,""))</f>
        <v/>
      </c>
      <c r="AD1552" s="40" t="str">
        <f aca="false">IF($B1552="","",IF(AND(OR(ABSENSI!$H$10="",$F1552=ABSENSI!$H$10),OR(ABSENSI!$H$11="",$G1552=ABSENSI!$H$11),OR(ABSENSI!$H$12="",$P1552=ABSENSI!$H$12)),MAX($AD$3:AD1551)+1,""))</f>
        <v/>
      </c>
      <c r="AE1552" s="40" t="str">
        <f aca="false">IF($B1552="","",IF(AND(OR(KARTU!$K$6="",$F1552=KARTU!$K$6),OR(KARTU!$K$7="",$G1552=KARTU!$K$7),OR(KARTU!$K$8="",$P1552=KARTU!$K$8)),MAX($AE$3:AE1551)+1,""))</f>
        <v/>
      </c>
    </row>
    <row r="1553" customFormat="false" ht="15" hidden="false" customHeight="false" outlineLevel="0" collapsed="false">
      <c r="A1553" s="35" t="str">
        <f aca="false">IF($B1553="","",COUNTA($B$4:$B1553))</f>
        <v/>
      </c>
      <c r="B1553" s="36"/>
      <c r="C1553" s="37"/>
      <c r="D1553" s="37"/>
      <c r="E1553" s="38"/>
      <c r="F1553" s="36"/>
      <c r="G1553" s="39"/>
      <c r="H1553" s="39"/>
      <c r="I1553" s="36"/>
      <c r="J1553" s="36"/>
      <c r="K1553" s="36"/>
      <c r="L1553" s="36"/>
      <c r="M1553" s="40" t="str">
        <f aca="false">IF($F1553="","",$F1553&amp;IF($G1553="",""," - RT "&amp;$G1553&amp;IF($H1553="","","/"&amp;$H1553)))</f>
        <v/>
      </c>
      <c r="N1553" s="36"/>
      <c r="O1553" s="37"/>
      <c r="P1553" s="39"/>
      <c r="Q1553" s="41"/>
      <c r="R1553" s="35" t="str">
        <f aca="true">IF(OR($B1553="",$Q1553=""),"",DATEDIF($Q1553,TODAY(),"Y"))</f>
        <v/>
      </c>
      <c r="S1553" s="40" t="str">
        <f aca="false">IF($R1553="","",INDEX(usia_label,MATCH($R1553,usia_min,1)))</f>
        <v/>
      </c>
      <c r="T1553" s="36"/>
      <c r="U1553" s="41"/>
      <c r="V1553" s="36"/>
      <c r="W1553" s="36"/>
      <c r="X1553" s="40" t="str">
        <f aca="false">IF($M1553="","",$M1553&amp;"#"&amp;COUNTIF($M$4:$M1553,$M1553))</f>
        <v/>
      </c>
      <c r="Y1553" s="40" t="str">
        <f aca="false">IF($B1553="","",IF($C1553="","NIK kosong",IF(LEN($C1553)&lt;&gt;16,"NIK bukan 16 digit",IF(COUNTIF($C$4:$C$2003,$C1553&amp;"*")&gt;1,"NIK ganda",IF(AND($D1553&lt;&gt;"",LEN($D1553)&lt;&gt;16),"No. KK bukan 16 digit",IF(AND($F1553="",$I1553=""),"Alamat kosong",IF($N1553="","Jabatan kosong",IF($O1553="","No. HP kosong",IF(AND($R1553&lt;&gt;"",$R1553&lt;17),"Usia di bawah 17","")))))))))</f>
        <v/>
      </c>
      <c r="Z1553" s="40" t="str">
        <f aca="false">IF($B1553="","",IF(AND(OR(CARI!$C$5="",ISNUMBER(SEARCH(CARI!$C$5,$B1553&amp;" "&amp;$C1553&amp;" "&amp;$D1553&amp;" "&amp;$O1553&amp;" "&amp;$I1553&amp;" "&amp;$F1553&amp;" "&amp;$J1553&amp;" "&amp;$K1553&amp;" "&amp;$L1553&amp;" "&amp;$V1553))),OR(CARI!$C$6="",$F1553=CARI!$C$6),OR(CARI!$C$7="",$G1553=CARI!$C$7),OR(CARI!$C$8="",$T1553=CARI!$C$8)),MAX($Z$3:Z1552)+1,""))</f>
        <v/>
      </c>
      <c r="AA1553" s="40" t="str">
        <f aca="false">IF($Y1553="","",MAX($AA$3:AA1552)+1)</f>
        <v/>
      </c>
      <c r="AB1553" s="40" t="str">
        <f aca="false">IF($F1553="","",$F1553&amp;"#"&amp;COUNTIF($F$4:$F1553,$F1553))</f>
        <v/>
      </c>
      <c r="AC1553" s="40" t="str">
        <f aca="false">IF($B1553="","",IF(AND(OR(CETAK!$J$10="",$F1553=CETAK!$J$10),OR(CETAK!$J$11="",$G1553=CETAK!$J$11),OR(CETAK!$J$12="",$P1553=CETAK!$J$12),OR(CETAK!$J$13="",$N1553=CETAK!$J$13),OR(CETAK!$J$14="",$T1553=CETAK!$J$14)),MAX($AC$3:AC1552)+1,""))</f>
        <v/>
      </c>
      <c r="AD1553" s="40" t="str">
        <f aca="false">IF($B1553="","",IF(AND(OR(ABSENSI!$H$10="",$F1553=ABSENSI!$H$10),OR(ABSENSI!$H$11="",$G1553=ABSENSI!$H$11),OR(ABSENSI!$H$12="",$P1553=ABSENSI!$H$12)),MAX($AD$3:AD1552)+1,""))</f>
        <v/>
      </c>
      <c r="AE1553" s="40" t="str">
        <f aca="false">IF($B1553="","",IF(AND(OR(KARTU!$K$6="",$F1553=KARTU!$K$6),OR(KARTU!$K$7="",$G1553=KARTU!$K$7),OR(KARTU!$K$8="",$P1553=KARTU!$K$8)),MAX($AE$3:AE1552)+1,""))</f>
        <v/>
      </c>
    </row>
    <row r="1554" customFormat="false" ht="15" hidden="false" customHeight="false" outlineLevel="0" collapsed="false">
      <c r="A1554" s="35" t="str">
        <f aca="false">IF($B1554="","",COUNTA($B$4:$B1554))</f>
        <v/>
      </c>
      <c r="B1554" s="36"/>
      <c r="C1554" s="37"/>
      <c r="D1554" s="37"/>
      <c r="E1554" s="38"/>
      <c r="F1554" s="36"/>
      <c r="G1554" s="39"/>
      <c r="H1554" s="39"/>
      <c r="I1554" s="36"/>
      <c r="J1554" s="36"/>
      <c r="K1554" s="36"/>
      <c r="L1554" s="36"/>
      <c r="M1554" s="40" t="str">
        <f aca="false">IF($F1554="","",$F1554&amp;IF($G1554="",""," - RT "&amp;$G1554&amp;IF($H1554="","","/"&amp;$H1554)))</f>
        <v/>
      </c>
      <c r="N1554" s="36"/>
      <c r="O1554" s="37"/>
      <c r="P1554" s="39"/>
      <c r="Q1554" s="41"/>
      <c r="R1554" s="35" t="str">
        <f aca="true">IF(OR($B1554="",$Q1554=""),"",DATEDIF($Q1554,TODAY(),"Y"))</f>
        <v/>
      </c>
      <c r="S1554" s="40" t="str">
        <f aca="false">IF($R1554="","",INDEX(usia_label,MATCH($R1554,usia_min,1)))</f>
        <v/>
      </c>
      <c r="T1554" s="36"/>
      <c r="U1554" s="41"/>
      <c r="V1554" s="36"/>
      <c r="W1554" s="36"/>
      <c r="X1554" s="40" t="str">
        <f aca="false">IF($M1554="","",$M1554&amp;"#"&amp;COUNTIF($M$4:$M1554,$M1554))</f>
        <v/>
      </c>
      <c r="Y1554" s="40" t="str">
        <f aca="false">IF($B1554="","",IF($C1554="","NIK kosong",IF(LEN($C1554)&lt;&gt;16,"NIK bukan 16 digit",IF(COUNTIF($C$4:$C$2003,$C1554&amp;"*")&gt;1,"NIK ganda",IF(AND($D1554&lt;&gt;"",LEN($D1554)&lt;&gt;16),"No. KK bukan 16 digit",IF(AND($F1554="",$I1554=""),"Alamat kosong",IF($N1554="","Jabatan kosong",IF($O1554="","No. HP kosong",IF(AND($R1554&lt;&gt;"",$R1554&lt;17),"Usia di bawah 17","")))))))))</f>
        <v/>
      </c>
      <c r="Z1554" s="40" t="str">
        <f aca="false">IF($B1554="","",IF(AND(OR(CARI!$C$5="",ISNUMBER(SEARCH(CARI!$C$5,$B1554&amp;" "&amp;$C1554&amp;" "&amp;$D1554&amp;" "&amp;$O1554&amp;" "&amp;$I1554&amp;" "&amp;$F1554&amp;" "&amp;$J1554&amp;" "&amp;$K1554&amp;" "&amp;$L1554&amp;" "&amp;$V1554))),OR(CARI!$C$6="",$F1554=CARI!$C$6),OR(CARI!$C$7="",$G1554=CARI!$C$7),OR(CARI!$C$8="",$T1554=CARI!$C$8)),MAX($Z$3:Z1553)+1,""))</f>
        <v/>
      </c>
      <c r="AA1554" s="40" t="str">
        <f aca="false">IF($Y1554="","",MAX($AA$3:AA1553)+1)</f>
        <v/>
      </c>
      <c r="AB1554" s="40" t="str">
        <f aca="false">IF($F1554="","",$F1554&amp;"#"&amp;COUNTIF($F$4:$F1554,$F1554))</f>
        <v/>
      </c>
      <c r="AC1554" s="40" t="str">
        <f aca="false">IF($B1554="","",IF(AND(OR(CETAK!$J$10="",$F1554=CETAK!$J$10),OR(CETAK!$J$11="",$G1554=CETAK!$J$11),OR(CETAK!$J$12="",$P1554=CETAK!$J$12),OR(CETAK!$J$13="",$N1554=CETAK!$J$13),OR(CETAK!$J$14="",$T1554=CETAK!$J$14)),MAX($AC$3:AC1553)+1,""))</f>
        <v/>
      </c>
      <c r="AD1554" s="40" t="str">
        <f aca="false">IF($B1554="","",IF(AND(OR(ABSENSI!$H$10="",$F1554=ABSENSI!$H$10),OR(ABSENSI!$H$11="",$G1554=ABSENSI!$H$11),OR(ABSENSI!$H$12="",$P1554=ABSENSI!$H$12)),MAX($AD$3:AD1553)+1,""))</f>
        <v/>
      </c>
      <c r="AE1554" s="40" t="str">
        <f aca="false">IF($B1554="","",IF(AND(OR(KARTU!$K$6="",$F1554=KARTU!$K$6),OR(KARTU!$K$7="",$G1554=KARTU!$K$7),OR(KARTU!$K$8="",$P1554=KARTU!$K$8)),MAX($AE$3:AE1553)+1,""))</f>
        <v/>
      </c>
    </row>
    <row r="1555" customFormat="false" ht="15" hidden="false" customHeight="false" outlineLevel="0" collapsed="false">
      <c r="A1555" s="35" t="str">
        <f aca="false">IF($B1555="","",COUNTA($B$4:$B1555))</f>
        <v/>
      </c>
      <c r="B1555" s="36"/>
      <c r="C1555" s="37"/>
      <c r="D1555" s="37"/>
      <c r="E1555" s="38"/>
      <c r="F1555" s="36"/>
      <c r="G1555" s="39"/>
      <c r="H1555" s="39"/>
      <c r="I1555" s="36"/>
      <c r="J1555" s="36"/>
      <c r="K1555" s="36"/>
      <c r="L1555" s="36"/>
      <c r="M1555" s="40" t="str">
        <f aca="false">IF($F1555="","",$F1555&amp;IF($G1555="",""," - RT "&amp;$G1555&amp;IF($H1555="","","/"&amp;$H1555)))</f>
        <v/>
      </c>
      <c r="N1555" s="36"/>
      <c r="O1555" s="37"/>
      <c r="P1555" s="39"/>
      <c r="Q1555" s="41"/>
      <c r="R1555" s="35" t="str">
        <f aca="true">IF(OR($B1555="",$Q1555=""),"",DATEDIF($Q1555,TODAY(),"Y"))</f>
        <v/>
      </c>
      <c r="S1555" s="40" t="str">
        <f aca="false">IF($R1555="","",INDEX(usia_label,MATCH($R1555,usia_min,1)))</f>
        <v/>
      </c>
      <c r="T1555" s="36"/>
      <c r="U1555" s="41"/>
      <c r="V1555" s="36"/>
      <c r="W1555" s="36"/>
      <c r="X1555" s="40" t="str">
        <f aca="false">IF($M1555="","",$M1555&amp;"#"&amp;COUNTIF($M$4:$M1555,$M1555))</f>
        <v/>
      </c>
      <c r="Y1555" s="40" t="str">
        <f aca="false">IF($B1555="","",IF($C1555="","NIK kosong",IF(LEN($C1555)&lt;&gt;16,"NIK bukan 16 digit",IF(COUNTIF($C$4:$C$2003,$C1555&amp;"*")&gt;1,"NIK ganda",IF(AND($D1555&lt;&gt;"",LEN($D1555)&lt;&gt;16),"No. KK bukan 16 digit",IF(AND($F1555="",$I1555=""),"Alamat kosong",IF($N1555="","Jabatan kosong",IF($O1555="","No. HP kosong",IF(AND($R1555&lt;&gt;"",$R1555&lt;17),"Usia di bawah 17","")))))))))</f>
        <v/>
      </c>
      <c r="Z1555" s="40" t="str">
        <f aca="false">IF($B1555="","",IF(AND(OR(CARI!$C$5="",ISNUMBER(SEARCH(CARI!$C$5,$B1555&amp;" "&amp;$C1555&amp;" "&amp;$D1555&amp;" "&amp;$O1555&amp;" "&amp;$I1555&amp;" "&amp;$F1555&amp;" "&amp;$J1555&amp;" "&amp;$K1555&amp;" "&amp;$L1555&amp;" "&amp;$V1555))),OR(CARI!$C$6="",$F1555=CARI!$C$6),OR(CARI!$C$7="",$G1555=CARI!$C$7),OR(CARI!$C$8="",$T1555=CARI!$C$8)),MAX($Z$3:Z1554)+1,""))</f>
        <v/>
      </c>
      <c r="AA1555" s="40" t="str">
        <f aca="false">IF($Y1555="","",MAX($AA$3:AA1554)+1)</f>
        <v/>
      </c>
      <c r="AB1555" s="40" t="str">
        <f aca="false">IF($F1555="","",$F1555&amp;"#"&amp;COUNTIF($F$4:$F1555,$F1555))</f>
        <v/>
      </c>
      <c r="AC1555" s="40" t="str">
        <f aca="false">IF($B1555="","",IF(AND(OR(CETAK!$J$10="",$F1555=CETAK!$J$10),OR(CETAK!$J$11="",$G1555=CETAK!$J$11),OR(CETAK!$J$12="",$P1555=CETAK!$J$12),OR(CETAK!$J$13="",$N1555=CETAK!$J$13),OR(CETAK!$J$14="",$T1555=CETAK!$J$14)),MAX($AC$3:AC1554)+1,""))</f>
        <v/>
      </c>
      <c r="AD1555" s="40" t="str">
        <f aca="false">IF($B1555="","",IF(AND(OR(ABSENSI!$H$10="",$F1555=ABSENSI!$H$10),OR(ABSENSI!$H$11="",$G1555=ABSENSI!$H$11),OR(ABSENSI!$H$12="",$P1555=ABSENSI!$H$12)),MAX($AD$3:AD1554)+1,""))</f>
        <v/>
      </c>
      <c r="AE1555" s="40" t="str">
        <f aca="false">IF($B1555="","",IF(AND(OR(KARTU!$K$6="",$F1555=KARTU!$K$6),OR(KARTU!$K$7="",$G1555=KARTU!$K$7),OR(KARTU!$K$8="",$P1555=KARTU!$K$8)),MAX($AE$3:AE1554)+1,""))</f>
        <v/>
      </c>
    </row>
    <row r="1556" customFormat="false" ht="15" hidden="false" customHeight="false" outlineLevel="0" collapsed="false">
      <c r="A1556" s="35" t="str">
        <f aca="false">IF($B1556="","",COUNTA($B$4:$B1556))</f>
        <v/>
      </c>
      <c r="B1556" s="36"/>
      <c r="C1556" s="37"/>
      <c r="D1556" s="37"/>
      <c r="E1556" s="38"/>
      <c r="F1556" s="36"/>
      <c r="G1556" s="39"/>
      <c r="H1556" s="39"/>
      <c r="I1556" s="36"/>
      <c r="J1556" s="36"/>
      <c r="K1556" s="36"/>
      <c r="L1556" s="36"/>
      <c r="M1556" s="40" t="str">
        <f aca="false">IF($F1556="","",$F1556&amp;IF($G1556="",""," - RT "&amp;$G1556&amp;IF($H1556="","","/"&amp;$H1556)))</f>
        <v/>
      </c>
      <c r="N1556" s="36"/>
      <c r="O1556" s="37"/>
      <c r="P1556" s="39"/>
      <c r="Q1556" s="41"/>
      <c r="R1556" s="35" t="str">
        <f aca="true">IF(OR($B1556="",$Q1556=""),"",DATEDIF($Q1556,TODAY(),"Y"))</f>
        <v/>
      </c>
      <c r="S1556" s="40" t="str">
        <f aca="false">IF($R1556="","",INDEX(usia_label,MATCH($R1556,usia_min,1)))</f>
        <v/>
      </c>
      <c r="T1556" s="36"/>
      <c r="U1556" s="41"/>
      <c r="V1556" s="36"/>
      <c r="W1556" s="36"/>
      <c r="X1556" s="40" t="str">
        <f aca="false">IF($M1556="","",$M1556&amp;"#"&amp;COUNTIF($M$4:$M1556,$M1556))</f>
        <v/>
      </c>
      <c r="Y1556" s="40" t="str">
        <f aca="false">IF($B1556="","",IF($C1556="","NIK kosong",IF(LEN($C1556)&lt;&gt;16,"NIK bukan 16 digit",IF(COUNTIF($C$4:$C$2003,$C1556&amp;"*")&gt;1,"NIK ganda",IF(AND($D1556&lt;&gt;"",LEN($D1556)&lt;&gt;16),"No. KK bukan 16 digit",IF(AND($F1556="",$I1556=""),"Alamat kosong",IF($N1556="","Jabatan kosong",IF($O1556="","No. HP kosong",IF(AND($R1556&lt;&gt;"",$R1556&lt;17),"Usia di bawah 17","")))))))))</f>
        <v/>
      </c>
      <c r="Z1556" s="40" t="str">
        <f aca="false">IF($B1556="","",IF(AND(OR(CARI!$C$5="",ISNUMBER(SEARCH(CARI!$C$5,$B1556&amp;" "&amp;$C1556&amp;" "&amp;$D1556&amp;" "&amp;$O1556&amp;" "&amp;$I1556&amp;" "&amp;$F1556&amp;" "&amp;$J1556&amp;" "&amp;$K1556&amp;" "&amp;$L1556&amp;" "&amp;$V1556))),OR(CARI!$C$6="",$F1556=CARI!$C$6),OR(CARI!$C$7="",$G1556=CARI!$C$7),OR(CARI!$C$8="",$T1556=CARI!$C$8)),MAX($Z$3:Z1555)+1,""))</f>
        <v/>
      </c>
      <c r="AA1556" s="40" t="str">
        <f aca="false">IF($Y1556="","",MAX($AA$3:AA1555)+1)</f>
        <v/>
      </c>
      <c r="AB1556" s="40" t="str">
        <f aca="false">IF($F1556="","",$F1556&amp;"#"&amp;COUNTIF($F$4:$F1556,$F1556))</f>
        <v/>
      </c>
      <c r="AC1556" s="40" t="str">
        <f aca="false">IF($B1556="","",IF(AND(OR(CETAK!$J$10="",$F1556=CETAK!$J$10),OR(CETAK!$J$11="",$G1556=CETAK!$J$11),OR(CETAK!$J$12="",$P1556=CETAK!$J$12),OR(CETAK!$J$13="",$N1556=CETAK!$J$13),OR(CETAK!$J$14="",$T1556=CETAK!$J$14)),MAX($AC$3:AC1555)+1,""))</f>
        <v/>
      </c>
      <c r="AD1556" s="40" t="str">
        <f aca="false">IF($B1556="","",IF(AND(OR(ABSENSI!$H$10="",$F1556=ABSENSI!$H$10),OR(ABSENSI!$H$11="",$G1556=ABSENSI!$H$11),OR(ABSENSI!$H$12="",$P1556=ABSENSI!$H$12)),MAX($AD$3:AD1555)+1,""))</f>
        <v/>
      </c>
      <c r="AE1556" s="40" t="str">
        <f aca="false">IF($B1556="","",IF(AND(OR(KARTU!$K$6="",$F1556=KARTU!$K$6),OR(KARTU!$K$7="",$G1556=KARTU!$K$7),OR(KARTU!$K$8="",$P1556=KARTU!$K$8)),MAX($AE$3:AE1555)+1,""))</f>
        <v/>
      </c>
    </row>
    <row r="1557" customFormat="false" ht="15" hidden="false" customHeight="false" outlineLevel="0" collapsed="false">
      <c r="A1557" s="35" t="str">
        <f aca="false">IF($B1557="","",COUNTA($B$4:$B1557))</f>
        <v/>
      </c>
      <c r="B1557" s="36"/>
      <c r="C1557" s="37"/>
      <c r="D1557" s="37"/>
      <c r="E1557" s="38"/>
      <c r="F1557" s="36"/>
      <c r="G1557" s="39"/>
      <c r="H1557" s="39"/>
      <c r="I1557" s="36"/>
      <c r="J1557" s="36"/>
      <c r="K1557" s="36"/>
      <c r="L1557" s="36"/>
      <c r="M1557" s="40" t="str">
        <f aca="false">IF($F1557="","",$F1557&amp;IF($G1557="",""," - RT "&amp;$G1557&amp;IF($H1557="","","/"&amp;$H1557)))</f>
        <v/>
      </c>
      <c r="N1557" s="36"/>
      <c r="O1557" s="37"/>
      <c r="P1557" s="39"/>
      <c r="Q1557" s="41"/>
      <c r="R1557" s="35" t="str">
        <f aca="true">IF(OR($B1557="",$Q1557=""),"",DATEDIF($Q1557,TODAY(),"Y"))</f>
        <v/>
      </c>
      <c r="S1557" s="40" t="str">
        <f aca="false">IF($R1557="","",INDEX(usia_label,MATCH($R1557,usia_min,1)))</f>
        <v/>
      </c>
      <c r="T1557" s="36"/>
      <c r="U1557" s="41"/>
      <c r="V1557" s="36"/>
      <c r="W1557" s="36"/>
      <c r="X1557" s="40" t="str">
        <f aca="false">IF($M1557="","",$M1557&amp;"#"&amp;COUNTIF($M$4:$M1557,$M1557))</f>
        <v/>
      </c>
      <c r="Y1557" s="40" t="str">
        <f aca="false">IF($B1557="","",IF($C1557="","NIK kosong",IF(LEN($C1557)&lt;&gt;16,"NIK bukan 16 digit",IF(COUNTIF($C$4:$C$2003,$C1557&amp;"*")&gt;1,"NIK ganda",IF(AND($D1557&lt;&gt;"",LEN($D1557)&lt;&gt;16),"No. KK bukan 16 digit",IF(AND($F1557="",$I1557=""),"Alamat kosong",IF($N1557="","Jabatan kosong",IF($O1557="","No. HP kosong",IF(AND($R1557&lt;&gt;"",$R1557&lt;17),"Usia di bawah 17","")))))))))</f>
        <v/>
      </c>
      <c r="Z1557" s="40" t="str">
        <f aca="false">IF($B1557="","",IF(AND(OR(CARI!$C$5="",ISNUMBER(SEARCH(CARI!$C$5,$B1557&amp;" "&amp;$C1557&amp;" "&amp;$D1557&amp;" "&amp;$O1557&amp;" "&amp;$I1557&amp;" "&amp;$F1557&amp;" "&amp;$J1557&amp;" "&amp;$K1557&amp;" "&amp;$L1557&amp;" "&amp;$V1557))),OR(CARI!$C$6="",$F1557=CARI!$C$6),OR(CARI!$C$7="",$G1557=CARI!$C$7),OR(CARI!$C$8="",$T1557=CARI!$C$8)),MAX($Z$3:Z1556)+1,""))</f>
        <v/>
      </c>
      <c r="AA1557" s="40" t="str">
        <f aca="false">IF($Y1557="","",MAX($AA$3:AA1556)+1)</f>
        <v/>
      </c>
      <c r="AB1557" s="40" t="str">
        <f aca="false">IF($F1557="","",$F1557&amp;"#"&amp;COUNTIF($F$4:$F1557,$F1557))</f>
        <v/>
      </c>
      <c r="AC1557" s="40" t="str">
        <f aca="false">IF($B1557="","",IF(AND(OR(CETAK!$J$10="",$F1557=CETAK!$J$10),OR(CETAK!$J$11="",$G1557=CETAK!$J$11),OR(CETAK!$J$12="",$P1557=CETAK!$J$12),OR(CETAK!$J$13="",$N1557=CETAK!$J$13),OR(CETAK!$J$14="",$T1557=CETAK!$J$14)),MAX($AC$3:AC1556)+1,""))</f>
        <v/>
      </c>
      <c r="AD1557" s="40" t="str">
        <f aca="false">IF($B1557="","",IF(AND(OR(ABSENSI!$H$10="",$F1557=ABSENSI!$H$10),OR(ABSENSI!$H$11="",$G1557=ABSENSI!$H$11),OR(ABSENSI!$H$12="",$P1557=ABSENSI!$H$12)),MAX($AD$3:AD1556)+1,""))</f>
        <v/>
      </c>
      <c r="AE1557" s="40" t="str">
        <f aca="false">IF($B1557="","",IF(AND(OR(KARTU!$K$6="",$F1557=KARTU!$K$6),OR(KARTU!$K$7="",$G1557=KARTU!$K$7),OR(KARTU!$K$8="",$P1557=KARTU!$K$8)),MAX($AE$3:AE1556)+1,""))</f>
        <v/>
      </c>
    </row>
    <row r="1558" customFormat="false" ht="15" hidden="false" customHeight="false" outlineLevel="0" collapsed="false">
      <c r="A1558" s="35" t="str">
        <f aca="false">IF($B1558="","",COUNTA($B$4:$B1558))</f>
        <v/>
      </c>
      <c r="B1558" s="36"/>
      <c r="C1558" s="37"/>
      <c r="D1558" s="37"/>
      <c r="E1558" s="38"/>
      <c r="F1558" s="36"/>
      <c r="G1558" s="39"/>
      <c r="H1558" s="39"/>
      <c r="I1558" s="36"/>
      <c r="J1558" s="36"/>
      <c r="K1558" s="36"/>
      <c r="L1558" s="36"/>
      <c r="M1558" s="40" t="str">
        <f aca="false">IF($F1558="","",$F1558&amp;IF($G1558="",""," - RT "&amp;$G1558&amp;IF($H1558="","","/"&amp;$H1558)))</f>
        <v/>
      </c>
      <c r="N1558" s="36"/>
      <c r="O1558" s="37"/>
      <c r="P1558" s="39"/>
      <c r="Q1558" s="41"/>
      <c r="R1558" s="35" t="str">
        <f aca="true">IF(OR($B1558="",$Q1558=""),"",DATEDIF($Q1558,TODAY(),"Y"))</f>
        <v/>
      </c>
      <c r="S1558" s="40" t="str">
        <f aca="false">IF($R1558="","",INDEX(usia_label,MATCH($R1558,usia_min,1)))</f>
        <v/>
      </c>
      <c r="T1558" s="36"/>
      <c r="U1558" s="41"/>
      <c r="V1558" s="36"/>
      <c r="W1558" s="36"/>
      <c r="X1558" s="40" t="str">
        <f aca="false">IF($M1558="","",$M1558&amp;"#"&amp;COUNTIF($M$4:$M1558,$M1558))</f>
        <v/>
      </c>
      <c r="Y1558" s="40" t="str">
        <f aca="false">IF($B1558="","",IF($C1558="","NIK kosong",IF(LEN($C1558)&lt;&gt;16,"NIK bukan 16 digit",IF(COUNTIF($C$4:$C$2003,$C1558&amp;"*")&gt;1,"NIK ganda",IF(AND($D1558&lt;&gt;"",LEN($D1558)&lt;&gt;16),"No. KK bukan 16 digit",IF(AND($F1558="",$I1558=""),"Alamat kosong",IF($N1558="","Jabatan kosong",IF($O1558="","No. HP kosong",IF(AND($R1558&lt;&gt;"",$R1558&lt;17),"Usia di bawah 17","")))))))))</f>
        <v/>
      </c>
      <c r="Z1558" s="40" t="str">
        <f aca="false">IF($B1558="","",IF(AND(OR(CARI!$C$5="",ISNUMBER(SEARCH(CARI!$C$5,$B1558&amp;" "&amp;$C1558&amp;" "&amp;$D1558&amp;" "&amp;$O1558&amp;" "&amp;$I1558&amp;" "&amp;$F1558&amp;" "&amp;$J1558&amp;" "&amp;$K1558&amp;" "&amp;$L1558&amp;" "&amp;$V1558))),OR(CARI!$C$6="",$F1558=CARI!$C$6),OR(CARI!$C$7="",$G1558=CARI!$C$7),OR(CARI!$C$8="",$T1558=CARI!$C$8)),MAX($Z$3:Z1557)+1,""))</f>
        <v/>
      </c>
      <c r="AA1558" s="40" t="str">
        <f aca="false">IF($Y1558="","",MAX($AA$3:AA1557)+1)</f>
        <v/>
      </c>
      <c r="AB1558" s="40" t="str">
        <f aca="false">IF($F1558="","",$F1558&amp;"#"&amp;COUNTIF($F$4:$F1558,$F1558))</f>
        <v/>
      </c>
      <c r="AC1558" s="40" t="str">
        <f aca="false">IF($B1558="","",IF(AND(OR(CETAK!$J$10="",$F1558=CETAK!$J$10),OR(CETAK!$J$11="",$G1558=CETAK!$J$11),OR(CETAK!$J$12="",$P1558=CETAK!$J$12),OR(CETAK!$J$13="",$N1558=CETAK!$J$13),OR(CETAK!$J$14="",$T1558=CETAK!$J$14)),MAX($AC$3:AC1557)+1,""))</f>
        <v/>
      </c>
      <c r="AD1558" s="40" t="str">
        <f aca="false">IF($B1558="","",IF(AND(OR(ABSENSI!$H$10="",$F1558=ABSENSI!$H$10),OR(ABSENSI!$H$11="",$G1558=ABSENSI!$H$11),OR(ABSENSI!$H$12="",$P1558=ABSENSI!$H$12)),MAX($AD$3:AD1557)+1,""))</f>
        <v/>
      </c>
      <c r="AE1558" s="40" t="str">
        <f aca="false">IF($B1558="","",IF(AND(OR(KARTU!$K$6="",$F1558=KARTU!$K$6),OR(KARTU!$K$7="",$G1558=KARTU!$K$7),OR(KARTU!$K$8="",$P1558=KARTU!$K$8)),MAX($AE$3:AE1557)+1,""))</f>
        <v/>
      </c>
    </row>
    <row r="1559" customFormat="false" ht="15" hidden="false" customHeight="false" outlineLevel="0" collapsed="false">
      <c r="A1559" s="35" t="str">
        <f aca="false">IF($B1559="","",COUNTA($B$4:$B1559))</f>
        <v/>
      </c>
      <c r="B1559" s="36"/>
      <c r="C1559" s="37"/>
      <c r="D1559" s="37"/>
      <c r="E1559" s="38"/>
      <c r="F1559" s="36"/>
      <c r="G1559" s="39"/>
      <c r="H1559" s="39"/>
      <c r="I1559" s="36"/>
      <c r="J1559" s="36"/>
      <c r="K1559" s="36"/>
      <c r="L1559" s="36"/>
      <c r="M1559" s="40" t="str">
        <f aca="false">IF($F1559="","",$F1559&amp;IF($G1559="",""," - RT "&amp;$G1559&amp;IF($H1559="","","/"&amp;$H1559)))</f>
        <v/>
      </c>
      <c r="N1559" s="36"/>
      <c r="O1559" s="37"/>
      <c r="P1559" s="39"/>
      <c r="Q1559" s="41"/>
      <c r="R1559" s="35" t="str">
        <f aca="true">IF(OR($B1559="",$Q1559=""),"",DATEDIF($Q1559,TODAY(),"Y"))</f>
        <v/>
      </c>
      <c r="S1559" s="40" t="str">
        <f aca="false">IF($R1559="","",INDEX(usia_label,MATCH($R1559,usia_min,1)))</f>
        <v/>
      </c>
      <c r="T1559" s="36"/>
      <c r="U1559" s="41"/>
      <c r="V1559" s="36"/>
      <c r="W1559" s="36"/>
      <c r="X1559" s="40" t="str">
        <f aca="false">IF($M1559="","",$M1559&amp;"#"&amp;COUNTIF($M$4:$M1559,$M1559))</f>
        <v/>
      </c>
      <c r="Y1559" s="40" t="str">
        <f aca="false">IF($B1559="","",IF($C1559="","NIK kosong",IF(LEN($C1559)&lt;&gt;16,"NIK bukan 16 digit",IF(COUNTIF($C$4:$C$2003,$C1559&amp;"*")&gt;1,"NIK ganda",IF(AND($D1559&lt;&gt;"",LEN($D1559)&lt;&gt;16),"No. KK bukan 16 digit",IF(AND($F1559="",$I1559=""),"Alamat kosong",IF($N1559="","Jabatan kosong",IF($O1559="","No. HP kosong",IF(AND($R1559&lt;&gt;"",$R1559&lt;17),"Usia di bawah 17","")))))))))</f>
        <v/>
      </c>
      <c r="Z1559" s="40" t="str">
        <f aca="false">IF($B1559="","",IF(AND(OR(CARI!$C$5="",ISNUMBER(SEARCH(CARI!$C$5,$B1559&amp;" "&amp;$C1559&amp;" "&amp;$D1559&amp;" "&amp;$O1559&amp;" "&amp;$I1559&amp;" "&amp;$F1559&amp;" "&amp;$J1559&amp;" "&amp;$K1559&amp;" "&amp;$L1559&amp;" "&amp;$V1559))),OR(CARI!$C$6="",$F1559=CARI!$C$6),OR(CARI!$C$7="",$G1559=CARI!$C$7),OR(CARI!$C$8="",$T1559=CARI!$C$8)),MAX($Z$3:Z1558)+1,""))</f>
        <v/>
      </c>
      <c r="AA1559" s="40" t="str">
        <f aca="false">IF($Y1559="","",MAX($AA$3:AA1558)+1)</f>
        <v/>
      </c>
      <c r="AB1559" s="40" t="str">
        <f aca="false">IF($F1559="","",$F1559&amp;"#"&amp;COUNTIF($F$4:$F1559,$F1559))</f>
        <v/>
      </c>
      <c r="AC1559" s="40" t="str">
        <f aca="false">IF($B1559="","",IF(AND(OR(CETAK!$J$10="",$F1559=CETAK!$J$10),OR(CETAK!$J$11="",$G1559=CETAK!$J$11),OR(CETAK!$J$12="",$P1559=CETAK!$J$12),OR(CETAK!$J$13="",$N1559=CETAK!$J$13),OR(CETAK!$J$14="",$T1559=CETAK!$J$14)),MAX($AC$3:AC1558)+1,""))</f>
        <v/>
      </c>
      <c r="AD1559" s="40" t="str">
        <f aca="false">IF($B1559="","",IF(AND(OR(ABSENSI!$H$10="",$F1559=ABSENSI!$H$10),OR(ABSENSI!$H$11="",$G1559=ABSENSI!$H$11),OR(ABSENSI!$H$12="",$P1559=ABSENSI!$H$12)),MAX($AD$3:AD1558)+1,""))</f>
        <v/>
      </c>
      <c r="AE1559" s="40" t="str">
        <f aca="false">IF($B1559="","",IF(AND(OR(KARTU!$K$6="",$F1559=KARTU!$K$6),OR(KARTU!$K$7="",$G1559=KARTU!$K$7),OR(KARTU!$K$8="",$P1559=KARTU!$K$8)),MAX($AE$3:AE1558)+1,""))</f>
        <v/>
      </c>
    </row>
    <row r="1560" customFormat="false" ht="15" hidden="false" customHeight="false" outlineLevel="0" collapsed="false">
      <c r="A1560" s="35" t="str">
        <f aca="false">IF($B1560="","",COUNTA($B$4:$B1560))</f>
        <v/>
      </c>
      <c r="B1560" s="36"/>
      <c r="C1560" s="37"/>
      <c r="D1560" s="37"/>
      <c r="E1560" s="38"/>
      <c r="F1560" s="36"/>
      <c r="G1560" s="39"/>
      <c r="H1560" s="39"/>
      <c r="I1560" s="36"/>
      <c r="J1560" s="36"/>
      <c r="K1560" s="36"/>
      <c r="L1560" s="36"/>
      <c r="M1560" s="40" t="str">
        <f aca="false">IF($F1560="","",$F1560&amp;IF($G1560="",""," - RT "&amp;$G1560&amp;IF($H1560="","","/"&amp;$H1560)))</f>
        <v/>
      </c>
      <c r="N1560" s="36"/>
      <c r="O1560" s="37"/>
      <c r="P1560" s="39"/>
      <c r="Q1560" s="41"/>
      <c r="R1560" s="35" t="str">
        <f aca="true">IF(OR($B1560="",$Q1560=""),"",DATEDIF($Q1560,TODAY(),"Y"))</f>
        <v/>
      </c>
      <c r="S1560" s="40" t="str">
        <f aca="false">IF($R1560="","",INDEX(usia_label,MATCH($R1560,usia_min,1)))</f>
        <v/>
      </c>
      <c r="T1560" s="36"/>
      <c r="U1560" s="41"/>
      <c r="V1560" s="36"/>
      <c r="W1560" s="36"/>
      <c r="X1560" s="40" t="str">
        <f aca="false">IF($M1560="","",$M1560&amp;"#"&amp;COUNTIF($M$4:$M1560,$M1560))</f>
        <v/>
      </c>
      <c r="Y1560" s="40" t="str">
        <f aca="false">IF($B1560="","",IF($C1560="","NIK kosong",IF(LEN($C1560)&lt;&gt;16,"NIK bukan 16 digit",IF(COUNTIF($C$4:$C$2003,$C1560&amp;"*")&gt;1,"NIK ganda",IF(AND($D1560&lt;&gt;"",LEN($D1560)&lt;&gt;16),"No. KK bukan 16 digit",IF(AND($F1560="",$I1560=""),"Alamat kosong",IF($N1560="","Jabatan kosong",IF($O1560="","No. HP kosong",IF(AND($R1560&lt;&gt;"",$R1560&lt;17),"Usia di bawah 17","")))))))))</f>
        <v/>
      </c>
      <c r="Z1560" s="40" t="str">
        <f aca="false">IF($B1560="","",IF(AND(OR(CARI!$C$5="",ISNUMBER(SEARCH(CARI!$C$5,$B1560&amp;" "&amp;$C1560&amp;" "&amp;$D1560&amp;" "&amp;$O1560&amp;" "&amp;$I1560&amp;" "&amp;$F1560&amp;" "&amp;$J1560&amp;" "&amp;$K1560&amp;" "&amp;$L1560&amp;" "&amp;$V1560))),OR(CARI!$C$6="",$F1560=CARI!$C$6),OR(CARI!$C$7="",$G1560=CARI!$C$7),OR(CARI!$C$8="",$T1560=CARI!$C$8)),MAX($Z$3:Z1559)+1,""))</f>
        <v/>
      </c>
      <c r="AA1560" s="40" t="str">
        <f aca="false">IF($Y1560="","",MAX($AA$3:AA1559)+1)</f>
        <v/>
      </c>
      <c r="AB1560" s="40" t="str">
        <f aca="false">IF($F1560="","",$F1560&amp;"#"&amp;COUNTIF($F$4:$F1560,$F1560))</f>
        <v/>
      </c>
      <c r="AC1560" s="40" t="str">
        <f aca="false">IF($B1560="","",IF(AND(OR(CETAK!$J$10="",$F1560=CETAK!$J$10),OR(CETAK!$J$11="",$G1560=CETAK!$J$11),OR(CETAK!$J$12="",$P1560=CETAK!$J$12),OR(CETAK!$J$13="",$N1560=CETAK!$J$13),OR(CETAK!$J$14="",$T1560=CETAK!$J$14)),MAX($AC$3:AC1559)+1,""))</f>
        <v/>
      </c>
      <c r="AD1560" s="40" t="str">
        <f aca="false">IF($B1560="","",IF(AND(OR(ABSENSI!$H$10="",$F1560=ABSENSI!$H$10),OR(ABSENSI!$H$11="",$G1560=ABSENSI!$H$11),OR(ABSENSI!$H$12="",$P1560=ABSENSI!$H$12)),MAX($AD$3:AD1559)+1,""))</f>
        <v/>
      </c>
      <c r="AE1560" s="40" t="str">
        <f aca="false">IF($B1560="","",IF(AND(OR(KARTU!$K$6="",$F1560=KARTU!$K$6),OR(KARTU!$K$7="",$G1560=KARTU!$K$7),OR(KARTU!$K$8="",$P1560=KARTU!$K$8)),MAX($AE$3:AE1559)+1,""))</f>
        <v/>
      </c>
    </row>
    <row r="1561" customFormat="false" ht="15" hidden="false" customHeight="false" outlineLevel="0" collapsed="false">
      <c r="A1561" s="35" t="str">
        <f aca="false">IF($B1561="","",COUNTA($B$4:$B1561))</f>
        <v/>
      </c>
      <c r="B1561" s="36"/>
      <c r="C1561" s="37"/>
      <c r="D1561" s="37"/>
      <c r="E1561" s="38"/>
      <c r="F1561" s="36"/>
      <c r="G1561" s="39"/>
      <c r="H1561" s="39"/>
      <c r="I1561" s="36"/>
      <c r="J1561" s="36"/>
      <c r="K1561" s="36"/>
      <c r="L1561" s="36"/>
      <c r="M1561" s="40" t="str">
        <f aca="false">IF($F1561="","",$F1561&amp;IF($G1561="",""," - RT "&amp;$G1561&amp;IF($H1561="","","/"&amp;$H1561)))</f>
        <v/>
      </c>
      <c r="N1561" s="36"/>
      <c r="O1561" s="37"/>
      <c r="P1561" s="39"/>
      <c r="Q1561" s="41"/>
      <c r="R1561" s="35" t="str">
        <f aca="true">IF(OR($B1561="",$Q1561=""),"",DATEDIF($Q1561,TODAY(),"Y"))</f>
        <v/>
      </c>
      <c r="S1561" s="40" t="str">
        <f aca="false">IF($R1561="","",INDEX(usia_label,MATCH($R1561,usia_min,1)))</f>
        <v/>
      </c>
      <c r="T1561" s="36"/>
      <c r="U1561" s="41"/>
      <c r="V1561" s="36"/>
      <c r="W1561" s="36"/>
      <c r="X1561" s="40" t="str">
        <f aca="false">IF($M1561="","",$M1561&amp;"#"&amp;COUNTIF($M$4:$M1561,$M1561))</f>
        <v/>
      </c>
      <c r="Y1561" s="40" t="str">
        <f aca="false">IF($B1561="","",IF($C1561="","NIK kosong",IF(LEN($C1561)&lt;&gt;16,"NIK bukan 16 digit",IF(COUNTIF($C$4:$C$2003,$C1561&amp;"*")&gt;1,"NIK ganda",IF(AND($D1561&lt;&gt;"",LEN($D1561)&lt;&gt;16),"No. KK bukan 16 digit",IF(AND($F1561="",$I1561=""),"Alamat kosong",IF($N1561="","Jabatan kosong",IF($O1561="","No. HP kosong",IF(AND($R1561&lt;&gt;"",$R1561&lt;17),"Usia di bawah 17","")))))))))</f>
        <v/>
      </c>
      <c r="Z1561" s="40" t="str">
        <f aca="false">IF($B1561="","",IF(AND(OR(CARI!$C$5="",ISNUMBER(SEARCH(CARI!$C$5,$B1561&amp;" "&amp;$C1561&amp;" "&amp;$D1561&amp;" "&amp;$O1561&amp;" "&amp;$I1561&amp;" "&amp;$F1561&amp;" "&amp;$J1561&amp;" "&amp;$K1561&amp;" "&amp;$L1561&amp;" "&amp;$V1561))),OR(CARI!$C$6="",$F1561=CARI!$C$6),OR(CARI!$C$7="",$G1561=CARI!$C$7),OR(CARI!$C$8="",$T1561=CARI!$C$8)),MAX($Z$3:Z1560)+1,""))</f>
        <v/>
      </c>
      <c r="AA1561" s="40" t="str">
        <f aca="false">IF($Y1561="","",MAX($AA$3:AA1560)+1)</f>
        <v/>
      </c>
      <c r="AB1561" s="40" t="str">
        <f aca="false">IF($F1561="","",$F1561&amp;"#"&amp;COUNTIF($F$4:$F1561,$F1561))</f>
        <v/>
      </c>
      <c r="AC1561" s="40" t="str">
        <f aca="false">IF($B1561="","",IF(AND(OR(CETAK!$J$10="",$F1561=CETAK!$J$10),OR(CETAK!$J$11="",$G1561=CETAK!$J$11),OR(CETAK!$J$12="",$P1561=CETAK!$J$12),OR(CETAK!$J$13="",$N1561=CETAK!$J$13),OR(CETAK!$J$14="",$T1561=CETAK!$J$14)),MAX($AC$3:AC1560)+1,""))</f>
        <v/>
      </c>
      <c r="AD1561" s="40" t="str">
        <f aca="false">IF($B1561="","",IF(AND(OR(ABSENSI!$H$10="",$F1561=ABSENSI!$H$10),OR(ABSENSI!$H$11="",$G1561=ABSENSI!$H$11),OR(ABSENSI!$H$12="",$P1561=ABSENSI!$H$12)),MAX($AD$3:AD1560)+1,""))</f>
        <v/>
      </c>
      <c r="AE1561" s="40" t="str">
        <f aca="false">IF($B1561="","",IF(AND(OR(KARTU!$K$6="",$F1561=KARTU!$K$6),OR(KARTU!$K$7="",$G1561=KARTU!$K$7),OR(KARTU!$K$8="",$P1561=KARTU!$K$8)),MAX($AE$3:AE1560)+1,""))</f>
        <v/>
      </c>
    </row>
    <row r="1562" customFormat="false" ht="15" hidden="false" customHeight="false" outlineLevel="0" collapsed="false">
      <c r="A1562" s="35" t="str">
        <f aca="false">IF($B1562="","",COUNTA($B$4:$B1562))</f>
        <v/>
      </c>
      <c r="B1562" s="36"/>
      <c r="C1562" s="37"/>
      <c r="D1562" s="37"/>
      <c r="E1562" s="38"/>
      <c r="F1562" s="36"/>
      <c r="G1562" s="39"/>
      <c r="H1562" s="39"/>
      <c r="I1562" s="36"/>
      <c r="J1562" s="36"/>
      <c r="K1562" s="36"/>
      <c r="L1562" s="36"/>
      <c r="M1562" s="40" t="str">
        <f aca="false">IF($F1562="","",$F1562&amp;IF($G1562="",""," - RT "&amp;$G1562&amp;IF($H1562="","","/"&amp;$H1562)))</f>
        <v/>
      </c>
      <c r="N1562" s="36"/>
      <c r="O1562" s="37"/>
      <c r="P1562" s="39"/>
      <c r="Q1562" s="41"/>
      <c r="R1562" s="35" t="str">
        <f aca="true">IF(OR($B1562="",$Q1562=""),"",DATEDIF($Q1562,TODAY(),"Y"))</f>
        <v/>
      </c>
      <c r="S1562" s="40" t="str">
        <f aca="false">IF($R1562="","",INDEX(usia_label,MATCH($R1562,usia_min,1)))</f>
        <v/>
      </c>
      <c r="T1562" s="36"/>
      <c r="U1562" s="41"/>
      <c r="V1562" s="36"/>
      <c r="W1562" s="36"/>
      <c r="X1562" s="40" t="str">
        <f aca="false">IF($M1562="","",$M1562&amp;"#"&amp;COUNTIF($M$4:$M1562,$M1562))</f>
        <v/>
      </c>
      <c r="Y1562" s="40" t="str">
        <f aca="false">IF($B1562="","",IF($C1562="","NIK kosong",IF(LEN($C1562)&lt;&gt;16,"NIK bukan 16 digit",IF(COUNTIF($C$4:$C$2003,$C1562&amp;"*")&gt;1,"NIK ganda",IF(AND($D1562&lt;&gt;"",LEN($D1562)&lt;&gt;16),"No. KK bukan 16 digit",IF(AND($F1562="",$I1562=""),"Alamat kosong",IF($N1562="","Jabatan kosong",IF($O1562="","No. HP kosong",IF(AND($R1562&lt;&gt;"",$R1562&lt;17),"Usia di bawah 17","")))))))))</f>
        <v/>
      </c>
      <c r="Z1562" s="40" t="str">
        <f aca="false">IF($B1562="","",IF(AND(OR(CARI!$C$5="",ISNUMBER(SEARCH(CARI!$C$5,$B1562&amp;" "&amp;$C1562&amp;" "&amp;$D1562&amp;" "&amp;$O1562&amp;" "&amp;$I1562&amp;" "&amp;$F1562&amp;" "&amp;$J1562&amp;" "&amp;$K1562&amp;" "&amp;$L1562&amp;" "&amp;$V1562))),OR(CARI!$C$6="",$F1562=CARI!$C$6),OR(CARI!$C$7="",$G1562=CARI!$C$7),OR(CARI!$C$8="",$T1562=CARI!$C$8)),MAX($Z$3:Z1561)+1,""))</f>
        <v/>
      </c>
      <c r="AA1562" s="40" t="str">
        <f aca="false">IF($Y1562="","",MAX($AA$3:AA1561)+1)</f>
        <v/>
      </c>
      <c r="AB1562" s="40" t="str">
        <f aca="false">IF($F1562="","",$F1562&amp;"#"&amp;COUNTIF($F$4:$F1562,$F1562))</f>
        <v/>
      </c>
      <c r="AC1562" s="40" t="str">
        <f aca="false">IF($B1562="","",IF(AND(OR(CETAK!$J$10="",$F1562=CETAK!$J$10),OR(CETAK!$J$11="",$G1562=CETAK!$J$11),OR(CETAK!$J$12="",$P1562=CETAK!$J$12),OR(CETAK!$J$13="",$N1562=CETAK!$J$13),OR(CETAK!$J$14="",$T1562=CETAK!$J$14)),MAX($AC$3:AC1561)+1,""))</f>
        <v/>
      </c>
      <c r="AD1562" s="40" t="str">
        <f aca="false">IF($B1562="","",IF(AND(OR(ABSENSI!$H$10="",$F1562=ABSENSI!$H$10),OR(ABSENSI!$H$11="",$G1562=ABSENSI!$H$11),OR(ABSENSI!$H$12="",$P1562=ABSENSI!$H$12)),MAX($AD$3:AD1561)+1,""))</f>
        <v/>
      </c>
      <c r="AE1562" s="40" t="str">
        <f aca="false">IF($B1562="","",IF(AND(OR(KARTU!$K$6="",$F1562=KARTU!$K$6),OR(KARTU!$K$7="",$G1562=KARTU!$K$7),OR(KARTU!$K$8="",$P1562=KARTU!$K$8)),MAX($AE$3:AE1561)+1,""))</f>
        <v/>
      </c>
    </row>
    <row r="1563" customFormat="false" ht="15" hidden="false" customHeight="false" outlineLevel="0" collapsed="false">
      <c r="A1563" s="35" t="str">
        <f aca="false">IF($B1563="","",COUNTA($B$4:$B1563))</f>
        <v/>
      </c>
      <c r="B1563" s="36"/>
      <c r="C1563" s="37"/>
      <c r="D1563" s="37"/>
      <c r="E1563" s="38"/>
      <c r="F1563" s="36"/>
      <c r="G1563" s="39"/>
      <c r="H1563" s="39"/>
      <c r="I1563" s="36"/>
      <c r="J1563" s="36"/>
      <c r="K1563" s="36"/>
      <c r="L1563" s="36"/>
      <c r="M1563" s="40" t="str">
        <f aca="false">IF($F1563="","",$F1563&amp;IF($G1563="",""," - RT "&amp;$G1563&amp;IF($H1563="","","/"&amp;$H1563)))</f>
        <v/>
      </c>
      <c r="N1563" s="36"/>
      <c r="O1563" s="37"/>
      <c r="P1563" s="39"/>
      <c r="Q1563" s="41"/>
      <c r="R1563" s="35" t="str">
        <f aca="true">IF(OR($B1563="",$Q1563=""),"",DATEDIF($Q1563,TODAY(),"Y"))</f>
        <v/>
      </c>
      <c r="S1563" s="40" t="str">
        <f aca="false">IF($R1563="","",INDEX(usia_label,MATCH($R1563,usia_min,1)))</f>
        <v/>
      </c>
      <c r="T1563" s="36"/>
      <c r="U1563" s="41"/>
      <c r="V1563" s="36"/>
      <c r="W1563" s="36"/>
      <c r="X1563" s="40" t="str">
        <f aca="false">IF($M1563="","",$M1563&amp;"#"&amp;COUNTIF($M$4:$M1563,$M1563))</f>
        <v/>
      </c>
      <c r="Y1563" s="40" t="str">
        <f aca="false">IF($B1563="","",IF($C1563="","NIK kosong",IF(LEN($C1563)&lt;&gt;16,"NIK bukan 16 digit",IF(COUNTIF($C$4:$C$2003,$C1563&amp;"*")&gt;1,"NIK ganda",IF(AND($D1563&lt;&gt;"",LEN($D1563)&lt;&gt;16),"No. KK bukan 16 digit",IF(AND($F1563="",$I1563=""),"Alamat kosong",IF($N1563="","Jabatan kosong",IF($O1563="","No. HP kosong",IF(AND($R1563&lt;&gt;"",$R1563&lt;17),"Usia di bawah 17","")))))))))</f>
        <v/>
      </c>
      <c r="Z1563" s="40" t="str">
        <f aca="false">IF($B1563="","",IF(AND(OR(CARI!$C$5="",ISNUMBER(SEARCH(CARI!$C$5,$B1563&amp;" "&amp;$C1563&amp;" "&amp;$D1563&amp;" "&amp;$O1563&amp;" "&amp;$I1563&amp;" "&amp;$F1563&amp;" "&amp;$J1563&amp;" "&amp;$K1563&amp;" "&amp;$L1563&amp;" "&amp;$V1563))),OR(CARI!$C$6="",$F1563=CARI!$C$6),OR(CARI!$C$7="",$G1563=CARI!$C$7),OR(CARI!$C$8="",$T1563=CARI!$C$8)),MAX($Z$3:Z1562)+1,""))</f>
        <v/>
      </c>
      <c r="AA1563" s="40" t="str">
        <f aca="false">IF($Y1563="","",MAX($AA$3:AA1562)+1)</f>
        <v/>
      </c>
      <c r="AB1563" s="40" t="str">
        <f aca="false">IF($F1563="","",$F1563&amp;"#"&amp;COUNTIF($F$4:$F1563,$F1563))</f>
        <v/>
      </c>
      <c r="AC1563" s="40" t="str">
        <f aca="false">IF($B1563="","",IF(AND(OR(CETAK!$J$10="",$F1563=CETAK!$J$10),OR(CETAK!$J$11="",$G1563=CETAK!$J$11),OR(CETAK!$J$12="",$P1563=CETAK!$J$12),OR(CETAK!$J$13="",$N1563=CETAK!$J$13),OR(CETAK!$J$14="",$T1563=CETAK!$J$14)),MAX($AC$3:AC1562)+1,""))</f>
        <v/>
      </c>
      <c r="AD1563" s="40" t="str">
        <f aca="false">IF($B1563="","",IF(AND(OR(ABSENSI!$H$10="",$F1563=ABSENSI!$H$10),OR(ABSENSI!$H$11="",$G1563=ABSENSI!$H$11),OR(ABSENSI!$H$12="",$P1563=ABSENSI!$H$12)),MAX($AD$3:AD1562)+1,""))</f>
        <v/>
      </c>
      <c r="AE1563" s="40" t="str">
        <f aca="false">IF($B1563="","",IF(AND(OR(KARTU!$K$6="",$F1563=KARTU!$K$6),OR(KARTU!$K$7="",$G1563=KARTU!$K$7),OR(KARTU!$K$8="",$P1563=KARTU!$K$8)),MAX($AE$3:AE1562)+1,""))</f>
        <v/>
      </c>
    </row>
    <row r="1564" customFormat="false" ht="15" hidden="false" customHeight="false" outlineLevel="0" collapsed="false">
      <c r="A1564" s="35" t="str">
        <f aca="false">IF($B1564="","",COUNTA($B$4:$B1564))</f>
        <v/>
      </c>
      <c r="B1564" s="36"/>
      <c r="C1564" s="37"/>
      <c r="D1564" s="37"/>
      <c r="E1564" s="38"/>
      <c r="F1564" s="36"/>
      <c r="G1564" s="39"/>
      <c r="H1564" s="39"/>
      <c r="I1564" s="36"/>
      <c r="J1564" s="36"/>
      <c r="K1564" s="36"/>
      <c r="L1564" s="36"/>
      <c r="M1564" s="40" t="str">
        <f aca="false">IF($F1564="","",$F1564&amp;IF($G1564="",""," - RT "&amp;$G1564&amp;IF($H1564="","","/"&amp;$H1564)))</f>
        <v/>
      </c>
      <c r="N1564" s="36"/>
      <c r="O1564" s="37"/>
      <c r="P1564" s="39"/>
      <c r="Q1564" s="41"/>
      <c r="R1564" s="35" t="str">
        <f aca="true">IF(OR($B1564="",$Q1564=""),"",DATEDIF($Q1564,TODAY(),"Y"))</f>
        <v/>
      </c>
      <c r="S1564" s="40" t="str">
        <f aca="false">IF($R1564="","",INDEX(usia_label,MATCH($R1564,usia_min,1)))</f>
        <v/>
      </c>
      <c r="T1564" s="36"/>
      <c r="U1564" s="41"/>
      <c r="V1564" s="36"/>
      <c r="W1564" s="36"/>
      <c r="X1564" s="40" t="str">
        <f aca="false">IF($M1564="","",$M1564&amp;"#"&amp;COUNTIF($M$4:$M1564,$M1564))</f>
        <v/>
      </c>
      <c r="Y1564" s="40" t="str">
        <f aca="false">IF($B1564="","",IF($C1564="","NIK kosong",IF(LEN($C1564)&lt;&gt;16,"NIK bukan 16 digit",IF(COUNTIF($C$4:$C$2003,$C1564&amp;"*")&gt;1,"NIK ganda",IF(AND($D1564&lt;&gt;"",LEN($D1564)&lt;&gt;16),"No. KK bukan 16 digit",IF(AND($F1564="",$I1564=""),"Alamat kosong",IF($N1564="","Jabatan kosong",IF($O1564="","No. HP kosong",IF(AND($R1564&lt;&gt;"",$R1564&lt;17),"Usia di bawah 17","")))))))))</f>
        <v/>
      </c>
      <c r="Z1564" s="40" t="str">
        <f aca="false">IF($B1564="","",IF(AND(OR(CARI!$C$5="",ISNUMBER(SEARCH(CARI!$C$5,$B1564&amp;" "&amp;$C1564&amp;" "&amp;$D1564&amp;" "&amp;$O1564&amp;" "&amp;$I1564&amp;" "&amp;$F1564&amp;" "&amp;$J1564&amp;" "&amp;$K1564&amp;" "&amp;$L1564&amp;" "&amp;$V1564))),OR(CARI!$C$6="",$F1564=CARI!$C$6),OR(CARI!$C$7="",$G1564=CARI!$C$7),OR(CARI!$C$8="",$T1564=CARI!$C$8)),MAX($Z$3:Z1563)+1,""))</f>
        <v/>
      </c>
      <c r="AA1564" s="40" t="str">
        <f aca="false">IF($Y1564="","",MAX($AA$3:AA1563)+1)</f>
        <v/>
      </c>
      <c r="AB1564" s="40" t="str">
        <f aca="false">IF($F1564="","",$F1564&amp;"#"&amp;COUNTIF($F$4:$F1564,$F1564))</f>
        <v/>
      </c>
      <c r="AC1564" s="40" t="str">
        <f aca="false">IF($B1564="","",IF(AND(OR(CETAK!$J$10="",$F1564=CETAK!$J$10),OR(CETAK!$J$11="",$G1564=CETAK!$J$11),OR(CETAK!$J$12="",$P1564=CETAK!$J$12),OR(CETAK!$J$13="",$N1564=CETAK!$J$13),OR(CETAK!$J$14="",$T1564=CETAK!$J$14)),MAX($AC$3:AC1563)+1,""))</f>
        <v/>
      </c>
      <c r="AD1564" s="40" t="str">
        <f aca="false">IF($B1564="","",IF(AND(OR(ABSENSI!$H$10="",$F1564=ABSENSI!$H$10),OR(ABSENSI!$H$11="",$G1564=ABSENSI!$H$11),OR(ABSENSI!$H$12="",$P1564=ABSENSI!$H$12)),MAX($AD$3:AD1563)+1,""))</f>
        <v/>
      </c>
      <c r="AE1564" s="40" t="str">
        <f aca="false">IF($B1564="","",IF(AND(OR(KARTU!$K$6="",$F1564=KARTU!$K$6),OR(KARTU!$K$7="",$G1564=KARTU!$K$7),OR(KARTU!$K$8="",$P1564=KARTU!$K$8)),MAX($AE$3:AE1563)+1,""))</f>
        <v/>
      </c>
    </row>
    <row r="1565" customFormat="false" ht="15" hidden="false" customHeight="false" outlineLevel="0" collapsed="false">
      <c r="A1565" s="35" t="str">
        <f aca="false">IF($B1565="","",COUNTA($B$4:$B1565))</f>
        <v/>
      </c>
      <c r="B1565" s="36"/>
      <c r="C1565" s="37"/>
      <c r="D1565" s="37"/>
      <c r="E1565" s="38"/>
      <c r="F1565" s="36"/>
      <c r="G1565" s="39"/>
      <c r="H1565" s="39"/>
      <c r="I1565" s="36"/>
      <c r="J1565" s="36"/>
      <c r="K1565" s="36"/>
      <c r="L1565" s="36"/>
      <c r="M1565" s="40" t="str">
        <f aca="false">IF($F1565="","",$F1565&amp;IF($G1565="",""," - RT "&amp;$G1565&amp;IF($H1565="","","/"&amp;$H1565)))</f>
        <v/>
      </c>
      <c r="N1565" s="36"/>
      <c r="O1565" s="37"/>
      <c r="P1565" s="39"/>
      <c r="Q1565" s="41"/>
      <c r="R1565" s="35" t="str">
        <f aca="true">IF(OR($B1565="",$Q1565=""),"",DATEDIF($Q1565,TODAY(),"Y"))</f>
        <v/>
      </c>
      <c r="S1565" s="40" t="str">
        <f aca="false">IF($R1565="","",INDEX(usia_label,MATCH($R1565,usia_min,1)))</f>
        <v/>
      </c>
      <c r="T1565" s="36"/>
      <c r="U1565" s="41"/>
      <c r="V1565" s="36"/>
      <c r="W1565" s="36"/>
      <c r="X1565" s="40" t="str">
        <f aca="false">IF($M1565="","",$M1565&amp;"#"&amp;COUNTIF($M$4:$M1565,$M1565))</f>
        <v/>
      </c>
      <c r="Y1565" s="40" t="str">
        <f aca="false">IF($B1565="","",IF($C1565="","NIK kosong",IF(LEN($C1565)&lt;&gt;16,"NIK bukan 16 digit",IF(COUNTIF($C$4:$C$2003,$C1565&amp;"*")&gt;1,"NIK ganda",IF(AND($D1565&lt;&gt;"",LEN($D1565)&lt;&gt;16),"No. KK bukan 16 digit",IF(AND($F1565="",$I1565=""),"Alamat kosong",IF($N1565="","Jabatan kosong",IF($O1565="","No. HP kosong",IF(AND($R1565&lt;&gt;"",$R1565&lt;17),"Usia di bawah 17","")))))))))</f>
        <v/>
      </c>
      <c r="Z1565" s="40" t="str">
        <f aca="false">IF($B1565="","",IF(AND(OR(CARI!$C$5="",ISNUMBER(SEARCH(CARI!$C$5,$B1565&amp;" "&amp;$C1565&amp;" "&amp;$D1565&amp;" "&amp;$O1565&amp;" "&amp;$I1565&amp;" "&amp;$F1565&amp;" "&amp;$J1565&amp;" "&amp;$K1565&amp;" "&amp;$L1565&amp;" "&amp;$V1565))),OR(CARI!$C$6="",$F1565=CARI!$C$6),OR(CARI!$C$7="",$G1565=CARI!$C$7),OR(CARI!$C$8="",$T1565=CARI!$C$8)),MAX($Z$3:Z1564)+1,""))</f>
        <v/>
      </c>
      <c r="AA1565" s="40" t="str">
        <f aca="false">IF($Y1565="","",MAX($AA$3:AA1564)+1)</f>
        <v/>
      </c>
      <c r="AB1565" s="40" t="str">
        <f aca="false">IF($F1565="","",$F1565&amp;"#"&amp;COUNTIF($F$4:$F1565,$F1565))</f>
        <v/>
      </c>
      <c r="AC1565" s="40" t="str">
        <f aca="false">IF($B1565="","",IF(AND(OR(CETAK!$J$10="",$F1565=CETAK!$J$10),OR(CETAK!$J$11="",$G1565=CETAK!$J$11),OR(CETAK!$J$12="",$P1565=CETAK!$J$12),OR(CETAK!$J$13="",$N1565=CETAK!$J$13),OR(CETAK!$J$14="",$T1565=CETAK!$J$14)),MAX($AC$3:AC1564)+1,""))</f>
        <v/>
      </c>
      <c r="AD1565" s="40" t="str">
        <f aca="false">IF($B1565="","",IF(AND(OR(ABSENSI!$H$10="",$F1565=ABSENSI!$H$10),OR(ABSENSI!$H$11="",$G1565=ABSENSI!$H$11),OR(ABSENSI!$H$12="",$P1565=ABSENSI!$H$12)),MAX($AD$3:AD1564)+1,""))</f>
        <v/>
      </c>
      <c r="AE1565" s="40" t="str">
        <f aca="false">IF($B1565="","",IF(AND(OR(KARTU!$K$6="",$F1565=KARTU!$K$6),OR(KARTU!$K$7="",$G1565=KARTU!$K$7),OR(KARTU!$K$8="",$P1565=KARTU!$K$8)),MAX($AE$3:AE1564)+1,""))</f>
        <v/>
      </c>
    </row>
    <row r="1566" customFormat="false" ht="15" hidden="false" customHeight="false" outlineLevel="0" collapsed="false">
      <c r="A1566" s="35" t="str">
        <f aca="false">IF($B1566="","",COUNTA($B$4:$B1566))</f>
        <v/>
      </c>
      <c r="B1566" s="36"/>
      <c r="C1566" s="37"/>
      <c r="D1566" s="37"/>
      <c r="E1566" s="38"/>
      <c r="F1566" s="36"/>
      <c r="G1566" s="39"/>
      <c r="H1566" s="39"/>
      <c r="I1566" s="36"/>
      <c r="J1566" s="36"/>
      <c r="K1566" s="36"/>
      <c r="L1566" s="36"/>
      <c r="M1566" s="40" t="str">
        <f aca="false">IF($F1566="","",$F1566&amp;IF($G1566="",""," - RT "&amp;$G1566&amp;IF($H1566="","","/"&amp;$H1566)))</f>
        <v/>
      </c>
      <c r="N1566" s="36"/>
      <c r="O1566" s="37"/>
      <c r="P1566" s="39"/>
      <c r="Q1566" s="41"/>
      <c r="R1566" s="35" t="str">
        <f aca="true">IF(OR($B1566="",$Q1566=""),"",DATEDIF($Q1566,TODAY(),"Y"))</f>
        <v/>
      </c>
      <c r="S1566" s="40" t="str">
        <f aca="false">IF($R1566="","",INDEX(usia_label,MATCH($R1566,usia_min,1)))</f>
        <v/>
      </c>
      <c r="T1566" s="36"/>
      <c r="U1566" s="41"/>
      <c r="V1566" s="36"/>
      <c r="W1566" s="36"/>
      <c r="X1566" s="40" t="str">
        <f aca="false">IF($M1566="","",$M1566&amp;"#"&amp;COUNTIF($M$4:$M1566,$M1566))</f>
        <v/>
      </c>
      <c r="Y1566" s="40" t="str">
        <f aca="false">IF($B1566="","",IF($C1566="","NIK kosong",IF(LEN($C1566)&lt;&gt;16,"NIK bukan 16 digit",IF(COUNTIF($C$4:$C$2003,$C1566&amp;"*")&gt;1,"NIK ganda",IF(AND($D1566&lt;&gt;"",LEN($D1566)&lt;&gt;16),"No. KK bukan 16 digit",IF(AND($F1566="",$I1566=""),"Alamat kosong",IF($N1566="","Jabatan kosong",IF($O1566="","No. HP kosong",IF(AND($R1566&lt;&gt;"",$R1566&lt;17),"Usia di bawah 17","")))))))))</f>
        <v/>
      </c>
      <c r="Z1566" s="40" t="str">
        <f aca="false">IF($B1566="","",IF(AND(OR(CARI!$C$5="",ISNUMBER(SEARCH(CARI!$C$5,$B1566&amp;" "&amp;$C1566&amp;" "&amp;$D1566&amp;" "&amp;$O1566&amp;" "&amp;$I1566&amp;" "&amp;$F1566&amp;" "&amp;$J1566&amp;" "&amp;$K1566&amp;" "&amp;$L1566&amp;" "&amp;$V1566))),OR(CARI!$C$6="",$F1566=CARI!$C$6),OR(CARI!$C$7="",$G1566=CARI!$C$7),OR(CARI!$C$8="",$T1566=CARI!$C$8)),MAX($Z$3:Z1565)+1,""))</f>
        <v/>
      </c>
      <c r="AA1566" s="40" t="str">
        <f aca="false">IF($Y1566="","",MAX($AA$3:AA1565)+1)</f>
        <v/>
      </c>
      <c r="AB1566" s="40" t="str">
        <f aca="false">IF($F1566="","",$F1566&amp;"#"&amp;COUNTIF($F$4:$F1566,$F1566))</f>
        <v/>
      </c>
      <c r="AC1566" s="40" t="str">
        <f aca="false">IF($B1566="","",IF(AND(OR(CETAK!$J$10="",$F1566=CETAK!$J$10),OR(CETAK!$J$11="",$G1566=CETAK!$J$11),OR(CETAK!$J$12="",$P1566=CETAK!$J$12),OR(CETAK!$J$13="",$N1566=CETAK!$J$13),OR(CETAK!$J$14="",$T1566=CETAK!$J$14)),MAX($AC$3:AC1565)+1,""))</f>
        <v/>
      </c>
      <c r="AD1566" s="40" t="str">
        <f aca="false">IF($B1566="","",IF(AND(OR(ABSENSI!$H$10="",$F1566=ABSENSI!$H$10),OR(ABSENSI!$H$11="",$G1566=ABSENSI!$H$11),OR(ABSENSI!$H$12="",$P1566=ABSENSI!$H$12)),MAX($AD$3:AD1565)+1,""))</f>
        <v/>
      </c>
      <c r="AE1566" s="40" t="str">
        <f aca="false">IF($B1566="","",IF(AND(OR(KARTU!$K$6="",$F1566=KARTU!$K$6),OR(KARTU!$K$7="",$G1566=KARTU!$K$7),OR(KARTU!$K$8="",$P1566=KARTU!$K$8)),MAX($AE$3:AE1565)+1,""))</f>
        <v/>
      </c>
    </row>
    <row r="1567" customFormat="false" ht="15" hidden="false" customHeight="false" outlineLevel="0" collapsed="false">
      <c r="A1567" s="35" t="str">
        <f aca="false">IF($B1567="","",COUNTA($B$4:$B1567))</f>
        <v/>
      </c>
      <c r="B1567" s="36"/>
      <c r="C1567" s="37"/>
      <c r="D1567" s="37"/>
      <c r="E1567" s="38"/>
      <c r="F1567" s="36"/>
      <c r="G1567" s="39"/>
      <c r="H1567" s="39"/>
      <c r="I1567" s="36"/>
      <c r="J1567" s="36"/>
      <c r="K1567" s="36"/>
      <c r="L1567" s="36"/>
      <c r="M1567" s="40" t="str">
        <f aca="false">IF($F1567="","",$F1567&amp;IF($G1567="",""," - RT "&amp;$G1567&amp;IF($H1567="","","/"&amp;$H1567)))</f>
        <v/>
      </c>
      <c r="N1567" s="36"/>
      <c r="O1567" s="37"/>
      <c r="P1567" s="39"/>
      <c r="Q1567" s="41"/>
      <c r="R1567" s="35" t="str">
        <f aca="true">IF(OR($B1567="",$Q1567=""),"",DATEDIF($Q1567,TODAY(),"Y"))</f>
        <v/>
      </c>
      <c r="S1567" s="40" t="str">
        <f aca="false">IF($R1567="","",INDEX(usia_label,MATCH($R1567,usia_min,1)))</f>
        <v/>
      </c>
      <c r="T1567" s="36"/>
      <c r="U1567" s="41"/>
      <c r="V1567" s="36"/>
      <c r="W1567" s="36"/>
      <c r="X1567" s="40" t="str">
        <f aca="false">IF($M1567="","",$M1567&amp;"#"&amp;COUNTIF($M$4:$M1567,$M1567))</f>
        <v/>
      </c>
      <c r="Y1567" s="40" t="str">
        <f aca="false">IF($B1567="","",IF($C1567="","NIK kosong",IF(LEN($C1567)&lt;&gt;16,"NIK bukan 16 digit",IF(COUNTIF($C$4:$C$2003,$C1567&amp;"*")&gt;1,"NIK ganda",IF(AND($D1567&lt;&gt;"",LEN($D1567)&lt;&gt;16),"No. KK bukan 16 digit",IF(AND($F1567="",$I1567=""),"Alamat kosong",IF($N1567="","Jabatan kosong",IF($O1567="","No. HP kosong",IF(AND($R1567&lt;&gt;"",$R1567&lt;17),"Usia di bawah 17","")))))))))</f>
        <v/>
      </c>
      <c r="Z1567" s="40" t="str">
        <f aca="false">IF($B1567="","",IF(AND(OR(CARI!$C$5="",ISNUMBER(SEARCH(CARI!$C$5,$B1567&amp;" "&amp;$C1567&amp;" "&amp;$D1567&amp;" "&amp;$O1567&amp;" "&amp;$I1567&amp;" "&amp;$F1567&amp;" "&amp;$J1567&amp;" "&amp;$K1567&amp;" "&amp;$L1567&amp;" "&amp;$V1567))),OR(CARI!$C$6="",$F1567=CARI!$C$6),OR(CARI!$C$7="",$G1567=CARI!$C$7),OR(CARI!$C$8="",$T1567=CARI!$C$8)),MAX($Z$3:Z1566)+1,""))</f>
        <v/>
      </c>
      <c r="AA1567" s="40" t="str">
        <f aca="false">IF($Y1567="","",MAX($AA$3:AA1566)+1)</f>
        <v/>
      </c>
      <c r="AB1567" s="40" t="str">
        <f aca="false">IF($F1567="","",$F1567&amp;"#"&amp;COUNTIF($F$4:$F1567,$F1567))</f>
        <v/>
      </c>
      <c r="AC1567" s="40" t="str">
        <f aca="false">IF($B1567="","",IF(AND(OR(CETAK!$J$10="",$F1567=CETAK!$J$10),OR(CETAK!$J$11="",$G1567=CETAK!$J$11),OR(CETAK!$J$12="",$P1567=CETAK!$J$12),OR(CETAK!$J$13="",$N1567=CETAK!$J$13),OR(CETAK!$J$14="",$T1567=CETAK!$J$14)),MAX($AC$3:AC1566)+1,""))</f>
        <v/>
      </c>
      <c r="AD1567" s="40" t="str">
        <f aca="false">IF($B1567="","",IF(AND(OR(ABSENSI!$H$10="",$F1567=ABSENSI!$H$10),OR(ABSENSI!$H$11="",$G1567=ABSENSI!$H$11),OR(ABSENSI!$H$12="",$P1567=ABSENSI!$H$12)),MAX($AD$3:AD1566)+1,""))</f>
        <v/>
      </c>
      <c r="AE1567" s="40" t="str">
        <f aca="false">IF($B1567="","",IF(AND(OR(KARTU!$K$6="",$F1567=KARTU!$K$6),OR(KARTU!$K$7="",$G1567=KARTU!$K$7),OR(KARTU!$K$8="",$P1567=KARTU!$K$8)),MAX($AE$3:AE1566)+1,""))</f>
        <v/>
      </c>
    </row>
    <row r="1568" customFormat="false" ht="15" hidden="false" customHeight="false" outlineLevel="0" collapsed="false">
      <c r="A1568" s="35" t="str">
        <f aca="false">IF($B1568="","",COUNTA($B$4:$B1568))</f>
        <v/>
      </c>
      <c r="B1568" s="36"/>
      <c r="C1568" s="37"/>
      <c r="D1568" s="37"/>
      <c r="E1568" s="38"/>
      <c r="F1568" s="36"/>
      <c r="G1568" s="39"/>
      <c r="H1568" s="39"/>
      <c r="I1568" s="36"/>
      <c r="J1568" s="36"/>
      <c r="K1568" s="36"/>
      <c r="L1568" s="36"/>
      <c r="M1568" s="40" t="str">
        <f aca="false">IF($F1568="","",$F1568&amp;IF($G1568="",""," - RT "&amp;$G1568&amp;IF($H1568="","","/"&amp;$H1568)))</f>
        <v/>
      </c>
      <c r="N1568" s="36"/>
      <c r="O1568" s="37"/>
      <c r="P1568" s="39"/>
      <c r="Q1568" s="41"/>
      <c r="R1568" s="35" t="str">
        <f aca="true">IF(OR($B1568="",$Q1568=""),"",DATEDIF($Q1568,TODAY(),"Y"))</f>
        <v/>
      </c>
      <c r="S1568" s="40" t="str">
        <f aca="false">IF($R1568="","",INDEX(usia_label,MATCH($R1568,usia_min,1)))</f>
        <v/>
      </c>
      <c r="T1568" s="36"/>
      <c r="U1568" s="41"/>
      <c r="V1568" s="36"/>
      <c r="W1568" s="36"/>
      <c r="X1568" s="40" t="str">
        <f aca="false">IF($M1568="","",$M1568&amp;"#"&amp;COUNTIF($M$4:$M1568,$M1568))</f>
        <v/>
      </c>
      <c r="Y1568" s="40" t="str">
        <f aca="false">IF($B1568="","",IF($C1568="","NIK kosong",IF(LEN($C1568)&lt;&gt;16,"NIK bukan 16 digit",IF(COUNTIF($C$4:$C$2003,$C1568&amp;"*")&gt;1,"NIK ganda",IF(AND($D1568&lt;&gt;"",LEN($D1568)&lt;&gt;16),"No. KK bukan 16 digit",IF(AND($F1568="",$I1568=""),"Alamat kosong",IF($N1568="","Jabatan kosong",IF($O1568="","No. HP kosong",IF(AND($R1568&lt;&gt;"",$R1568&lt;17),"Usia di bawah 17","")))))))))</f>
        <v/>
      </c>
      <c r="Z1568" s="40" t="str">
        <f aca="false">IF($B1568="","",IF(AND(OR(CARI!$C$5="",ISNUMBER(SEARCH(CARI!$C$5,$B1568&amp;" "&amp;$C1568&amp;" "&amp;$D1568&amp;" "&amp;$O1568&amp;" "&amp;$I1568&amp;" "&amp;$F1568&amp;" "&amp;$J1568&amp;" "&amp;$K1568&amp;" "&amp;$L1568&amp;" "&amp;$V1568))),OR(CARI!$C$6="",$F1568=CARI!$C$6),OR(CARI!$C$7="",$G1568=CARI!$C$7),OR(CARI!$C$8="",$T1568=CARI!$C$8)),MAX($Z$3:Z1567)+1,""))</f>
        <v/>
      </c>
      <c r="AA1568" s="40" t="str">
        <f aca="false">IF($Y1568="","",MAX($AA$3:AA1567)+1)</f>
        <v/>
      </c>
      <c r="AB1568" s="40" t="str">
        <f aca="false">IF($F1568="","",$F1568&amp;"#"&amp;COUNTIF($F$4:$F1568,$F1568))</f>
        <v/>
      </c>
      <c r="AC1568" s="40" t="str">
        <f aca="false">IF($B1568="","",IF(AND(OR(CETAK!$J$10="",$F1568=CETAK!$J$10),OR(CETAK!$J$11="",$G1568=CETAK!$J$11),OR(CETAK!$J$12="",$P1568=CETAK!$J$12),OR(CETAK!$J$13="",$N1568=CETAK!$J$13),OR(CETAK!$J$14="",$T1568=CETAK!$J$14)),MAX($AC$3:AC1567)+1,""))</f>
        <v/>
      </c>
      <c r="AD1568" s="40" t="str">
        <f aca="false">IF($B1568="","",IF(AND(OR(ABSENSI!$H$10="",$F1568=ABSENSI!$H$10),OR(ABSENSI!$H$11="",$G1568=ABSENSI!$H$11),OR(ABSENSI!$H$12="",$P1568=ABSENSI!$H$12)),MAX($AD$3:AD1567)+1,""))</f>
        <v/>
      </c>
      <c r="AE1568" s="40" t="str">
        <f aca="false">IF($B1568="","",IF(AND(OR(KARTU!$K$6="",$F1568=KARTU!$K$6),OR(KARTU!$K$7="",$G1568=KARTU!$K$7),OR(KARTU!$K$8="",$P1568=KARTU!$K$8)),MAX($AE$3:AE1567)+1,""))</f>
        <v/>
      </c>
    </row>
    <row r="1569" customFormat="false" ht="15" hidden="false" customHeight="false" outlineLevel="0" collapsed="false">
      <c r="A1569" s="35" t="str">
        <f aca="false">IF($B1569="","",COUNTA($B$4:$B1569))</f>
        <v/>
      </c>
      <c r="B1569" s="36"/>
      <c r="C1569" s="37"/>
      <c r="D1569" s="37"/>
      <c r="E1569" s="38"/>
      <c r="F1569" s="36"/>
      <c r="G1569" s="39"/>
      <c r="H1569" s="39"/>
      <c r="I1569" s="36"/>
      <c r="J1569" s="36"/>
      <c r="K1569" s="36"/>
      <c r="L1569" s="36"/>
      <c r="M1569" s="40" t="str">
        <f aca="false">IF($F1569="","",$F1569&amp;IF($G1569="",""," - RT "&amp;$G1569&amp;IF($H1569="","","/"&amp;$H1569)))</f>
        <v/>
      </c>
      <c r="N1569" s="36"/>
      <c r="O1569" s="37"/>
      <c r="P1569" s="39"/>
      <c r="Q1569" s="41"/>
      <c r="R1569" s="35" t="str">
        <f aca="true">IF(OR($B1569="",$Q1569=""),"",DATEDIF($Q1569,TODAY(),"Y"))</f>
        <v/>
      </c>
      <c r="S1569" s="40" t="str">
        <f aca="false">IF($R1569="","",INDEX(usia_label,MATCH($R1569,usia_min,1)))</f>
        <v/>
      </c>
      <c r="T1569" s="36"/>
      <c r="U1569" s="41"/>
      <c r="V1569" s="36"/>
      <c r="W1569" s="36"/>
      <c r="X1569" s="40" t="str">
        <f aca="false">IF($M1569="","",$M1569&amp;"#"&amp;COUNTIF($M$4:$M1569,$M1569))</f>
        <v/>
      </c>
      <c r="Y1569" s="40" t="str">
        <f aca="false">IF($B1569="","",IF($C1569="","NIK kosong",IF(LEN($C1569)&lt;&gt;16,"NIK bukan 16 digit",IF(COUNTIF($C$4:$C$2003,$C1569&amp;"*")&gt;1,"NIK ganda",IF(AND($D1569&lt;&gt;"",LEN($D1569)&lt;&gt;16),"No. KK bukan 16 digit",IF(AND($F1569="",$I1569=""),"Alamat kosong",IF($N1569="","Jabatan kosong",IF($O1569="","No. HP kosong",IF(AND($R1569&lt;&gt;"",$R1569&lt;17),"Usia di bawah 17","")))))))))</f>
        <v/>
      </c>
      <c r="Z1569" s="40" t="str">
        <f aca="false">IF($B1569="","",IF(AND(OR(CARI!$C$5="",ISNUMBER(SEARCH(CARI!$C$5,$B1569&amp;" "&amp;$C1569&amp;" "&amp;$D1569&amp;" "&amp;$O1569&amp;" "&amp;$I1569&amp;" "&amp;$F1569&amp;" "&amp;$J1569&amp;" "&amp;$K1569&amp;" "&amp;$L1569&amp;" "&amp;$V1569))),OR(CARI!$C$6="",$F1569=CARI!$C$6),OR(CARI!$C$7="",$G1569=CARI!$C$7),OR(CARI!$C$8="",$T1569=CARI!$C$8)),MAX($Z$3:Z1568)+1,""))</f>
        <v/>
      </c>
      <c r="AA1569" s="40" t="str">
        <f aca="false">IF($Y1569="","",MAX($AA$3:AA1568)+1)</f>
        <v/>
      </c>
      <c r="AB1569" s="40" t="str">
        <f aca="false">IF($F1569="","",$F1569&amp;"#"&amp;COUNTIF($F$4:$F1569,$F1569))</f>
        <v/>
      </c>
      <c r="AC1569" s="40" t="str">
        <f aca="false">IF($B1569="","",IF(AND(OR(CETAK!$J$10="",$F1569=CETAK!$J$10),OR(CETAK!$J$11="",$G1569=CETAK!$J$11),OR(CETAK!$J$12="",$P1569=CETAK!$J$12),OR(CETAK!$J$13="",$N1569=CETAK!$J$13),OR(CETAK!$J$14="",$T1569=CETAK!$J$14)),MAX($AC$3:AC1568)+1,""))</f>
        <v/>
      </c>
      <c r="AD1569" s="40" t="str">
        <f aca="false">IF($B1569="","",IF(AND(OR(ABSENSI!$H$10="",$F1569=ABSENSI!$H$10),OR(ABSENSI!$H$11="",$G1569=ABSENSI!$H$11),OR(ABSENSI!$H$12="",$P1569=ABSENSI!$H$12)),MAX($AD$3:AD1568)+1,""))</f>
        <v/>
      </c>
      <c r="AE1569" s="40" t="str">
        <f aca="false">IF($B1569="","",IF(AND(OR(KARTU!$K$6="",$F1569=KARTU!$K$6),OR(KARTU!$K$7="",$G1569=KARTU!$K$7),OR(KARTU!$K$8="",$P1569=KARTU!$K$8)),MAX($AE$3:AE1568)+1,""))</f>
        <v/>
      </c>
    </row>
    <row r="1570" customFormat="false" ht="15" hidden="false" customHeight="false" outlineLevel="0" collapsed="false">
      <c r="A1570" s="35" t="str">
        <f aca="false">IF($B1570="","",COUNTA($B$4:$B1570))</f>
        <v/>
      </c>
      <c r="B1570" s="36"/>
      <c r="C1570" s="37"/>
      <c r="D1570" s="37"/>
      <c r="E1570" s="38"/>
      <c r="F1570" s="36"/>
      <c r="G1570" s="39"/>
      <c r="H1570" s="39"/>
      <c r="I1570" s="36"/>
      <c r="J1570" s="36"/>
      <c r="K1570" s="36"/>
      <c r="L1570" s="36"/>
      <c r="M1570" s="40" t="str">
        <f aca="false">IF($F1570="","",$F1570&amp;IF($G1570="",""," - RT "&amp;$G1570&amp;IF($H1570="","","/"&amp;$H1570)))</f>
        <v/>
      </c>
      <c r="N1570" s="36"/>
      <c r="O1570" s="37"/>
      <c r="P1570" s="39"/>
      <c r="Q1570" s="41"/>
      <c r="R1570" s="35" t="str">
        <f aca="true">IF(OR($B1570="",$Q1570=""),"",DATEDIF($Q1570,TODAY(),"Y"))</f>
        <v/>
      </c>
      <c r="S1570" s="40" t="str">
        <f aca="false">IF($R1570="","",INDEX(usia_label,MATCH($R1570,usia_min,1)))</f>
        <v/>
      </c>
      <c r="T1570" s="36"/>
      <c r="U1570" s="41"/>
      <c r="V1570" s="36"/>
      <c r="W1570" s="36"/>
      <c r="X1570" s="40" t="str">
        <f aca="false">IF($M1570="","",$M1570&amp;"#"&amp;COUNTIF($M$4:$M1570,$M1570))</f>
        <v/>
      </c>
      <c r="Y1570" s="40" t="str">
        <f aca="false">IF($B1570="","",IF($C1570="","NIK kosong",IF(LEN($C1570)&lt;&gt;16,"NIK bukan 16 digit",IF(COUNTIF($C$4:$C$2003,$C1570&amp;"*")&gt;1,"NIK ganda",IF(AND($D1570&lt;&gt;"",LEN($D1570)&lt;&gt;16),"No. KK bukan 16 digit",IF(AND($F1570="",$I1570=""),"Alamat kosong",IF($N1570="","Jabatan kosong",IF($O1570="","No. HP kosong",IF(AND($R1570&lt;&gt;"",$R1570&lt;17),"Usia di bawah 17","")))))))))</f>
        <v/>
      </c>
      <c r="Z1570" s="40" t="str">
        <f aca="false">IF($B1570="","",IF(AND(OR(CARI!$C$5="",ISNUMBER(SEARCH(CARI!$C$5,$B1570&amp;" "&amp;$C1570&amp;" "&amp;$D1570&amp;" "&amp;$O1570&amp;" "&amp;$I1570&amp;" "&amp;$F1570&amp;" "&amp;$J1570&amp;" "&amp;$K1570&amp;" "&amp;$L1570&amp;" "&amp;$V1570))),OR(CARI!$C$6="",$F1570=CARI!$C$6),OR(CARI!$C$7="",$G1570=CARI!$C$7),OR(CARI!$C$8="",$T1570=CARI!$C$8)),MAX($Z$3:Z1569)+1,""))</f>
        <v/>
      </c>
      <c r="AA1570" s="40" t="str">
        <f aca="false">IF($Y1570="","",MAX($AA$3:AA1569)+1)</f>
        <v/>
      </c>
      <c r="AB1570" s="40" t="str">
        <f aca="false">IF($F1570="","",$F1570&amp;"#"&amp;COUNTIF($F$4:$F1570,$F1570))</f>
        <v/>
      </c>
      <c r="AC1570" s="40" t="str">
        <f aca="false">IF($B1570="","",IF(AND(OR(CETAK!$J$10="",$F1570=CETAK!$J$10),OR(CETAK!$J$11="",$G1570=CETAK!$J$11),OR(CETAK!$J$12="",$P1570=CETAK!$J$12),OR(CETAK!$J$13="",$N1570=CETAK!$J$13),OR(CETAK!$J$14="",$T1570=CETAK!$J$14)),MAX($AC$3:AC1569)+1,""))</f>
        <v/>
      </c>
      <c r="AD1570" s="40" t="str">
        <f aca="false">IF($B1570="","",IF(AND(OR(ABSENSI!$H$10="",$F1570=ABSENSI!$H$10),OR(ABSENSI!$H$11="",$G1570=ABSENSI!$H$11),OR(ABSENSI!$H$12="",$P1570=ABSENSI!$H$12)),MAX($AD$3:AD1569)+1,""))</f>
        <v/>
      </c>
      <c r="AE1570" s="40" t="str">
        <f aca="false">IF($B1570="","",IF(AND(OR(KARTU!$K$6="",$F1570=KARTU!$K$6),OR(KARTU!$K$7="",$G1570=KARTU!$K$7),OR(KARTU!$K$8="",$P1570=KARTU!$K$8)),MAX($AE$3:AE1569)+1,""))</f>
        <v/>
      </c>
    </row>
    <row r="1571" customFormat="false" ht="15" hidden="false" customHeight="false" outlineLevel="0" collapsed="false">
      <c r="A1571" s="35" t="str">
        <f aca="false">IF($B1571="","",COUNTA($B$4:$B1571))</f>
        <v/>
      </c>
      <c r="B1571" s="36"/>
      <c r="C1571" s="37"/>
      <c r="D1571" s="37"/>
      <c r="E1571" s="38"/>
      <c r="F1571" s="36"/>
      <c r="G1571" s="39"/>
      <c r="H1571" s="39"/>
      <c r="I1571" s="36"/>
      <c r="J1571" s="36"/>
      <c r="K1571" s="36"/>
      <c r="L1571" s="36"/>
      <c r="M1571" s="40" t="str">
        <f aca="false">IF($F1571="","",$F1571&amp;IF($G1571="",""," - RT "&amp;$G1571&amp;IF($H1571="","","/"&amp;$H1571)))</f>
        <v/>
      </c>
      <c r="N1571" s="36"/>
      <c r="O1571" s="37"/>
      <c r="P1571" s="39"/>
      <c r="Q1571" s="41"/>
      <c r="R1571" s="35" t="str">
        <f aca="true">IF(OR($B1571="",$Q1571=""),"",DATEDIF($Q1571,TODAY(),"Y"))</f>
        <v/>
      </c>
      <c r="S1571" s="40" t="str">
        <f aca="false">IF($R1571="","",INDEX(usia_label,MATCH($R1571,usia_min,1)))</f>
        <v/>
      </c>
      <c r="T1571" s="36"/>
      <c r="U1571" s="41"/>
      <c r="V1571" s="36"/>
      <c r="W1571" s="36"/>
      <c r="X1571" s="40" t="str">
        <f aca="false">IF($M1571="","",$M1571&amp;"#"&amp;COUNTIF($M$4:$M1571,$M1571))</f>
        <v/>
      </c>
      <c r="Y1571" s="40" t="str">
        <f aca="false">IF($B1571="","",IF($C1571="","NIK kosong",IF(LEN($C1571)&lt;&gt;16,"NIK bukan 16 digit",IF(COUNTIF($C$4:$C$2003,$C1571&amp;"*")&gt;1,"NIK ganda",IF(AND($D1571&lt;&gt;"",LEN($D1571)&lt;&gt;16),"No. KK bukan 16 digit",IF(AND($F1571="",$I1571=""),"Alamat kosong",IF($N1571="","Jabatan kosong",IF($O1571="","No. HP kosong",IF(AND($R1571&lt;&gt;"",$R1571&lt;17),"Usia di bawah 17","")))))))))</f>
        <v/>
      </c>
      <c r="Z1571" s="40" t="str">
        <f aca="false">IF($B1571="","",IF(AND(OR(CARI!$C$5="",ISNUMBER(SEARCH(CARI!$C$5,$B1571&amp;" "&amp;$C1571&amp;" "&amp;$D1571&amp;" "&amp;$O1571&amp;" "&amp;$I1571&amp;" "&amp;$F1571&amp;" "&amp;$J1571&amp;" "&amp;$K1571&amp;" "&amp;$L1571&amp;" "&amp;$V1571))),OR(CARI!$C$6="",$F1571=CARI!$C$6),OR(CARI!$C$7="",$G1571=CARI!$C$7),OR(CARI!$C$8="",$T1571=CARI!$C$8)),MAX($Z$3:Z1570)+1,""))</f>
        <v/>
      </c>
      <c r="AA1571" s="40" t="str">
        <f aca="false">IF($Y1571="","",MAX($AA$3:AA1570)+1)</f>
        <v/>
      </c>
      <c r="AB1571" s="40" t="str">
        <f aca="false">IF($F1571="","",$F1571&amp;"#"&amp;COUNTIF($F$4:$F1571,$F1571))</f>
        <v/>
      </c>
      <c r="AC1571" s="40" t="str">
        <f aca="false">IF($B1571="","",IF(AND(OR(CETAK!$J$10="",$F1571=CETAK!$J$10),OR(CETAK!$J$11="",$G1571=CETAK!$J$11),OR(CETAK!$J$12="",$P1571=CETAK!$J$12),OR(CETAK!$J$13="",$N1571=CETAK!$J$13),OR(CETAK!$J$14="",$T1571=CETAK!$J$14)),MAX($AC$3:AC1570)+1,""))</f>
        <v/>
      </c>
      <c r="AD1571" s="40" t="str">
        <f aca="false">IF($B1571="","",IF(AND(OR(ABSENSI!$H$10="",$F1571=ABSENSI!$H$10),OR(ABSENSI!$H$11="",$G1571=ABSENSI!$H$11),OR(ABSENSI!$H$12="",$P1571=ABSENSI!$H$12)),MAX($AD$3:AD1570)+1,""))</f>
        <v/>
      </c>
      <c r="AE1571" s="40" t="str">
        <f aca="false">IF($B1571="","",IF(AND(OR(KARTU!$K$6="",$F1571=KARTU!$K$6),OR(KARTU!$K$7="",$G1571=KARTU!$K$7),OR(KARTU!$K$8="",$P1571=KARTU!$K$8)),MAX($AE$3:AE1570)+1,""))</f>
        <v/>
      </c>
    </row>
    <row r="1572" customFormat="false" ht="15" hidden="false" customHeight="false" outlineLevel="0" collapsed="false">
      <c r="A1572" s="35" t="str">
        <f aca="false">IF($B1572="","",COUNTA($B$4:$B1572))</f>
        <v/>
      </c>
      <c r="B1572" s="36"/>
      <c r="C1572" s="37"/>
      <c r="D1572" s="37"/>
      <c r="E1572" s="38"/>
      <c r="F1572" s="36"/>
      <c r="G1572" s="39"/>
      <c r="H1572" s="39"/>
      <c r="I1572" s="36"/>
      <c r="J1572" s="36"/>
      <c r="K1572" s="36"/>
      <c r="L1572" s="36"/>
      <c r="M1572" s="40" t="str">
        <f aca="false">IF($F1572="","",$F1572&amp;IF($G1572="",""," - RT "&amp;$G1572&amp;IF($H1572="","","/"&amp;$H1572)))</f>
        <v/>
      </c>
      <c r="N1572" s="36"/>
      <c r="O1572" s="37"/>
      <c r="P1572" s="39"/>
      <c r="Q1572" s="41"/>
      <c r="R1572" s="35" t="str">
        <f aca="true">IF(OR($B1572="",$Q1572=""),"",DATEDIF($Q1572,TODAY(),"Y"))</f>
        <v/>
      </c>
      <c r="S1572" s="40" t="str">
        <f aca="false">IF($R1572="","",INDEX(usia_label,MATCH($R1572,usia_min,1)))</f>
        <v/>
      </c>
      <c r="T1572" s="36"/>
      <c r="U1572" s="41"/>
      <c r="V1572" s="36"/>
      <c r="W1572" s="36"/>
      <c r="X1572" s="40" t="str">
        <f aca="false">IF($M1572="","",$M1572&amp;"#"&amp;COUNTIF($M$4:$M1572,$M1572))</f>
        <v/>
      </c>
      <c r="Y1572" s="40" t="str">
        <f aca="false">IF($B1572="","",IF($C1572="","NIK kosong",IF(LEN($C1572)&lt;&gt;16,"NIK bukan 16 digit",IF(COUNTIF($C$4:$C$2003,$C1572&amp;"*")&gt;1,"NIK ganda",IF(AND($D1572&lt;&gt;"",LEN($D1572)&lt;&gt;16),"No. KK bukan 16 digit",IF(AND($F1572="",$I1572=""),"Alamat kosong",IF($N1572="","Jabatan kosong",IF($O1572="","No. HP kosong",IF(AND($R1572&lt;&gt;"",$R1572&lt;17),"Usia di bawah 17","")))))))))</f>
        <v/>
      </c>
      <c r="Z1572" s="40" t="str">
        <f aca="false">IF($B1572="","",IF(AND(OR(CARI!$C$5="",ISNUMBER(SEARCH(CARI!$C$5,$B1572&amp;" "&amp;$C1572&amp;" "&amp;$D1572&amp;" "&amp;$O1572&amp;" "&amp;$I1572&amp;" "&amp;$F1572&amp;" "&amp;$J1572&amp;" "&amp;$K1572&amp;" "&amp;$L1572&amp;" "&amp;$V1572))),OR(CARI!$C$6="",$F1572=CARI!$C$6),OR(CARI!$C$7="",$G1572=CARI!$C$7),OR(CARI!$C$8="",$T1572=CARI!$C$8)),MAX($Z$3:Z1571)+1,""))</f>
        <v/>
      </c>
      <c r="AA1572" s="40" t="str">
        <f aca="false">IF($Y1572="","",MAX($AA$3:AA1571)+1)</f>
        <v/>
      </c>
      <c r="AB1572" s="40" t="str">
        <f aca="false">IF($F1572="","",$F1572&amp;"#"&amp;COUNTIF($F$4:$F1572,$F1572))</f>
        <v/>
      </c>
      <c r="AC1572" s="40" t="str">
        <f aca="false">IF($B1572="","",IF(AND(OR(CETAK!$J$10="",$F1572=CETAK!$J$10),OR(CETAK!$J$11="",$G1572=CETAK!$J$11),OR(CETAK!$J$12="",$P1572=CETAK!$J$12),OR(CETAK!$J$13="",$N1572=CETAK!$J$13),OR(CETAK!$J$14="",$T1572=CETAK!$J$14)),MAX($AC$3:AC1571)+1,""))</f>
        <v/>
      </c>
      <c r="AD1572" s="40" t="str">
        <f aca="false">IF($B1572="","",IF(AND(OR(ABSENSI!$H$10="",$F1572=ABSENSI!$H$10),OR(ABSENSI!$H$11="",$G1572=ABSENSI!$H$11),OR(ABSENSI!$H$12="",$P1572=ABSENSI!$H$12)),MAX($AD$3:AD1571)+1,""))</f>
        <v/>
      </c>
      <c r="AE1572" s="40" t="str">
        <f aca="false">IF($B1572="","",IF(AND(OR(KARTU!$K$6="",$F1572=KARTU!$K$6),OR(KARTU!$K$7="",$G1572=KARTU!$K$7),OR(KARTU!$K$8="",$P1572=KARTU!$K$8)),MAX($AE$3:AE1571)+1,""))</f>
        <v/>
      </c>
    </row>
    <row r="1573" customFormat="false" ht="15" hidden="false" customHeight="false" outlineLevel="0" collapsed="false">
      <c r="A1573" s="35" t="str">
        <f aca="false">IF($B1573="","",COUNTA($B$4:$B1573))</f>
        <v/>
      </c>
      <c r="B1573" s="36"/>
      <c r="C1573" s="37"/>
      <c r="D1573" s="37"/>
      <c r="E1573" s="38"/>
      <c r="F1573" s="36"/>
      <c r="G1573" s="39"/>
      <c r="H1573" s="39"/>
      <c r="I1573" s="36"/>
      <c r="J1573" s="36"/>
      <c r="K1573" s="36"/>
      <c r="L1573" s="36"/>
      <c r="M1573" s="40" t="str">
        <f aca="false">IF($F1573="","",$F1573&amp;IF($G1573="",""," - RT "&amp;$G1573&amp;IF($H1573="","","/"&amp;$H1573)))</f>
        <v/>
      </c>
      <c r="N1573" s="36"/>
      <c r="O1573" s="37"/>
      <c r="P1573" s="39"/>
      <c r="Q1573" s="41"/>
      <c r="R1573" s="35" t="str">
        <f aca="true">IF(OR($B1573="",$Q1573=""),"",DATEDIF($Q1573,TODAY(),"Y"))</f>
        <v/>
      </c>
      <c r="S1573" s="40" t="str">
        <f aca="false">IF($R1573="","",INDEX(usia_label,MATCH($R1573,usia_min,1)))</f>
        <v/>
      </c>
      <c r="T1573" s="36"/>
      <c r="U1573" s="41"/>
      <c r="V1573" s="36"/>
      <c r="W1573" s="36"/>
      <c r="X1573" s="40" t="str">
        <f aca="false">IF($M1573="","",$M1573&amp;"#"&amp;COUNTIF($M$4:$M1573,$M1573))</f>
        <v/>
      </c>
      <c r="Y1573" s="40" t="str">
        <f aca="false">IF($B1573="","",IF($C1573="","NIK kosong",IF(LEN($C1573)&lt;&gt;16,"NIK bukan 16 digit",IF(COUNTIF($C$4:$C$2003,$C1573&amp;"*")&gt;1,"NIK ganda",IF(AND($D1573&lt;&gt;"",LEN($D1573)&lt;&gt;16),"No. KK bukan 16 digit",IF(AND($F1573="",$I1573=""),"Alamat kosong",IF($N1573="","Jabatan kosong",IF($O1573="","No. HP kosong",IF(AND($R1573&lt;&gt;"",$R1573&lt;17),"Usia di bawah 17","")))))))))</f>
        <v/>
      </c>
      <c r="Z1573" s="40" t="str">
        <f aca="false">IF($B1573="","",IF(AND(OR(CARI!$C$5="",ISNUMBER(SEARCH(CARI!$C$5,$B1573&amp;" "&amp;$C1573&amp;" "&amp;$D1573&amp;" "&amp;$O1573&amp;" "&amp;$I1573&amp;" "&amp;$F1573&amp;" "&amp;$J1573&amp;" "&amp;$K1573&amp;" "&amp;$L1573&amp;" "&amp;$V1573))),OR(CARI!$C$6="",$F1573=CARI!$C$6),OR(CARI!$C$7="",$G1573=CARI!$C$7),OR(CARI!$C$8="",$T1573=CARI!$C$8)),MAX($Z$3:Z1572)+1,""))</f>
        <v/>
      </c>
      <c r="AA1573" s="40" t="str">
        <f aca="false">IF($Y1573="","",MAX($AA$3:AA1572)+1)</f>
        <v/>
      </c>
      <c r="AB1573" s="40" t="str">
        <f aca="false">IF($F1573="","",$F1573&amp;"#"&amp;COUNTIF($F$4:$F1573,$F1573))</f>
        <v/>
      </c>
      <c r="AC1573" s="40" t="str">
        <f aca="false">IF($B1573="","",IF(AND(OR(CETAK!$J$10="",$F1573=CETAK!$J$10),OR(CETAK!$J$11="",$G1573=CETAK!$J$11),OR(CETAK!$J$12="",$P1573=CETAK!$J$12),OR(CETAK!$J$13="",$N1573=CETAK!$J$13),OR(CETAK!$J$14="",$T1573=CETAK!$J$14)),MAX($AC$3:AC1572)+1,""))</f>
        <v/>
      </c>
      <c r="AD1573" s="40" t="str">
        <f aca="false">IF($B1573="","",IF(AND(OR(ABSENSI!$H$10="",$F1573=ABSENSI!$H$10),OR(ABSENSI!$H$11="",$G1573=ABSENSI!$H$11),OR(ABSENSI!$H$12="",$P1573=ABSENSI!$H$12)),MAX($AD$3:AD1572)+1,""))</f>
        <v/>
      </c>
      <c r="AE1573" s="40" t="str">
        <f aca="false">IF($B1573="","",IF(AND(OR(KARTU!$K$6="",$F1573=KARTU!$K$6),OR(KARTU!$K$7="",$G1573=KARTU!$K$7),OR(KARTU!$K$8="",$P1573=KARTU!$K$8)),MAX($AE$3:AE1572)+1,""))</f>
        <v/>
      </c>
    </row>
    <row r="1574" customFormat="false" ht="15" hidden="false" customHeight="false" outlineLevel="0" collapsed="false">
      <c r="A1574" s="35" t="str">
        <f aca="false">IF($B1574="","",COUNTA($B$4:$B1574))</f>
        <v/>
      </c>
      <c r="B1574" s="36"/>
      <c r="C1574" s="37"/>
      <c r="D1574" s="37"/>
      <c r="E1574" s="38"/>
      <c r="F1574" s="36"/>
      <c r="G1574" s="39"/>
      <c r="H1574" s="39"/>
      <c r="I1574" s="36"/>
      <c r="J1574" s="36"/>
      <c r="K1574" s="36"/>
      <c r="L1574" s="36"/>
      <c r="M1574" s="40" t="str">
        <f aca="false">IF($F1574="","",$F1574&amp;IF($G1574="",""," - RT "&amp;$G1574&amp;IF($H1574="","","/"&amp;$H1574)))</f>
        <v/>
      </c>
      <c r="N1574" s="36"/>
      <c r="O1574" s="37"/>
      <c r="P1574" s="39"/>
      <c r="Q1574" s="41"/>
      <c r="R1574" s="35" t="str">
        <f aca="true">IF(OR($B1574="",$Q1574=""),"",DATEDIF($Q1574,TODAY(),"Y"))</f>
        <v/>
      </c>
      <c r="S1574" s="40" t="str">
        <f aca="false">IF($R1574="","",INDEX(usia_label,MATCH($R1574,usia_min,1)))</f>
        <v/>
      </c>
      <c r="T1574" s="36"/>
      <c r="U1574" s="41"/>
      <c r="V1574" s="36"/>
      <c r="W1574" s="36"/>
      <c r="X1574" s="40" t="str">
        <f aca="false">IF($M1574="","",$M1574&amp;"#"&amp;COUNTIF($M$4:$M1574,$M1574))</f>
        <v/>
      </c>
      <c r="Y1574" s="40" t="str">
        <f aca="false">IF($B1574="","",IF($C1574="","NIK kosong",IF(LEN($C1574)&lt;&gt;16,"NIK bukan 16 digit",IF(COUNTIF($C$4:$C$2003,$C1574&amp;"*")&gt;1,"NIK ganda",IF(AND($D1574&lt;&gt;"",LEN($D1574)&lt;&gt;16),"No. KK bukan 16 digit",IF(AND($F1574="",$I1574=""),"Alamat kosong",IF($N1574="","Jabatan kosong",IF($O1574="","No. HP kosong",IF(AND($R1574&lt;&gt;"",$R1574&lt;17),"Usia di bawah 17","")))))))))</f>
        <v/>
      </c>
      <c r="Z1574" s="40" t="str">
        <f aca="false">IF($B1574="","",IF(AND(OR(CARI!$C$5="",ISNUMBER(SEARCH(CARI!$C$5,$B1574&amp;" "&amp;$C1574&amp;" "&amp;$D1574&amp;" "&amp;$O1574&amp;" "&amp;$I1574&amp;" "&amp;$F1574&amp;" "&amp;$J1574&amp;" "&amp;$K1574&amp;" "&amp;$L1574&amp;" "&amp;$V1574))),OR(CARI!$C$6="",$F1574=CARI!$C$6),OR(CARI!$C$7="",$G1574=CARI!$C$7),OR(CARI!$C$8="",$T1574=CARI!$C$8)),MAX($Z$3:Z1573)+1,""))</f>
        <v/>
      </c>
      <c r="AA1574" s="40" t="str">
        <f aca="false">IF($Y1574="","",MAX($AA$3:AA1573)+1)</f>
        <v/>
      </c>
      <c r="AB1574" s="40" t="str">
        <f aca="false">IF($F1574="","",$F1574&amp;"#"&amp;COUNTIF($F$4:$F1574,$F1574))</f>
        <v/>
      </c>
      <c r="AC1574" s="40" t="str">
        <f aca="false">IF($B1574="","",IF(AND(OR(CETAK!$J$10="",$F1574=CETAK!$J$10),OR(CETAK!$J$11="",$G1574=CETAK!$J$11),OR(CETAK!$J$12="",$P1574=CETAK!$J$12),OR(CETAK!$J$13="",$N1574=CETAK!$J$13),OR(CETAK!$J$14="",$T1574=CETAK!$J$14)),MAX($AC$3:AC1573)+1,""))</f>
        <v/>
      </c>
      <c r="AD1574" s="40" t="str">
        <f aca="false">IF($B1574="","",IF(AND(OR(ABSENSI!$H$10="",$F1574=ABSENSI!$H$10),OR(ABSENSI!$H$11="",$G1574=ABSENSI!$H$11),OR(ABSENSI!$H$12="",$P1574=ABSENSI!$H$12)),MAX($AD$3:AD1573)+1,""))</f>
        <v/>
      </c>
      <c r="AE1574" s="40" t="str">
        <f aca="false">IF($B1574="","",IF(AND(OR(KARTU!$K$6="",$F1574=KARTU!$K$6),OR(KARTU!$K$7="",$G1574=KARTU!$K$7),OR(KARTU!$K$8="",$P1574=KARTU!$K$8)),MAX($AE$3:AE1573)+1,""))</f>
        <v/>
      </c>
    </row>
    <row r="1575" customFormat="false" ht="15" hidden="false" customHeight="false" outlineLevel="0" collapsed="false">
      <c r="A1575" s="35" t="str">
        <f aca="false">IF($B1575="","",COUNTA($B$4:$B1575))</f>
        <v/>
      </c>
      <c r="B1575" s="36"/>
      <c r="C1575" s="37"/>
      <c r="D1575" s="37"/>
      <c r="E1575" s="38"/>
      <c r="F1575" s="36"/>
      <c r="G1575" s="39"/>
      <c r="H1575" s="39"/>
      <c r="I1575" s="36"/>
      <c r="J1575" s="36"/>
      <c r="K1575" s="36"/>
      <c r="L1575" s="36"/>
      <c r="M1575" s="40" t="str">
        <f aca="false">IF($F1575="","",$F1575&amp;IF($G1575="",""," - RT "&amp;$G1575&amp;IF($H1575="","","/"&amp;$H1575)))</f>
        <v/>
      </c>
      <c r="N1575" s="36"/>
      <c r="O1575" s="37"/>
      <c r="P1575" s="39"/>
      <c r="Q1575" s="41"/>
      <c r="R1575" s="35" t="str">
        <f aca="true">IF(OR($B1575="",$Q1575=""),"",DATEDIF($Q1575,TODAY(),"Y"))</f>
        <v/>
      </c>
      <c r="S1575" s="40" t="str">
        <f aca="false">IF($R1575="","",INDEX(usia_label,MATCH($R1575,usia_min,1)))</f>
        <v/>
      </c>
      <c r="T1575" s="36"/>
      <c r="U1575" s="41"/>
      <c r="V1575" s="36"/>
      <c r="W1575" s="36"/>
      <c r="X1575" s="40" t="str">
        <f aca="false">IF($M1575="","",$M1575&amp;"#"&amp;COUNTIF($M$4:$M1575,$M1575))</f>
        <v/>
      </c>
      <c r="Y1575" s="40" t="str">
        <f aca="false">IF($B1575="","",IF($C1575="","NIK kosong",IF(LEN($C1575)&lt;&gt;16,"NIK bukan 16 digit",IF(COUNTIF($C$4:$C$2003,$C1575&amp;"*")&gt;1,"NIK ganda",IF(AND($D1575&lt;&gt;"",LEN($D1575)&lt;&gt;16),"No. KK bukan 16 digit",IF(AND($F1575="",$I1575=""),"Alamat kosong",IF($N1575="","Jabatan kosong",IF($O1575="","No. HP kosong",IF(AND($R1575&lt;&gt;"",$R1575&lt;17),"Usia di bawah 17","")))))))))</f>
        <v/>
      </c>
      <c r="Z1575" s="40" t="str">
        <f aca="false">IF($B1575="","",IF(AND(OR(CARI!$C$5="",ISNUMBER(SEARCH(CARI!$C$5,$B1575&amp;" "&amp;$C1575&amp;" "&amp;$D1575&amp;" "&amp;$O1575&amp;" "&amp;$I1575&amp;" "&amp;$F1575&amp;" "&amp;$J1575&amp;" "&amp;$K1575&amp;" "&amp;$L1575&amp;" "&amp;$V1575))),OR(CARI!$C$6="",$F1575=CARI!$C$6),OR(CARI!$C$7="",$G1575=CARI!$C$7),OR(CARI!$C$8="",$T1575=CARI!$C$8)),MAX($Z$3:Z1574)+1,""))</f>
        <v/>
      </c>
      <c r="AA1575" s="40" t="str">
        <f aca="false">IF($Y1575="","",MAX($AA$3:AA1574)+1)</f>
        <v/>
      </c>
      <c r="AB1575" s="40" t="str">
        <f aca="false">IF($F1575="","",$F1575&amp;"#"&amp;COUNTIF($F$4:$F1575,$F1575))</f>
        <v/>
      </c>
      <c r="AC1575" s="40" t="str">
        <f aca="false">IF($B1575="","",IF(AND(OR(CETAK!$J$10="",$F1575=CETAK!$J$10),OR(CETAK!$J$11="",$G1575=CETAK!$J$11),OR(CETAK!$J$12="",$P1575=CETAK!$J$12),OR(CETAK!$J$13="",$N1575=CETAK!$J$13),OR(CETAK!$J$14="",$T1575=CETAK!$J$14)),MAX($AC$3:AC1574)+1,""))</f>
        <v/>
      </c>
      <c r="AD1575" s="40" t="str">
        <f aca="false">IF($B1575="","",IF(AND(OR(ABSENSI!$H$10="",$F1575=ABSENSI!$H$10),OR(ABSENSI!$H$11="",$G1575=ABSENSI!$H$11),OR(ABSENSI!$H$12="",$P1575=ABSENSI!$H$12)),MAX($AD$3:AD1574)+1,""))</f>
        <v/>
      </c>
      <c r="AE1575" s="40" t="str">
        <f aca="false">IF($B1575="","",IF(AND(OR(KARTU!$K$6="",$F1575=KARTU!$K$6),OR(KARTU!$K$7="",$G1575=KARTU!$K$7),OR(KARTU!$K$8="",$P1575=KARTU!$K$8)),MAX($AE$3:AE1574)+1,""))</f>
        <v/>
      </c>
    </row>
    <row r="1576" customFormat="false" ht="15" hidden="false" customHeight="false" outlineLevel="0" collapsed="false">
      <c r="A1576" s="35" t="str">
        <f aca="false">IF($B1576="","",COUNTA($B$4:$B1576))</f>
        <v/>
      </c>
      <c r="B1576" s="36"/>
      <c r="C1576" s="37"/>
      <c r="D1576" s="37"/>
      <c r="E1576" s="38"/>
      <c r="F1576" s="36"/>
      <c r="G1576" s="39"/>
      <c r="H1576" s="39"/>
      <c r="I1576" s="36"/>
      <c r="J1576" s="36"/>
      <c r="K1576" s="36"/>
      <c r="L1576" s="36"/>
      <c r="M1576" s="40" t="str">
        <f aca="false">IF($F1576="","",$F1576&amp;IF($G1576="",""," - RT "&amp;$G1576&amp;IF($H1576="","","/"&amp;$H1576)))</f>
        <v/>
      </c>
      <c r="N1576" s="36"/>
      <c r="O1576" s="37"/>
      <c r="P1576" s="39"/>
      <c r="Q1576" s="41"/>
      <c r="R1576" s="35" t="str">
        <f aca="true">IF(OR($B1576="",$Q1576=""),"",DATEDIF($Q1576,TODAY(),"Y"))</f>
        <v/>
      </c>
      <c r="S1576" s="40" t="str">
        <f aca="false">IF($R1576="","",INDEX(usia_label,MATCH($R1576,usia_min,1)))</f>
        <v/>
      </c>
      <c r="T1576" s="36"/>
      <c r="U1576" s="41"/>
      <c r="V1576" s="36"/>
      <c r="W1576" s="36"/>
      <c r="X1576" s="40" t="str">
        <f aca="false">IF($M1576="","",$M1576&amp;"#"&amp;COUNTIF($M$4:$M1576,$M1576))</f>
        <v/>
      </c>
      <c r="Y1576" s="40" t="str">
        <f aca="false">IF($B1576="","",IF($C1576="","NIK kosong",IF(LEN($C1576)&lt;&gt;16,"NIK bukan 16 digit",IF(COUNTIF($C$4:$C$2003,$C1576&amp;"*")&gt;1,"NIK ganda",IF(AND($D1576&lt;&gt;"",LEN($D1576)&lt;&gt;16),"No. KK bukan 16 digit",IF(AND($F1576="",$I1576=""),"Alamat kosong",IF($N1576="","Jabatan kosong",IF($O1576="","No. HP kosong",IF(AND($R1576&lt;&gt;"",$R1576&lt;17),"Usia di bawah 17","")))))))))</f>
        <v/>
      </c>
      <c r="Z1576" s="40" t="str">
        <f aca="false">IF($B1576="","",IF(AND(OR(CARI!$C$5="",ISNUMBER(SEARCH(CARI!$C$5,$B1576&amp;" "&amp;$C1576&amp;" "&amp;$D1576&amp;" "&amp;$O1576&amp;" "&amp;$I1576&amp;" "&amp;$F1576&amp;" "&amp;$J1576&amp;" "&amp;$K1576&amp;" "&amp;$L1576&amp;" "&amp;$V1576))),OR(CARI!$C$6="",$F1576=CARI!$C$6),OR(CARI!$C$7="",$G1576=CARI!$C$7),OR(CARI!$C$8="",$T1576=CARI!$C$8)),MAX($Z$3:Z1575)+1,""))</f>
        <v/>
      </c>
      <c r="AA1576" s="40" t="str">
        <f aca="false">IF($Y1576="","",MAX($AA$3:AA1575)+1)</f>
        <v/>
      </c>
      <c r="AB1576" s="40" t="str">
        <f aca="false">IF($F1576="","",$F1576&amp;"#"&amp;COUNTIF($F$4:$F1576,$F1576))</f>
        <v/>
      </c>
      <c r="AC1576" s="40" t="str">
        <f aca="false">IF($B1576="","",IF(AND(OR(CETAK!$J$10="",$F1576=CETAK!$J$10),OR(CETAK!$J$11="",$G1576=CETAK!$J$11),OR(CETAK!$J$12="",$P1576=CETAK!$J$12),OR(CETAK!$J$13="",$N1576=CETAK!$J$13),OR(CETAK!$J$14="",$T1576=CETAK!$J$14)),MAX($AC$3:AC1575)+1,""))</f>
        <v/>
      </c>
      <c r="AD1576" s="40" t="str">
        <f aca="false">IF($B1576="","",IF(AND(OR(ABSENSI!$H$10="",$F1576=ABSENSI!$H$10),OR(ABSENSI!$H$11="",$G1576=ABSENSI!$H$11),OR(ABSENSI!$H$12="",$P1576=ABSENSI!$H$12)),MAX($AD$3:AD1575)+1,""))</f>
        <v/>
      </c>
      <c r="AE1576" s="40" t="str">
        <f aca="false">IF($B1576="","",IF(AND(OR(KARTU!$K$6="",$F1576=KARTU!$K$6),OR(KARTU!$K$7="",$G1576=KARTU!$K$7),OR(KARTU!$K$8="",$P1576=KARTU!$K$8)),MAX($AE$3:AE1575)+1,""))</f>
        <v/>
      </c>
    </row>
    <row r="1577" customFormat="false" ht="15" hidden="false" customHeight="false" outlineLevel="0" collapsed="false">
      <c r="A1577" s="35" t="str">
        <f aca="false">IF($B1577="","",COUNTA($B$4:$B1577))</f>
        <v/>
      </c>
      <c r="B1577" s="36"/>
      <c r="C1577" s="37"/>
      <c r="D1577" s="37"/>
      <c r="E1577" s="38"/>
      <c r="F1577" s="36"/>
      <c r="G1577" s="39"/>
      <c r="H1577" s="39"/>
      <c r="I1577" s="36"/>
      <c r="J1577" s="36"/>
      <c r="K1577" s="36"/>
      <c r="L1577" s="36"/>
      <c r="M1577" s="40" t="str">
        <f aca="false">IF($F1577="","",$F1577&amp;IF($G1577="",""," - RT "&amp;$G1577&amp;IF($H1577="","","/"&amp;$H1577)))</f>
        <v/>
      </c>
      <c r="N1577" s="36"/>
      <c r="O1577" s="37"/>
      <c r="P1577" s="39"/>
      <c r="Q1577" s="41"/>
      <c r="R1577" s="35" t="str">
        <f aca="true">IF(OR($B1577="",$Q1577=""),"",DATEDIF($Q1577,TODAY(),"Y"))</f>
        <v/>
      </c>
      <c r="S1577" s="40" t="str">
        <f aca="false">IF($R1577="","",INDEX(usia_label,MATCH($R1577,usia_min,1)))</f>
        <v/>
      </c>
      <c r="T1577" s="36"/>
      <c r="U1577" s="41"/>
      <c r="V1577" s="36"/>
      <c r="W1577" s="36"/>
      <c r="X1577" s="40" t="str">
        <f aca="false">IF($M1577="","",$M1577&amp;"#"&amp;COUNTIF($M$4:$M1577,$M1577))</f>
        <v/>
      </c>
      <c r="Y1577" s="40" t="str">
        <f aca="false">IF($B1577="","",IF($C1577="","NIK kosong",IF(LEN($C1577)&lt;&gt;16,"NIK bukan 16 digit",IF(COUNTIF($C$4:$C$2003,$C1577&amp;"*")&gt;1,"NIK ganda",IF(AND($D1577&lt;&gt;"",LEN($D1577)&lt;&gt;16),"No. KK bukan 16 digit",IF(AND($F1577="",$I1577=""),"Alamat kosong",IF($N1577="","Jabatan kosong",IF($O1577="","No. HP kosong",IF(AND($R1577&lt;&gt;"",$R1577&lt;17),"Usia di bawah 17","")))))))))</f>
        <v/>
      </c>
      <c r="Z1577" s="40" t="str">
        <f aca="false">IF($B1577="","",IF(AND(OR(CARI!$C$5="",ISNUMBER(SEARCH(CARI!$C$5,$B1577&amp;" "&amp;$C1577&amp;" "&amp;$D1577&amp;" "&amp;$O1577&amp;" "&amp;$I1577&amp;" "&amp;$F1577&amp;" "&amp;$J1577&amp;" "&amp;$K1577&amp;" "&amp;$L1577&amp;" "&amp;$V1577))),OR(CARI!$C$6="",$F1577=CARI!$C$6),OR(CARI!$C$7="",$G1577=CARI!$C$7),OR(CARI!$C$8="",$T1577=CARI!$C$8)),MAX($Z$3:Z1576)+1,""))</f>
        <v/>
      </c>
      <c r="AA1577" s="40" t="str">
        <f aca="false">IF($Y1577="","",MAX($AA$3:AA1576)+1)</f>
        <v/>
      </c>
      <c r="AB1577" s="40" t="str">
        <f aca="false">IF($F1577="","",$F1577&amp;"#"&amp;COUNTIF($F$4:$F1577,$F1577))</f>
        <v/>
      </c>
      <c r="AC1577" s="40" t="str">
        <f aca="false">IF($B1577="","",IF(AND(OR(CETAK!$J$10="",$F1577=CETAK!$J$10),OR(CETAK!$J$11="",$G1577=CETAK!$J$11),OR(CETAK!$J$12="",$P1577=CETAK!$J$12),OR(CETAK!$J$13="",$N1577=CETAK!$J$13),OR(CETAK!$J$14="",$T1577=CETAK!$J$14)),MAX($AC$3:AC1576)+1,""))</f>
        <v/>
      </c>
      <c r="AD1577" s="40" t="str">
        <f aca="false">IF($B1577="","",IF(AND(OR(ABSENSI!$H$10="",$F1577=ABSENSI!$H$10),OR(ABSENSI!$H$11="",$G1577=ABSENSI!$H$11),OR(ABSENSI!$H$12="",$P1577=ABSENSI!$H$12)),MAX($AD$3:AD1576)+1,""))</f>
        <v/>
      </c>
      <c r="AE1577" s="40" t="str">
        <f aca="false">IF($B1577="","",IF(AND(OR(KARTU!$K$6="",$F1577=KARTU!$K$6),OR(KARTU!$K$7="",$G1577=KARTU!$K$7),OR(KARTU!$K$8="",$P1577=KARTU!$K$8)),MAX($AE$3:AE1576)+1,""))</f>
        <v/>
      </c>
    </row>
    <row r="1578" customFormat="false" ht="15" hidden="false" customHeight="false" outlineLevel="0" collapsed="false">
      <c r="A1578" s="35" t="str">
        <f aca="false">IF($B1578="","",COUNTA($B$4:$B1578))</f>
        <v/>
      </c>
      <c r="B1578" s="36"/>
      <c r="C1578" s="37"/>
      <c r="D1578" s="37"/>
      <c r="E1578" s="38"/>
      <c r="F1578" s="36"/>
      <c r="G1578" s="39"/>
      <c r="H1578" s="39"/>
      <c r="I1578" s="36"/>
      <c r="J1578" s="36"/>
      <c r="K1578" s="36"/>
      <c r="L1578" s="36"/>
      <c r="M1578" s="40" t="str">
        <f aca="false">IF($F1578="","",$F1578&amp;IF($G1578="",""," - RT "&amp;$G1578&amp;IF($H1578="","","/"&amp;$H1578)))</f>
        <v/>
      </c>
      <c r="N1578" s="36"/>
      <c r="O1578" s="37"/>
      <c r="P1578" s="39"/>
      <c r="Q1578" s="41"/>
      <c r="R1578" s="35" t="str">
        <f aca="true">IF(OR($B1578="",$Q1578=""),"",DATEDIF($Q1578,TODAY(),"Y"))</f>
        <v/>
      </c>
      <c r="S1578" s="40" t="str">
        <f aca="false">IF($R1578="","",INDEX(usia_label,MATCH($R1578,usia_min,1)))</f>
        <v/>
      </c>
      <c r="T1578" s="36"/>
      <c r="U1578" s="41"/>
      <c r="V1578" s="36"/>
      <c r="W1578" s="36"/>
      <c r="X1578" s="40" t="str">
        <f aca="false">IF($M1578="","",$M1578&amp;"#"&amp;COUNTIF($M$4:$M1578,$M1578))</f>
        <v/>
      </c>
      <c r="Y1578" s="40" t="str">
        <f aca="false">IF($B1578="","",IF($C1578="","NIK kosong",IF(LEN($C1578)&lt;&gt;16,"NIK bukan 16 digit",IF(COUNTIF($C$4:$C$2003,$C1578&amp;"*")&gt;1,"NIK ganda",IF(AND($D1578&lt;&gt;"",LEN($D1578)&lt;&gt;16),"No. KK bukan 16 digit",IF(AND($F1578="",$I1578=""),"Alamat kosong",IF($N1578="","Jabatan kosong",IF($O1578="","No. HP kosong",IF(AND($R1578&lt;&gt;"",$R1578&lt;17),"Usia di bawah 17","")))))))))</f>
        <v/>
      </c>
      <c r="Z1578" s="40" t="str">
        <f aca="false">IF($B1578="","",IF(AND(OR(CARI!$C$5="",ISNUMBER(SEARCH(CARI!$C$5,$B1578&amp;" "&amp;$C1578&amp;" "&amp;$D1578&amp;" "&amp;$O1578&amp;" "&amp;$I1578&amp;" "&amp;$F1578&amp;" "&amp;$J1578&amp;" "&amp;$K1578&amp;" "&amp;$L1578&amp;" "&amp;$V1578))),OR(CARI!$C$6="",$F1578=CARI!$C$6),OR(CARI!$C$7="",$G1578=CARI!$C$7),OR(CARI!$C$8="",$T1578=CARI!$C$8)),MAX($Z$3:Z1577)+1,""))</f>
        <v/>
      </c>
      <c r="AA1578" s="40" t="str">
        <f aca="false">IF($Y1578="","",MAX($AA$3:AA1577)+1)</f>
        <v/>
      </c>
      <c r="AB1578" s="40" t="str">
        <f aca="false">IF($F1578="","",$F1578&amp;"#"&amp;COUNTIF($F$4:$F1578,$F1578))</f>
        <v/>
      </c>
      <c r="AC1578" s="40" t="str">
        <f aca="false">IF($B1578="","",IF(AND(OR(CETAK!$J$10="",$F1578=CETAK!$J$10),OR(CETAK!$J$11="",$G1578=CETAK!$J$11),OR(CETAK!$J$12="",$P1578=CETAK!$J$12),OR(CETAK!$J$13="",$N1578=CETAK!$J$13),OR(CETAK!$J$14="",$T1578=CETAK!$J$14)),MAX($AC$3:AC1577)+1,""))</f>
        <v/>
      </c>
      <c r="AD1578" s="40" t="str">
        <f aca="false">IF($B1578="","",IF(AND(OR(ABSENSI!$H$10="",$F1578=ABSENSI!$H$10),OR(ABSENSI!$H$11="",$G1578=ABSENSI!$H$11),OR(ABSENSI!$H$12="",$P1578=ABSENSI!$H$12)),MAX($AD$3:AD1577)+1,""))</f>
        <v/>
      </c>
      <c r="AE1578" s="40" t="str">
        <f aca="false">IF($B1578="","",IF(AND(OR(KARTU!$K$6="",$F1578=KARTU!$K$6),OR(KARTU!$K$7="",$G1578=KARTU!$K$7),OR(KARTU!$K$8="",$P1578=KARTU!$K$8)),MAX($AE$3:AE1577)+1,""))</f>
        <v/>
      </c>
    </row>
    <row r="1579" customFormat="false" ht="15" hidden="false" customHeight="false" outlineLevel="0" collapsed="false">
      <c r="A1579" s="35" t="str">
        <f aca="false">IF($B1579="","",COUNTA($B$4:$B1579))</f>
        <v/>
      </c>
      <c r="B1579" s="36"/>
      <c r="C1579" s="37"/>
      <c r="D1579" s="37"/>
      <c r="E1579" s="38"/>
      <c r="F1579" s="36"/>
      <c r="G1579" s="39"/>
      <c r="H1579" s="39"/>
      <c r="I1579" s="36"/>
      <c r="J1579" s="36"/>
      <c r="K1579" s="36"/>
      <c r="L1579" s="36"/>
      <c r="M1579" s="40" t="str">
        <f aca="false">IF($F1579="","",$F1579&amp;IF($G1579="",""," - RT "&amp;$G1579&amp;IF($H1579="","","/"&amp;$H1579)))</f>
        <v/>
      </c>
      <c r="N1579" s="36"/>
      <c r="O1579" s="37"/>
      <c r="P1579" s="39"/>
      <c r="Q1579" s="41"/>
      <c r="R1579" s="35" t="str">
        <f aca="true">IF(OR($B1579="",$Q1579=""),"",DATEDIF($Q1579,TODAY(),"Y"))</f>
        <v/>
      </c>
      <c r="S1579" s="40" t="str">
        <f aca="false">IF($R1579="","",INDEX(usia_label,MATCH($R1579,usia_min,1)))</f>
        <v/>
      </c>
      <c r="T1579" s="36"/>
      <c r="U1579" s="41"/>
      <c r="V1579" s="36"/>
      <c r="W1579" s="36"/>
      <c r="X1579" s="40" t="str">
        <f aca="false">IF($M1579="","",$M1579&amp;"#"&amp;COUNTIF($M$4:$M1579,$M1579))</f>
        <v/>
      </c>
      <c r="Y1579" s="40" t="str">
        <f aca="false">IF($B1579="","",IF($C1579="","NIK kosong",IF(LEN($C1579)&lt;&gt;16,"NIK bukan 16 digit",IF(COUNTIF($C$4:$C$2003,$C1579&amp;"*")&gt;1,"NIK ganda",IF(AND($D1579&lt;&gt;"",LEN($D1579)&lt;&gt;16),"No. KK bukan 16 digit",IF(AND($F1579="",$I1579=""),"Alamat kosong",IF($N1579="","Jabatan kosong",IF($O1579="","No. HP kosong",IF(AND($R1579&lt;&gt;"",$R1579&lt;17),"Usia di bawah 17","")))))))))</f>
        <v/>
      </c>
      <c r="Z1579" s="40" t="str">
        <f aca="false">IF($B1579="","",IF(AND(OR(CARI!$C$5="",ISNUMBER(SEARCH(CARI!$C$5,$B1579&amp;" "&amp;$C1579&amp;" "&amp;$D1579&amp;" "&amp;$O1579&amp;" "&amp;$I1579&amp;" "&amp;$F1579&amp;" "&amp;$J1579&amp;" "&amp;$K1579&amp;" "&amp;$L1579&amp;" "&amp;$V1579))),OR(CARI!$C$6="",$F1579=CARI!$C$6),OR(CARI!$C$7="",$G1579=CARI!$C$7),OR(CARI!$C$8="",$T1579=CARI!$C$8)),MAX($Z$3:Z1578)+1,""))</f>
        <v/>
      </c>
      <c r="AA1579" s="40" t="str">
        <f aca="false">IF($Y1579="","",MAX($AA$3:AA1578)+1)</f>
        <v/>
      </c>
      <c r="AB1579" s="40" t="str">
        <f aca="false">IF($F1579="","",$F1579&amp;"#"&amp;COUNTIF($F$4:$F1579,$F1579))</f>
        <v/>
      </c>
      <c r="AC1579" s="40" t="str">
        <f aca="false">IF($B1579="","",IF(AND(OR(CETAK!$J$10="",$F1579=CETAK!$J$10),OR(CETAK!$J$11="",$G1579=CETAK!$J$11),OR(CETAK!$J$12="",$P1579=CETAK!$J$12),OR(CETAK!$J$13="",$N1579=CETAK!$J$13),OR(CETAK!$J$14="",$T1579=CETAK!$J$14)),MAX($AC$3:AC1578)+1,""))</f>
        <v/>
      </c>
      <c r="AD1579" s="40" t="str">
        <f aca="false">IF($B1579="","",IF(AND(OR(ABSENSI!$H$10="",$F1579=ABSENSI!$H$10),OR(ABSENSI!$H$11="",$G1579=ABSENSI!$H$11),OR(ABSENSI!$H$12="",$P1579=ABSENSI!$H$12)),MAX($AD$3:AD1578)+1,""))</f>
        <v/>
      </c>
      <c r="AE1579" s="40" t="str">
        <f aca="false">IF($B1579="","",IF(AND(OR(KARTU!$K$6="",$F1579=KARTU!$K$6),OR(KARTU!$K$7="",$G1579=KARTU!$K$7),OR(KARTU!$K$8="",$P1579=KARTU!$K$8)),MAX($AE$3:AE1578)+1,""))</f>
        <v/>
      </c>
    </row>
    <row r="1580" customFormat="false" ht="15" hidden="false" customHeight="false" outlineLevel="0" collapsed="false">
      <c r="A1580" s="35" t="str">
        <f aca="false">IF($B1580="","",COUNTA($B$4:$B1580))</f>
        <v/>
      </c>
      <c r="B1580" s="36"/>
      <c r="C1580" s="37"/>
      <c r="D1580" s="37"/>
      <c r="E1580" s="38"/>
      <c r="F1580" s="36"/>
      <c r="G1580" s="39"/>
      <c r="H1580" s="39"/>
      <c r="I1580" s="36"/>
      <c r="J1580" s="36"/>
      <c r="K1580" s="36"/>
      <c r="L1580" s="36"/>
      <c r="M1580" s="40" t="str">
        <f aca="false">IF($F1580="","",$F1580&amp;IF($G1580="",""," - RT "&amp;$G1580&amp;IF($H1580="","","/"&amp;$H1580)))</f>
        <v/>
      </c>
      <c r="N1580" s="36"/>
      <c r="O1580" s="37"/>
      <c r="P1580" s="39"/>
      <c r="Q1580" s="41"/>
      <c r="R1580" s="35" t="str">
        <f aca="true">IF(OR($B1580="",$Q1580=""),"",DATEDIF($Q1580,TODAY(),"Y"))</f>
        <v/>
      </c>
      <c r="S1580" s="40" t="str">
        <f aca="false">IF($R1580="","",INDEX(usia_label,MATCH($R1580,usia_min,1)))</f>
        <v/>
      </c>
      <c r="T1580" s="36"/>
      <c r="U1580" s="41"/>
      <c r="V1580" s="36"/>
      <c r="W1580" s="36"/>
      <c r="X1580" s="40" t="str">
        <f aca="false">IF($M1580="","",$M1580&amp;"#"&amp;COUNTIF($M$4:$M1580,$M1580))</f>
        <v/>
      </c>
      <c r="Y1580" s="40" t="str">
        <f aca="false">IF($B1580="","",IF($C1580="","NIK kosong",IF(LEN($C1580)&lt;&gt;16,"NIK bukan 16 digit",IF(COUNTIF($C$4:$C$2003,$C1580&amp;"*")&gt;1,"NIK ganda",IF(AND($D1580&lt;&gt;"",LEN($D1580)&lt;&gt;16),"No. KK bukan 16 digit",IF(AND($F1580="",$I1580=""),"Alamat kosong",IF($N1580="","Jabatan kosong",IF($O1580="","No. HP kosong",IF(AND($R1580&lt;&gt;"",$R1580&lt;17),"Usia di bawah 17","")))))))))</f>
        <v/>
      </c>
      <c r="Z1580" s="40" t="str">
        <f aca="false">IF($B1580="","",IF(AND(OR(CARI!$C$5="",ISNUMBER(SEARCH(CARI!$C$5,$B1580&amp;" "&amp;$C1580&amp;" "&amp;$D1580&amp;" "&amp;$O1580&amp;" "&amp;$I1580&amp;" "&amp;$F1580&amp;" "&amp;$J1580&amp;" "&amp;$K1580&amp;" "&amp;$L1580&amp;" "&amp;$V1580))),OR(CARI!$C$6="",$F1580=CARI!$C$6),OR(CARI!$C$7="",$G1580=CARI!$C$7),OR(CARI!$C$8="",$T1580=CARI!$C$8)),MAX($Z$3:Z1579)+1,""))</f>
        <v/>
      </c>
      <c r="AA1580" s="40" t="str">
        <f aca="false">IF($Y1580="","",MAX($AA$3:AA1579)+1)</f>
        <v/>
      </c>
      <c r="AB1580" s="40" t="str">
        <f aca="false">IF($F1580="","",$F1580&amp;"#"&amp;COUNTIF($F$4:$F1580,$F1580))</f>
        <v/>
      </c>
      <c r="AC1580" s="40" t="str">
        <f aca="false">IF($B1580="","",IF(AND(OR(CETAK!$J$10="",$F1580=CETAK!$J$10),OR(CETAK!$J$11="",$G1580=CETAK!$J$11),OR(CETAK!$J$12="",$P1580=CETAK!$J$12),OR(CETAK!$J$13="",$N1580=CETAK!$J$13),OR(CETAK!$J$14="",$T1580=CETAK!$J$14)),MAX($AC$3:AC1579)+1,""))</f>
        <v/>
      </c>
      <c r="AD1580" s="40" t="str">
        <f aca="false">IF($B1580="","",IF(AND(OR(ABSENSI!$H$10="",$F1580=ABSENSI!$H$10),OR(ABSENSI!$H$11="",$G1580=ABSENSI!$H$11),OR(ABSENSI!$H$12="",$P1580=ABSENSI!$H$12)),MAX($AD$3:AD1579)+1,""))</f>
        <v/>
      </c>
      <c r="AE1580" s="40" t="str">
        <f aca="false">IF($B1580="","",IF(AND(OR(KARTU!$K$6="",$F1580=KARTU!$K$6),OR(KARTU!$K$7="",$G1580=KARTU!$K$7),OR(KARTU!$K$8="",$P1580=KARTU!$K$8)),MAX($AE$3:AE1579)+1,""))</f>
        <v/>
      </c>
    </row>
    <row r="1581" customFormat="false" ht="15" hidden="false" customHeight="false" outlineLevel="0" collapsed="false">
      <c r="A1581" s="35" t="str">
        <f aca="false">IF($B1581="","",COUNTA($B$4:$B1581))</f>
        <v/>
      </c>
      <c r="B1581" s="36"/>
      <c r="C1581" s="37"/>
      <c r="D1581" s="37"/>
      <c r="E1581" s="38"/>
      <c r="F1581" s="36"/>
      <c r="G1581" s="39"/>
      <c r="H1581" s="39"/>
      <c r="I1581" s="36"/>
      <c r="J1581" s="36"/>
      <c r="K1581" s="36"/>
      <c r="L1581" s="36"/>
      <c r="M1581" s="40" t="str">
        <f aca="false">IF($F1581="","",$F1581&amp;IF($G1581="",""," - RT "&amp;$G1581&amp;IF($H1581="","","/"&amp;$H1581)))</f>
        <v/>
      </c>
      <c r="N1581" s="36"/>
      <c r="O1581" s="37"/>
      <c r="P1581" s="39"/>
      <c r="Q1581" s="41"/>
      <c r="R1581" s="35" t="str">
        <f aca="true">IF(OR($B1581="",$Q1581=""),"",DATEDIF($Q1581,TODAY(),"Y"))</f>
        <v/>
      </c>
      <c r="S1581" s="40" t="str">
        <f aca="false">IF($R1581="","",INDEX(usia_label,MATCH($R1581,usia_min,1)))</f>
        <v/>
      </c>
      <c r="T1581" s="36"/>
      <c r="U1581" s="41"/>
      <c r="V1581" s="36"/>
      <c r="W1581" s="36"/>
      <c r="X1581" s="40" t="str">
        <f aca="false">IF($M1581="","",$M1581&amp;"#"&amp;COUNTIF($M$4:$M1581,$M1581))</f>
        <v/>
      </c>
      <c r="Y1581" s="40" t="str">
        <f aca="false">IF($B1581="","",IF($C1581="","NIK kosong",IF(LEN($C1581)&lt;&gt;16,"NIK bukan 16 digit",IF(COUNTIF($C$4:$C$2003,$C1581&amp;"*")&gt;1,"NIK ganda",IF(AND($D1581&lt;&gt;"",LEN($D1581)&lt;&gt;16),"No. KK bukan 16 digit",IF(AND($F1581="",$I1581=""),"Alamat kosong",IF($N1581="","Jabatan kosong",IF($O1581="","No. HP kosong",IF(AND($R1581&lt;&gt;"",$R1581&lt;17),"Usia di bawah 17","")))))))))</f>
        <v/>
      </c>
      <c r="Z1581" s="40" t="str">
        <f aca="false">IF($B1581="","",IF(AND(OR(CARI!$C$5="",ISNUMBER(SEARCH(CARI!$C$5,$B1581&amp;" "&amp;$C1581&amp;" "&amp;$D1581&amp;" "&amp;$O1581&amp;" "&amp;$I1581&amp;" "&amp;$F1581&amp;" "&amp;$J1581&amp;" "&amp;$K1581&amp;" "&amp;$L1581&amp;" "&amp;$V1581))),OR(CARI!$C$6="",$F1581=CARI!$C$6),OR(CARI!$C$7="",$G1581=CARI!$C$7),OR(CARI!$C$8="",$T1581=CARI!$C$8)),MAX($Z$3:Z1580)+1,""))</f>
        <v/>
      </c>
      <c r="AA1581" s="40" t="str">
        <f aca="false">IF($Y1581="","",MAX($AA$3:AA1580)+1)</f>
        <v/>
      </c>
      <c r="AB1581" s="40" t="str">
        <f aca="false">IF($F1581="","",$F1581&amp;"#"&amp;COUNTIF($F$4:$F1581,$F1581))</f>
        <v/>
      </c>
      <c r="AC1581" s="40" t="str">
        <f aca="false">IF($B1581="","",IF(AND(OR(CETAK!$J$10="",$F1581=CETAK!$J$10),OR(CETAK!$J$11="",$G1581=CETAK!$J$11),OR(CETAK!$J$12="",$P1581=CETAK!$J$12),OR(CETAK!$J$13="",$N1581=CETAK!$J$13),OR(CETAK!$J$14="",$T1581=CETAK!$J$14)),MAX($AC$3:AC1580)+1,""))</f>
        <v/>
      </c>
      <c r="AD1581" s="40" t="str">
        <f aca="false">IF($B1581="","",IF(AND(OR(ABSENSI!$H$10="",$F1581=ABSENSI!$H$10),OR(ABSENSI!$H$11="",$G1581=ABSENSI!$H$11),OR(ABSENSI!$H$12="",$P1581=ABSENSI!$H$12)),MAX($AD$3:AD1580)+1,""))</f>
        <v/>
      </c>
      <c r="AE1581" s="40" t="str">
        <f aca="false">IF($B1581="","",IF(AND(OR(KARTU!$K$6="",$F1581=KARTU!$K$6),OR(KARTU!$K$7="",$G1581=KARTU!$K$7),OR(KARTU!$K$8="",$P1581=KARTU!$K$8)),MAX($AE$3:AE1580)+1,""))</f>
        <v/>
      </c>
    </row>
    <row r="1582" customFormat="false" ht="15" hidden="false" customHeight="false" outlineLevel="0" collapsed="false">
      <c r="A1582" s="35" t="str">
        <f aca="false">IF($B1582="","",COUNTA($B$4:$B1582))</f>
        <v/>
      </c>
      <c r="B1582" s="36"/>
      <c r="C1582" s="37"/>
      <c r="D1582" s="37"/>
      <c r="E1582" s="38"/>
      <c r="F1582" s="36"/>
      <c r="G1582" s="39"/>
      <c r="H1582" s="39"/>
      <c r="I1582" s="36"/>
      <c r="J1582" s="36"/>
      <c r="K1582" s="36"/>
      <c r="L1582" s="36"/>
      <c r="M1582" s="40" t="str">
        <f aca="false">IF($F1582="","",$F1582&amp;IF($G1582="",""," - RT "&amp;$G1582&amp;IF($H1582="","","/"&amp;$H1582)))</f>
        <v/>
      </c>
      <c r="N1582" s="36"/>
      <c r="O1582" s="37"/>
      <c r="P1582" s="39"/>
      <c r="Q1582" s="41"/>
      <c r="R1582" s="35" t="str">
        <f aca="true">IF(OR($B1582="",$Q1582=""),"",DATEDIF($Q1582,TODAY(),"Y"))</f>
        <v/>
      </c>
      <c r="S1582" s="40" t="str">
        <f aca="false">IF($R1582="","",INDEX(usia_label,MATCH($R1582,usia_min,1)))</f>
        <v/>
      </c>
      <c r="T1582" s="36"/>
      <c r="U1582" s="41"/>
      <c r="V1582" s="36"/>
      <c r="W1582" s="36"/>
      <c r="X1582" s="40" t="str">
        <f aca="false">IF($M1582="","",$M1582&amp;"#"&amp;COUNTIF($M$4:$M1582,$M1582))</f>
        <v/>
      </c>
      <c r="Y1582" s="40" t="str">
        <f aca="false">IF($B1582="","",IF($C1582="","NIK kosong",IF(LEN($C1582)&lt;&gt;16,"NIK bukan 16 digit",IF(COUNTIF($C$4:$C$2003,$C1582&amp;"*")&gt;1,"NIK ganda",IF(AND($D1582&lt;&gt;"",LEN($D1582)&lt;&gt;16),"No. KK bukan 16 digit",IF(AND($F1582="",$I1582=""),"Alamat kosong",IF($N1582="","Jabatan kosong",IF($O1582="","No. HP kosong",IF(AND($R1582&lt;&gt;"",$R1582&lt;17),"Usia di bawah 17","")))))))))</f>
        <v/>
      </c>
      <c r="Z1582" s="40" t="str">
        <f aca="false">IF($B1582="","",IF(AND(OR(CARI!$C$5="",ISNUMBER(SEARCH(CARI!$C$5,$B1582&amp;" "&amp;$C1582&amp;" "&amp;$D1582&amp;" "&amp;$O1582&amp;" "&amp;$I1582&amp;" "&amp;$F1582&amp;" "&amp;$J1582&amp;" "&amp;$K1582&amp;" "&amp;$L1582&amp;" "&amp;$V1582))),OR(CARI!$C$6="",$F1582=CARI!$C$6),OR(CARI!$C$7="",$G1582=CARI!$C$7),OR(CARI!$C$8="",$T1582=CARI!$C$8)),MAX($Z$3:Z1581)+1,""))</f>
        <v/>
      </c>
      <c r="AA1582" s="40" t="str">
        <f aca="false">IF($Y1582="","",MAX($AA$3:AA1581)+1)</f>
        <v/>
      </c>
      <c r="AB1582" s="40" t="str">
        <f aca="false">IF($F1582="","",$F1582&amp;"#"&amp;COUNTIF($F$4:$F1582,$F1582))</f>
        <v/>
      </c>
      <c r="AC1582" s="40" t="str">
        <f aca="false">IF($B1582="","",IF(AND(OR(CETAK!$J$10="",$F1582=CETAK!$J$10),OR(CETAK!$J$11="",$G1582=CETAK!$J$11),OR(CETAK!$J$12="",$P1582=CETAK!$J$12),OR(CETAK!$J$13="",$N1582=CETAK!$J$13),OR(CETAK!$J$14="",$T1582=CETAK!$J$14)),MAX($AC$3:AC1581)+1,""))</f>
        <v/>
      </c>
      <c r="AD1582" s="40" t="str">
        <f aca="false">IF($B1582="","",IF(AND(OR(ABSENSI!$H$10="",$F1582=ABSENSI!$H$10),OR(ABSENSI!$H$11="",$G1582=ABSENSI!$H$11),OR(ABSENSI!$H$12="",$P1582=ABSENSI!$H$12)),MAX($AD$3:AD1581)+1,""))</f>
        <v/>
      </c>
      <c r="AE1582" s="40" t="str">
        <f aca="false">IF($B1582="","",IF(AND(OR(KARTU!$K$6="",$F1582=KARTU!$K$6),OR(KARTU!$K$7="",$G1582=KARTU!$K$7),OR(KARTU!$K$8="",$P1582=KARTU!$K$8)),MAX($AE$3:AE1581)+1,""))</f>
        <v/>
      </c>
    </row>
    <row r="1583" customFormat="false" ht="15" hidden="false" customHeight="false" outlineLevel="0" collapsed="false">
      <c r="A1583" s="35" t="str">
        <f aca="false">IF($B1583="","",COUNTA($B$4:$B1583))</f>
        <v/>
      </c>
      <c r="B1583" s="36"/>
      <c r="C1583" s="37"/>
      <c r="D1583" s="37"/>
      <c r="E1583" s="38"/>
      <c r="F1583" s="36"/>
      <c r="G1583" s="39"/>
      <c r="H1583" s="39"/>
      <c r="I1583" s="36"/>
      <c r="J1583" s="36"/>
      <c r="K1583" s="36"/>
      <c r="L1583" s="36"/>
      <c r="M1583" s="40" t="str">
        <f aca="false">IF($F1583="","",$F1583&amp;IF($G1583="",""," - RT "&amp;$G1583&amp;IF($H1583="","","/"&amp;$H1583)))</f>
        <v/>
      </c>
      <c r="N1583" s="36"/>
      <c r="O1583" s="37"/>
      <c r="P1583" s="39"/>
      <c r="Q1583" s="41"/>
      <c r="R1583" s="35" t="str">
        <f aca="true">IF(OR($B1583="",$Q1583=""),"",DATEDIF($Q1583,TODAY(),"Y"))</f>
        <v/>
      </c>
      <c r="S1583" s="40" t="str">
        <f aca="false">IF($R1583="","",INDEX(usia_label,MATCH($R1583,usia_min,1)))</f>
        <v/>
      </c>
      <c r="T1583" s="36"/>
      <c r="U1583" s="41"/>
      <c r="V1583" s="36"/>
      <c r="W1583" s="36"/>
      <c r="X1583" s="40" t="str">
        <f aca="false">IF($M1583="","",$M1583&amp;"#"&amp;COUNTIF($M$4:$M1583,$M1583))</f>
        <v/>
      </c>
      <c r="Y1583" s="40" t="str">
        <f aca="false">IF($B1583="","",IF($C1583="","NIK kosong",IF(LEN($C1583)&lt;&gt;16,"NIK bukan 16 digit",IF(COUNTIF($C$4:$C$2003,$C1583&amp;"*")&gt;1,"NIK ganda",IF(AND($D1583&lt;&gt;"",LEN($D1583)&lt;&gt;16),"No. KK bukan 16 digit",IF(AND($F1583="",$I1583=""),"Alamat kosong",IF($N1583="","Jabatan kosong",IF($O1583="","No. HP kosong",IF(AND($R1583&lt;&gt;"",$R1583&lt;17),"Usia di bawah 17","")))))))))</f>
        <v/>
      </c>
      <c r="Z1583" s="40" t="str">
        <f aca="false">IF($B1583="","",IF(AND(OR(CARI!$C$5="",ISNUMBER(SEARCH(CARI!$C$5,$B1583&amp;" "&amp;$C1583&amp;" "&amp;$D1583&amp;" "&amp;$O1583&amp;" "&amp;$I1583&amp;" "&amp;$F1583&amp;" "&amp;$J1583&amp;" "&amp;$K1583&amp;" "&amp;$L1583&amp;" "&amp;$V1583))),OR(CARI!$C$6="",$F1583=CARI!$C$6),OR(CARI!$C$7="",$G1583=CARI!$C$7),OR(CARI!$C$8="",$T1583=CARI!$C$8)),MAX($Z$3:Z1582)+1,""))</f>
        <v/>
      </c>
      <c r="AA1583" s="40" t="str">
        <f aca="false">IF($Y1583="","",MAX($AA$3:AA1582)+1)</f>
        <v/>
      </c>
      <c r="AB1583" s="40" t="str">
        <f aca="false">IF($F1583="","",$F1583&amp;"#"&amp;COUNTIF($F$4:$F1583,$F1583))</f>
        <v/>
      </c>
      <c r="AC1583" s="40" t="str">
        <f aca="false">IF($B1583="","",IF(AND(OR(CETAK!$J$10="",$F1583=CETAK!$J$10),OR(CETAK!$J$11="",$G1583=CETAK!$J$11),OR(CETAK!$J$12="",$P1583=CETAK!$J$12),OR(CETAK!$J$13="",$N1583=CETAK!$J$13),OR(CETAK!$J$14="",$T1583=CETAK!$J$14)),MAX($AC$3:AC1582)+1,""))</f>
        <v/>
      </c>
      <c r="AD1583" s="40" t="str">
        <f aca="false">IF($B1583="","",IF(AND(OR(ABSENSI!$H$10="",$F1583=ABSENSI!$H$10),OR(ABSENSI!$H$11="",$G1583=ABSENSI!$H$11),OR(ABSENSI!$H$12="",$P1583=ABSENSI!$H$12)),MAX($AD$3:AD1582)+1,""))</f>
        <v/>
      </c>
      <c r="AE1583" s="40" t="str">
        <f aca="false">IF($B1583="","",IF(AND(OR(KARTU!$K$6="",$F1583=KARTU!$K$6),OR(KARTU!$K$7="",$G1583=KARTU!$K$7),OR(KARTU!$K$8="",$P1583=KARTU!$K$8)),MAX($AE$3:AE1582)+1,""))</f>
        <v/>
      </c>
    </row>
    <row r="1584" customFormat="false" ht="15" hidden="false" customHeight="false" outlineLevel="0" collapsed="false">
      <c r="A1584" s="35" t="str">
        <f aca="false">IF($B1584="","",COUNTA($B$4:$B1584))</f>
        <v/>
      </c>
      <c r="B1584" s="36"/>
      <c r="C1584" s="37"/>
      <c r="D1584" s="37"/>
      <c r="E1584" s="38"/>
      <c r="F1584" s="36"/>
      <c r="G1584" s="39"/>
      <c r="H1584" s="39"/>
      <c r="I1584" s="36"/>
      <c r="J1584" s="36"/>
      <c r="K1584" s="36"/>
      <c r="L1584" s="36"/>
      <c r="M1584" s="40" t="str">
        <f aca="false">IF($F1584="","",$F1584&amp;IF($G1584="",""," - RT "&amp;$G1584&amp;IF($H1584="","","/"&amp;$H1584)))</f>
        <v/>
      </c>
      <c r="N1584" s="36"/>
      <c r="O1584" s="37"/>
      <c r="P1584" s="39"/>
      <c r="Q1584" s="41"/>
      <c r="R1584" s="35" t="str">
        <f aca="true">IF(OR($B1584="",$Q1584=""),"",DATEDIF($Q1584,TODAY(),"Y"))</f>
        <v/>
      </c>
      <c r="S1584" s="40" t="str">
        <f aca="false">IF($R1584="","",INDEX(usia_label,MATCH($R1584,usia_min,1)))</f>
        <v/>
      </c>
      <c r="T1584" s="36"/>
      <c r="U1584" s="41"/>
      <c r="V1584" s="36"/>
      <c r="W1584" s="36"/>
      <c r="X1584" s="40" t="str">
        <f aca="false">IF($M1584="","",$M1584&amp;"#"&amp;COUNTIF($M$4:$M1584,$M1584))</f>
        <v/>
      </c>
      <c r="Y1584" s="40" t="str">
        <f aca="false">IF($B1584="","",IF($C1584="","NIK kosong",IF(LEN($C1584)&lt;&gt;16,"NIK bukan 16 digit",IF(COUNTIF($C$4:$C$2003,$C1584&amp;"*")&gt;1,"NIK ganda",IF(AND($D1584&lt;&gt;"",LEN($D1584)&lt;&gt;16),"No. KK bukan 16 digit",IF(AND($F1584="",$I1584=""),"Alamat kosong",IF($N1584="","Jabatan kosong",IF($O1584="","No. HP kosong",IF(AND($R1584&lt;&gt;"",$R1584&lt;17),"Usia di bawah 17","")))))))))</f>
        <v/>
      </c>
      <c r="Z1584" s="40" t="str">
        <f aca="false">IF($B1584="","",IF(AND(OR(CARI!$C$5="",ISNUMBER(SEARCH(CARI!$C$5,$B1584&amp;" "&amp;$C1584&amp;" "&amp;$D1584&amp;" "&amp;$O1584&amp;" "&amp;$I1584&amp;" "&amp;$F1584&amp;" "&amp;$J1584&amp;" "&amp;$K1584&amp;" "&amp;$L1584&amp;" "&amp;$V1584))),OR(CARI!$C$6="",$F1584=CARI!$C$6),OR(CARI!$C$7="",$G1584=CARI!$C$7),OR(CARI!$C$8="",$T1584=CARI!$C$8)),MAX($Z$3:Z1583)+1,""))</f>
        <v/>
      </c>
      <c r="AA1584" s="40" t="str">
        <f aca="false">IF($Y1584="","",MAX($AA$3:AA1583)+1)</f>
        <v/>
      </c>
      <c r="AB1584" s="40" t="str">
        <f aca="false">IF($F1584="","",$F1584&amp;"#"&amp;COUNTIF($F$4:$F1584,$F1584))</f>
        <v/>
      </c>
      <c r="AC1584" s="40" t="str">
        <f aca="false">IF($B1584="","",IF(AND(OR(CETAK!$J$10="",$F1584=CETAK!$J$10),OR(CETAK!$J$11="",$G1584=CETAK!$J$11),OR(CETAK!$J$12="",$P1584=CETAK!$J$12),OR(CETAK!$J$13="",$N1584=CETAK!$J$13),OR(CETAK!$J$14="",$T1584=CETAK!$J$14)),MAX($AC$3:AC1583)+1,""))</f>
        <v/>
      </c>
      <c r="AD1584" s="40" t="str">
        <f aca="false">IF($B1584="","",IF(AND(OR(ABSENSI!$H$10="",$F1584=ABSENSI!$H$10),OR(ABSENSI!$H$11="",$G1584=ABSENSI!$H$11),OR(ABSENSI!$H$12="",$P1584=ABSENSI!$H$12)),MAX($AD$3:AD1583)+1,""))</f>
        <v/>
      </c>
      <c r="AE1584" s="40" t="str">
        <f aca="false">IF($B1584="","",IF(AND(OR(KARTU!$K$6="",$F1584=KARTU!$K$6),OR(KARTU!$K$7="",$G1584=KARTU!$K$7),OR(KARTU!$K$8="",$P1584=KARTU!$K$8)),MAX($AE$3:AE1583)+1,""))</f>
        <v/>
      </c>
    </row>
    <row r="1585" customFormat="false" ht="15" hidden="false" customHeight="false" outlineLevel="0" collapsed="false">
      <c r="A1585" s="35" t="str">
        <f aca="false">IF($B1585="","",COUNTA($B$4:$B1585))</f>
        <v/>
      </c>
      <c r="B1585" s="36"/>
      <c r="C1585" s="37"/>
      <c r="D1585" s="37"/>
      <c r="E1585" s="38"/>
      <c r="F1585" s="36"/>
      <c r="G1585" s="39"/>
      <c r="H1585" s="39"/>
      <c r="I1585" s="36"/>
      <c r="J1585" s="36"/>
      <c r="K1585" s="36"/>
      <c r="L1585" s="36"/>
      <c r="M1585" s="40" t="str">
        <f aca="false">IF($F1585="","",$F1585&amp;IF($G1585="",""," - RT "&amp;$G1585&amp;IF($H1585="","","/"&amp;$H1585)))</f>
        <v/>
      </c>
      <c r="N1585" s="36"/>
      <c r="O1585" s="37"/>
      <c r="P1585" s="39"/>
      <c r="Q1585" s="41"/>
      <c r="R1585" s="35" t="str">
        <f aca="true">IF(OR($B1585="",$Q1585=""),"",DATEDIF($Q1585,TODAY(),"Y"))</f>
        <v/>
      </c>
      <c r="S1585" s="40" t="str">
        <f aca="false">IF($R1585="","",INDEX(usia_label,MATCH($R1585,usia_min,1)))</f>
        <v/>
      </c>
      <c r="T1585" s="36"/>
      <c r="U1585" s="41"/>
      <c r="V1585" s="36"/>
      <c r="W1585" s="36"/>
      <c r="X1585" s="40" t="str">
        <f aca="false">IF($M1585="","",$M1585&amp;"#"&amp;COUNTIF($M$4:$M1585,$M1585))</f>
        <v/>
      </c>
      <c r="Y1585" s="40" t="str">
        <f aca="false">IF($B1585="","",IF($C1585="","NIK kosong",IF(LEN($C1585)&lt;&gt;16,"NIK bukan 16 digit",IF(COUNTIF($C$4:$C$2003,$C1585&amp;"*")&gt;1,"NIK ganda",IF(AND($D1585&lt;&gt;"",LEN($D1585)&lt;&gt;16),"No. KK bukan 16 digit",IF(AND($F1585="",$I1585=""),"Alamat kosong",IF($N1585="","Jabatan kosong",IF($O1585="","No. HP kosong",IF(AND($R1585&lt;&gt;"",$R1585&lt;17),"Usia di bawah 17","")))))))))</f>
        <v/>
      </c>
      <c r="Z1585" s="40" t="str">
        <f aca="false">IF($B1585="","",IF(AND(OR(CARI!$C$5="",ISNUMBER(SEARCH(CARI!$C$5,$B1585&amp;" "&amp;$C1585&amp;" "&amp;$D1585&amp;" "&amp;$O1585&amp;" "&amp;$I1585&amp;" "&amp;$F1585&amp;" "&amp;$J1585&amp;" "&amp;$K1585&amp;" "&amp;$L1585&amp;" "&amp;$V1585))),OR(CARI!$C$6="",$F1585=CARI!$C$6),OR(CARI!$C$7="",$G1585=CARI!$C$7),OR(CARI!$C$8="",$T1585=CARI!$C$8)),MAX($Z$3:Z1584)+1,""))</f>
        <v/>
      </c>
      <c r="AA1585" s="40" t="str">
        <f aca="false">IF($Y1585="","",MAX($AA$3:AA1584)+1)</f>
        <v/>
      </c>
      <c r="AB1585" s="40" t="str">
        <f aca="false">IF($F1585="","",$F1585&amp;"#"&amp;COUNTIF($F$4:$F1585,$F1585))</f>
        <v/>
      </c>
      <c r="AC1585" s="40" t="str">
        <f aca="false">IF($B1585="","",IF(AND(OR(CETAK!$J$10="",$F1585=CETAK!$J$10),OR(CETAK!$J$11="",$G1585=CETAK!$J$11),OR(CETAK!$J$12="",$P1585=CETAK!$J$12),OR(CETAK!$J$13="",$N1585=CETAK!$J$13),OR(CETAK!$J$14="",$T1585=CETAK!$J$14)),MAX($AC$3:AC1584)+1,""))</f>
        <v/>
      </c>
      <c r="AD1585" s="40" t="str">
        <f aca="false">IF($B1585="","",IF(AND(OR(ABSENSI!$H$10="",$F1585=ABSENSI!$H$10),OR(ABSENSI!$H$11="",$G1585=ABSENSI!$H$11),OR(ABSENSI!$H$12="",$P1585=ABSENSI!$H$12)),MAX($AD$3:AD1584)+1,""))</f>
        <v/>
      </c>
      <c r="AE1585" s="40" t="str">
        <f aca="false">IF($B1585="","",IF(AND(OR(KARTU!$K$6="",$F1585=KARTU!$K$6),OR(KARTU!$K$7="",$G1585=KARTU!$K$7),OR(KARTU!$K$8="",$P1585=KARTU!$K$8)),MAX($AE$3:AE1584)+1,""))</f>
        <v/>
      </c>
    </row>
    <row r="1586" customFormat="false" ht="15" hidden="false" customHeight="false" outlineLevel="0" collapsed="false">
      <c r="A1586" s="35" t="str">
        <f aca="false">IF($B1586="","",COUNTA($B$4:$B1586))</f>
        <v/>
      </c>
      <c r="B1586" s="36"/>
      <c r="C1586" s="37"/>
      <c r="D1586" s="37"/>
      <c r="E1586" s="38"/>
      <c r="F1586" s="36"/>
      <c r="G1586" s="39"/>
      <c r="H1586" s="39"/>
      <c r="I1586" s="36"/>
      <c r="J1586" s="36"/>
      <c r="K1586" s="36"/>
      <c r="L1586" s="36"/>
      <c r="M1586" s="40" t="str">
        <f aca="false">IF($F1586="","",$F1586&amp;IF($G1586="",""," - RT "&amp;$G1586&amp;IF($H1586="","","/"&amp;$H1586)))</f>
        <v/>
      </c>
      <c r="N1586" s="36"/>
      <c r="O1586" s="37"/>
      <c r="P1586" s="39"/>
      <c r="Q1586" s="41"/>
      <c r="R1586" s="35" t="str">
        <f aca="true">IF(OR($B1586="",$Q1586=""),"",DATEDIF($Q1586,TODAY(),"Y"))</f>
        <v/>
      </c>
      <c r="S1586" s="40" t="str">
        <f aca="false">IF($R1586="","",INDEX(usia_label,MATCH($R1586,usia_min,1)))</f>
        <v/>
      </c>
      <c r="T1586" s="36"/>
      <c r="U1586" s="41"/>
      <c r="V1586" s="36"/>
      <c r="W1586" s="36"/>
      <c r="X1586" s="40" t="str">
        <f aca="false">IF($M1586="","",$M1586&amp;"#"&amp;COUNTIF($M$4:$M1586,$M1586))</f>
        <v/>
      </c>
      <c r="Y1586" s="40" t="str">
        <f aca="false">IF($B1586="","",IF($C1586="","NIK kosong",IF(LEN($C1586)&lt;&gt;16,"NIK bukan 16 digit",IF(COUNTIF($C$4:$C$2003,$C1586&amp;"*")&gt;1,"NIK ganda",IF(AND($D1586&lt;&gt;"",LEN($D1586)&lt;&gt;16),"No. KK bukan 16 digit",IF(AND($F1586="",$I1586=""),"Alamat kosong",IF($N1586="","Jabatan kosong",IF($O1586="","No. HP kosong",IF(AND($R1586&lt;&gt;"",$R1586&lt;17),"Usia di bawah 17","")))))))))</f>
        <v/>
      </c>
      <c r="Z1586" s="40" t="str">
        <f aca="false">IF($B1586="","",IF(AND(OR(CARI!$C$5="",ISNUMBER(SEARCH(CARI!$C$5,$B1586&amp;" "&amp;$C1586&amp;" "&amp;$D1586&amp;" "&amp;$O1586&amp;" "&amp;$I1586&amp;" "&amp;$F1586&amp;" "&amp;$J1586&amp;" "&amp;$K1586&amp;" "&amp;$L1586&amp;" "&amp;$V1586))),OR(CARI!$C$6="",$F1586=CARI!$C$6),OR(CARI!$C$7="",$G1586=CARI!$C$7),OR(CARI!$C$8="",$T1586=CARI!$C$8)),MAX($Z$3:Z1585)+1,""))</f>
        <v/>
      </c>
      <c r="AA1586" s="40" t="str">
        <f aca="false">IF($Y1586="","",MAX($AA$3:AA1585)+1)</f>
        <v/>
      </c>
      <c r="AB1586" s="40" t="str">
        <f aca="false">IF($F1586="","",$F1586&amp;"#"&amp;COUNTIF($F$4:$F1586,$F1586))</f>
        <v/>
      </c>
      <c r="AC1586" s="40" t="str">
        <f aca="false">IF($B1586="","",IF(AND(OR(CETAK!$J$10="",$F1586=CETAK!$J$10),OR(CETAK!$J$11="",$G1586=CETAK!$J$11),OR(CETAK!$J$12="",$P1586=CETAK!$J$12),OR(CETAK!$J$13="",$N1586=CETAK!$J$13),OR(CETAK!$J$14="",$T1586=CETAK!$J$14)),MAX($AC$3:AC1585)+1,""))</f>
        <v/>
      </c>
      <c r="AD1586" s="40" t="str">
        <f aca="false">IF($B1586="","",IF(AND(OR(ABSENSI!$H$10="",$F1586=ABSENSI!$H$10),OR(ABSENSI!$H$11="",$G1586=ABSENSI!$H$11),OR(ABSENSI!$H$12="",$P1586=ABSENSI!$H$12)),MAX($AD$3:AD1585)+1,""))</f>
        <v/>
      </c>
      <c r="AE1586" s="40" t="str">
        <f aca="false">IF($B1586="","",IF(AND(OR(KARTU!$K$6="",$F1586=KARTU!$K$6),OR(KARTU!$K$7="",$G1586=KARTU!$K$7),OR(KARTU!$K$8="",$P1586=KARTU!$K$8)),MAX($AE$3:AE1585)+1,""))</f>
        <v/>
      </c>
    </row>
    <row r="1587" customFormat="false" ht="15" hidden="false" customHeight="false" outlineLevel="0" collapsed="false">
      <c r="A1587" s="35" t="str">
        <f aca="false">IF($B1587="","",COUNTA($B$4:$B1587))</f>
        <v/>
      </c>
      <c r="B1587" s="36"/>
      <c r="C1587" s="37"/>
      <c r="D1587" s="37"/>
      <c r="E1587" s="38"/>
      <c r="F1587" s="36"/>
      <c r="G1587" s="39"/>
      <c r="H1587" s="39"/>
      <c r="I1587" s="36"/>
      <c r="J1587" s="36"/>
      <c r="K1587" s="36"/>
      <c r="L1587" s="36"/>
      <c r="M1587" s="40" t="str">
        <f aca="false">IF($F1587="","",$F1587&amp;IF($G1587="",""," - RT "&amp;$G1587&amp;IF($H1587="","","/"&amp;$H1587)))</f>
        <v/>
      </c>
      <c r="N1587" s="36"/>
      <c r="O1587" s="37"/>
      <c r="P1587" s="39"/>
      <c r="Q1587" s="41"/>
      <c r="R1587" s="35" t="str">
        <f aca="true">IF(OR($B1587="",$Q1587=""),"",DATEDIF($Q1587,TODAY(),"Y"))</f>
        <v/>
      </c>
      <c r="S1587" s="40" t="str">
        <f aca="false">IF($R1587="","",INDEX(usia_label,MATCH($R1587,usia_min,1)))</f>
        <v/>
      </c>
      <c r="T1587" s="36"/>
      <c r="U1587" s="41"/>
      <c r="V1587" s="36"/>
      <c r="W1587" s="36"/>
      <c r="X1587" s="40" t="str">
        <f aca="false">IF($M1587="","",$M1587&amp;"#"&amp;COUNTIF($M$4:$M1587,$M1587))</f>
        <v/>
      </c>
      <c r="Y1587" s="40" t="str">
        <f aca="false">IF($B1587="","",IF($C1587="","NIK kosong",IF(LEN($C1587)&lt;&gt;16,"NIK bukan 16 digit",IF(COUNTIF($C$4:$C$2003,$C1587&amp;"*")&gt;1,"NIK ganda",IF(AND($D1587&lt;&gt;"",LEN($D1587)&lt;&gt;16),"No. KK bukan 16 digit",IF(AND($F1587="",$I1587=""),"Alamat kosong",IF($N1587="","Jabatan kosong",IF($O1587="","No. HP kosong",IF(AND($R1587&lt;&gt;"",$R1587&lt;17),"Usia di bawah 17","")))))))))</f>
        <v/>
      </c>
      <c r="Z1587" s="40" t="str">
        <f aca="false">IF($B1587="","",IF(AND(OR(CARI!$C$5="",ISNUMBER(SEARCH(CARI!$C$5,$B1587&amp;" "&amp;$C1587&amp;" "&amp;$D1587&amp;" "&amp;$O1587&amp;" "&amp;$I1587&amp;" "&amp;$F1587&amp;" "&amp;$J1587&amp;" "&amp;$K1587&amp;" "&amp;$L1587&amp;" "&amp;$V1587))),OR(CARI!$C$6="",$F1587=CARI!$C$6),OR(CARI!$C$7="",$G1587=CARI!$C$7),OR(CARI!$C$8="",$T1587=CARI!$C$8)),MAX($Z$3:Z1586)+1,""))</f>
        <v/>
      </c>
      <c r="AA1587" s="40" t="str">
        <f aca="false">IF($Y1587="","",MAX($AA$3:AA1586)+1)</f>
        <v/>
      </c>
      <c r="AB1587" s="40" t="str">
        <f aca="false">IF($F1587="","",$F1587&amp;"#"&amp;COUNTIF($F$4:$F1587,$F1587))</f>
        <v/>
      </c>
      <c r="AC1587" s="40" t="str">
        <f aca="false">IF($B1587="","",IF(AND(OR(CETAK!$J$10="",$F1587=CETAK!$J$10),OR(CETAK!$J$11="",$G1587=CETAK!$J$11),OR(CETAK!$J$12="",$P1587=CETAK!$J$12),OR(CETAK!$J$13="",$N1587=CETAK!$J$13),OR(CETAK!$J$14="",$T1587=CETAK!$J$14)),MAX($AC$3:AC1586)+1,""))</f>
        <v/>
      </c>
      <c r="AD1587" s="40" t="str">
        <f aca="false">IF($B1587="","",IF(AND(OR(ABSENSI!$H$10="",$F1587=ABSENSI!$H$10),OR(ABSENSI!$H$11="",$G1587=ABSENSI!$H$11),OR(ABSENSI!$H$12="",$P1587=ABSENSI!$H$12)),MAX($AD$3:AD1586)+1,""))</f>
        <v/>
      </c>
      <c r="AE1587" s="40" t="str">
        <f aca="false">IF($B1587="","",IF(AND(OR(KARTU!$K$6="",$F1587=KARTU!$K$6),OR(KARTU!$K$7="",$G1587=KARTU!$K$7),OR(KARTU!$K$8="",$P1587=KARTU!$K$8)),MAX($AE$3:AE1586)+1,""))</f>
        <v/>
      </c>
    </row>
    <row r="1588" customFormat="false" ht="15" hidden="false" customHeight="false" outlineLevel="0" collapsed="false">
      <c r="A1588" s="35" t="str">
        <f aca="false">IF($B1588="","",COUNTA($B$4:$B1588))</f>
        <v/>
      </c>
      <c r="B1588" s="36"/>
      <c r="C1588" s="37"/>
      <c r="D1588" s="37"/>
      <c r="E1588" s="38"/>
      <c r="F1588" s="36"/>
      <c r="G1588" s="39"/>
      <c r="H1588" s="39"/>
      <c r="I1588" s="36"/>
      <c r="J1588" s="36"/>
      <c r="K1588" s="36"/>
      <c r="L1588" s="36"/>
      <c r="M1588" s="40" t="str">
        <f aca="false">IF($F1588="","",$F1588&amp;IF($G1588="",""," - RT "&amp;$G1588&amp;IF($H1588="","","/"&amp;$H1588)))</f>
        <v/>
      </c>
      <c r="N1588" s="36"/>
      <c r="O1588" s="37"/>
      <c r="P1588" s="39"/>
      <c r="Q1588" s="41"/>
      <c r="R1588" s="35" t="str">
        <f aca="true">IF(OR($B1588="",$Q1588=""),"",DATEDIF($Q1588,TODAY(),"Y"))</f>
        <v/>
      </c>
      <c r="S1588" s="40" t="str">
        <f aca="false">IF($R1588="","",INDEX(usia_label,MATCH($R1588,usia_min,1)))</f>
        <v/>
      </c>
      <c r="T1588" s="36"/>
      <c r="U1588" s="41"/>
      <c r="V1588" s="36"/>
      <c r="W1588" s="36"/>
      <c r="X1588" s="40" t="str">
        <f aca="false">IF($M1588="","",$M1588&amp;"#"&amp;COUNTIF($M$4:$M1588,$M1588))</f>
        <v/>
      </c>
      <c r="Y1588" s="40" t="str">
        <f aca="false">IF($B1588="","",IF($C1588="","NIK kosong",IF(LEN($C1588)&lt;&gt;16,"NIK bukan 16 digit",IF(COUNTIF($C$4:$C$2003,$C1588&amp;"*")&gt;1,"NIK ganda",IF(AND($D1588&lt;&gt;"",LEN($D1588)&lt;&gt;16),"No. KK bukan 16 digit",IF(AND($F1588="",$I1588=""),"Alamat kosong",IF($N1588="","Jabatan kosong",IF($O1588="","No. HP kosong",IF(AND($R1588&lt;&gt;"",$R1588&lt;17),"Usia di bawah 17","")))))))))</f>
        <v/>
      </c>
      <c r="Z1588" s="40" t="str">
        <f aca="false">IF($B1588="","",IF(AND(OR(CARI!$C$5="",ISNUMBER(SEARCH(CARI!$C$5,$B1588&amp;" "&amp;$C1588&amp;" "&amp;$D1588&amp;" "&amp;$O1588&amp;" "&amp;$I1588&amp;" "&amp;$F1588&amp;" "&amp;$J1588&amp;" "&amp;$K1588&amp;" "&amp;$L1588&amp;" "&amp;$V1588))),OR(CARI!$C$6="",$F1588=CARI!$C$6),OR(CARI!$C$7="",$G1588=CARI!$C$7),OR(CARI!$C$8="",$T1588=CARI!$C$8)),MAX($Z$3:Z1587)+1,""))</f>
        <v/>
      </c>
      <c r="AA1588" s="40" t="str">
        <f aca="false">IF($Y1588="","",MAX($AA$3:AA1587)+1)</f>
        <v/>
      </c>
      <c r="AB1588" s="40" t="str">
        <f aca="false">IF($F1588="","",$F1588&amp;"#"&amp;COUNTIF($F$4:$F1588,$F1588))</f>
        <v/>
      </c>
      <c r="AC1588" s="40" t="str">
        <f aca="false">IF($B1588="","",IF(AND(OR(CETAK!$J$10="",$F1588=CETAK!$J$10),OR(CETAK!$J$11="",$G1588=CETAK!$J$11),OR(CETAK!$J$12="",$P1588=CETAK!$J$12),OR(CETAK!$J$13="",$N1588=CETAK!$J$13),OR(CETAK!$J$14="",$T1588=CETAK!$J$14)),MAX($AC$3:AC1587)+1,""))</f>
        <v/>
      </c>
      <c r="AD1588" s="40" t="str">
        <f aca="false">IF($B1588="","",IF(AND(OR(ABSENSI!$H$10="",$F1588=ABSENSI!$H$10),OR(ABSENSI!$H$11="",$G1588=ABSENSI!$H$11),OR(ABSENSI!$H$12="",$P1588=ABSENSI!$H$12)),MAX($AD$3:AD1587)+1,""))</f>
        <v/>
      </c>
      <c r="AE1588" s="40" t="str">
        <f aca="false">IF($B1588="","",IF(AND(OR(KARTU!$K$6="",$F1588=KARTU!$K$6),OR(KARTU!$K$7="",$G1588=KARTU!$K$7),OR(KARTU!$K$8="",$P1588=KARTU!$K$8)),MAX($AE$3:AE1587)+1,""))</f>
        <v/>
      </c>
    </row>
    <row r="1589" customFormat="false" ht="15" hidden="false" customHeight="false" outlineLevel="0" collapsed="false">
      <c r="A1589" s="35" t="str">
        <f aca="false">IF($B1589="","",COUNTA($B$4:$B1589))</f>
        <v/>
      </c>
      <c r="B1589" s="36"/>
      <c r="C1589" s="37"/>
      <c r="D1589" s="37"/>
      <c r="E1589" s="38"/>
      <c r="F1589" s="36"/>
      <c r="G1589" s="39"/>
      <c r="H1589" s="39"/>
      <c r="I1589" s="36"/>
      <c r="J1589" s="36"/>
      <c r="K1589" s="36"/>
      <c r="L1589" s="36"/>
      <c r="M1589" s="40" t="str">
        <f aca="false">IF($F1589="","",$F1589&amp;IF($G1589="",""," - RT "&amp;$G1589&amp;IF($H1589="","","/"&amp;$H1589)))</f>
        <v/>
      </c>
      <c r="N1589" s="36"/>
      <c r="O1589" s="37"/>
      <c r="P1589" s="39"/>
      <c r="Q1589" s="41"/>
      <c r="R1589" s="35" t="str">
        <f aca="true">IF(OR($B1589="",$Q1589=""),"",DATEDIF($Q1589,TODAY(),"Y"))</f>
        <v/>
      </c>
      <c r="S1589" s="40" t="str">
        <f aca="false">IF($R1589="","",INDEX(usia_label,MATCH($R1589,usia_min,1)))</f>
        <v/>
      </c>
      <c r="T1589" s="36"/>
      <c r="U1589" s="41"/>
      <c r="V1589" s="36"/>
      <c r="W1589" s="36"/>
      <c r="X1589" s="40" t="str">
        <f aca="false">IF($M1589="","",$M1589&amp;"#"&amp;COUNTIF($M$4:$M1589,$M1589))</f>
        <v/>
      </c>
      <c r="Y1589" s="40" t="str">
        <f aca="false">IF($B1589="","",IF($C1589="","NIK kosong",IF(LEN($C1589)&lt;&gt;16,"NIK bukan 16 digit",IF(COUNTIF($C$4:$C$2003,$C1589&amp;"*")&gt;1,"NIK ganda",IF(AND($D1589&lt;&gt;"",LEN($D1589)&lt;&gt;16),"No. KK bukan 16 digit",IF(AND($F1589="",$I1589=""),"Alamat kosong",IF($N1589="","Jabatan kosong",IF($O1589="","No. HP kosong",IF(AND($R1589&lt;&gt;"",$R1589&lt;17),"Usia di bawah 17","")))))))))</f>
        <v/>
      </c>
      <c r="Z1589" s="40" t="str">
        <f aca="false">IF($B1589="","",IF(AND(OR(CARI!$C$5="",ISNUMBER(SEARCH(CARI!$C$5,$B1589&amp;" "&amp;$C1589&amp;" "&amp;$D1589&amp;" "&amp;$O1589&amp;" "&amp;$I1589&amp;" "&amp;$F1589&amp;" "&amp;$J1589&amp;" "&amp;$K1589&amp;" "&amp;$L1589&amp;" "&amp;$V1589))),OR(CARI!$C$6="",$F1589=CARI!$C$6),OR(CARI!$C$7="",$G1589=CARI!$C$7),OR(CARI!$C$8="",$T1589=CARI!$C$8)),MAX($Z$3:Z1588)+1,""))</f>
        <v/>
      </c>
      <c r="AA1589" s="40" t="str">
        <f aca="false">IF($Y1589="","",MAX($AA$3:AA1588)+1)</f>
        <v/>
      </c>
      <c r="AB1589" s="40" t="str">
        <f aca="false">IF($F1589="","",$F1589&amp;"#"&amp;COUNTIF($F$4:$F1589,$F1589))</f>
        <v/>
      </c>
      <c r="AC1589" s="40" t="str">
        <f aca="false">IF($B1589="","",IF(AND(OR(CETAK!$J$10="",$F1589=CETAK!$J$10),OR(CETAK!$J$11="",$G1589=CETAK!$J$11),OR(CETAK!$J$12="",$P1589=CETAK!$J$12),OR(CETAK!$J$13="",$N1589=CETAK!$J$13),OR(CETAK!$J$14="",$T1589=CETAK!$J$14)),MAX($AC$3:AC1588)+1,""))</f>
        <v/>
      </c>
      <c r="AD1589" s="40" t="str">
        <f aca="false">IF($B1589="","",IF(AND(OR(ABSENSI!$H$10="",$F1589=ABSENSI!$H$10),OR(ABSENSI!$H$11="",$G1589=ABSENSI!$H$11),OR(ABSENSI!$H$12="",$P1589=ABSENSI!$H$12)),MAX($AD$3:AD1588)+1,""))</f>
        <v/>
      </c>
      <c r="AE1589" s="40" t="str">
        <f aca="false">IF($B1589="","",IF(AND(OR(KARTU!$K$6="",$F1589=KARTU!$K$6),OR(KARTU!$K$7="",$G1589=KARTU!$K$7),OR(KARTU!$K$8="",$P1589=KARTU!$K$8)),MAX($AE$3:AE1588)+1,""))</f>
        <v/>
      </c>
    </row>
    <row r="1590" customFormat="false" ht="15" hidden="false" customHeight="false" outlineLevel="0" collapsed="false">
      <c r="A1590" s="35" t="str">
        <f aca="false">IF($B1590="","",COUNTA($B$4:$B1590))</f>
        <v/>
      </c>
      <c r="B1590" s="36"/>
      <c r="C1590" s="37"/>
      <c r="D1590" s="37"/>
      <c r="E1590" s="38"/>
      <c r="F1590" s="36"/>
      <c r="G1590" s="39"/>
      <c r="H1590" s="39"/>
      <c r="I1590" s="36"/>
      <c r="J1590" s="36"/>
      <c r="K1590" s="36"/>
      <c r="L1590" s="36"/>
      <c r="M1590" s="40" t="str">
        <f aca="false">IF($F1590="","",$F1590&amp;IF($G1590="",""," - RT "&amp;$G1590&amp;IF($H1590="","","/"&amp;$H1590)))</f>
        <v/>
      </c>
      <c r="N1590" s="36"/>
      <c r="O1590" s="37"/>
      <c r="P1590" s="39"/>
      <c r="Q1590" s="41"/>
      <c r="R1590" s="35" t="str">
        <f aca="true">IF(OR($B1590="",$Q1590=""),"",DATEDIF($Q1590,TODAY(),"Y"))</f>
        <v/>
      </c>
      <c r="S1590" s="40" t="str">
        <f aca="false">IF($R1590="","",INDEX(usia_label,MATCH($R1590,usia_min,1)))</f>
        <v/>
      </c>
      <c r="T1590" s="36"/>
      <c r="U1590" s="41"/>
      <c r="V1590" s="36"/>
      <c r="W1590" s="36"/>
      <c r="X1590" s="40" t="str">
        <f aca="false">IF($M1590="","",$M1590&amp;"#"&amp;COUNTIF($M$4:$M1590,$M1590))</f>
        <v/>
      </c>
      <c r="Y1590" s="40" t="str">
        <f aca="false">IF($B1590="","",IF($C1590="","NIK kosong",IF(LEN($C1590)&lt;&gt;16,"NIK bukan 16 digit",IF(COUNTIF($C$4:$C$2003,$C1590&amp;"*")&gt;1,"NIK ganda",IF(AND($D1590&lt;&gt;"",LEN($D1590)&lt;&gt;16),"No. KK bukan 16 digit",IF(AND($F1590="",$I1590=""),"Alamat kosong",IF($N1590="","Jabatan kosong",IF($O1590="","No. HP kosong",IF(AND($R1590&lt;&gt;"",$R1590&lt;17),"Usia di bawah 17","")))))))))</f>
        <v/>
      </c>
      <c r="Z1590" s="40" t="str">
        <f aca="false">IF($B1590="","",IF(AND(OR(CARI!$C$5="",ISNUMBER(SEARCH(CARI!$C$5,$B1590&amp;" "&amp;$C1590&amp;" "&amp;$D1590&amp;" "&amp;$O1590&amp;" "&amp;$I1590&amp;" "&amp;$F1590&amp;" "&amp;$J1590&amp;" "&amp;$K1590&amp;" "&amp;$L1590&amp;" "&amp;$V1590))),OR(CARI!$C$6="",$F1590=CARI!$C$6),OR(CARI!$C$7="",$G1590=CARI!$C$7),OR(CARI!$C$8="",$T1590=CARI!$C$8)),MAX($Z$3:Z1589)+1,""))</f>
        <v/>
      </c>
      <c r="AA1590" s="40" t="str">
        <f aca="false">IF($Y1590="","",MAX($AA$3:AA1589)+1)</f>
        <v/>
      </c>
      <c r="AB1590" s="40" t="str">
        <f aca="false">IF($F1590="","",$F1590&amp;"#"&amp;COUNTIF($F$4:$F1590,$F1590))</f>
        <v/>
      </c>
      <c r="AC1590" s="40" t="str">
        <f aca="false">IF($B1590="","",IF(AND(OR(CETAK!$J$10="",$F1590=CETAK!$J$10),OR(CETAK!$J$11="",$G1590=CETAK!$J$11),OR(CETAK!$J$12="",$P1590=CETAK!$J$12),OR(CETAK!$J$13="",$N1590=CETAK!$J$13),OR(CETAK!$J$14="",$T1590=CETAK!$J$14)),MAX($AC$3:AC1589)+1,""))</f>
        <v/>
      </c>
      <c r="AD1590" s="40" t="str">
        <f aca="false">IF($B1590="","",IF(AND(OR(ABSENSI!$H$10="",$F1590=ABSENSI!$H$10),OR(ABSENSI!$H$11="",$G1590=ABSENSI!$H$11),OR(ABSENSI!$H$12="",$P1590=ABSENSI!$H$12)),MAX($AD$3:AD1589)+1,""))</f>
        <v/>
      </c>
      <c r="AE1590" s="40" t="str">
        <f aca="false">IF($B1590="","",IF(AND(OR(KARTU!$K$6="",$F1590=KARTU!$K$6),OR(KARTU!$K$7="",$G1590=KARTU!$K$7),OR(KARTU!$K$8="",$P1590=KARTU!$K$8)),MAX($AE$3:AE1589)+1,""))</f>
        <v/>
      </c>
    </row>
    <row r="1591" customFormat="false" ht="15" hidden="false" customHeight="false" outlineLevel="0" collapsed="false">
      <c r="A1591" s="35" t="str">
        <f aca="false">IF($B1591="","",COUNTA($B$4:$B1591))</f>
        <v/>
      </c>
      <c r="B1591" s="36"/>
      <c r="C1591" s="37"/>
      <c r="D1591" s="37"/>
      <c r="E1591" s="38"/>
      <c r="F1591" s="36"/>
      <c r="G1591" s="39"/>
      <c r="H1591" s="39"/>
      <c r="I1591" s="36"/>
      <c r="J1591" s="36"/>
      <c r="K1591" s="36"/>
      <c r="L1591" s="36"/>
      <c r="M1591" s="40" t="str">
        <f aca="false">IF($F1591="","",$F1591&amp;IF($G1591="",""," - RT "&amp;$G1591&amp;IF($H1591="","","/"&amp;$H1591)))</f>
        <v/>
      </c>
      <c r="N1591" s="36"/>
      <c r="O1591" s="37"/>
      <c r="P1591" s="39"/>
      <c r="Q1591" s="41"/>
      <c r="R1591" s="35" t="str">
        <f aca="true">IF(OR($B1591="",$Q1591=""),"",DATEDIF($Q1591,TODAY(),"Y"))</f>
        <v/>
      </c>
      <c r="S1591" s="40" t="str">
        <f aca="false">IF($R1591="","",INDEX(usia_label,MATCH($R1591,usia_min,1)))</f>
        <v/>
      </c>
      <c r="T1591" s="36"/>
      <c r="U1591" s="41"/>
      <c r="V1591" s="36"/>
      <c r="W1591" s="36"/>
      <c r="X1591" s="40" t="str">
        <f aca="false">IF($M1591="","",$M1591&amp;"#"&amp;COUNTIF($M$4:$M1591,$M1591))</f>
        <v/>
      </c>
      <c r="Y1591" s="40" t="str">
        <f aca="false">IF($B1591="","",IF($C1591="","NIK kosong",IF(LEN($C1591)&lt;&gt;16,"NIK bukan 16 digit",IF(COUNTIF($C$4:$C$2003,$C1591&amp;"*")&gt;1,"NIK ganda",IF(AND($D1591&lt;&gt;"",LEN($D1591)&lt;&gt;16),"No. KK bukan 16 digit",IF(AND($F1591="",$I1591=""),"Alamat kosong",IF($N1591="","Jabatan kosong",IF($O1591="","No. HP kosong",IF(AND($R1591&lt;&gt;"",$R1591&lt;17),"Usia di bawah 17","")))))))))</f>
        <v/>
      </c>
      <c r="Z1591" s="40" t="str">
        <f aca="false">IF($B1591="","",IF(AND(OR(CARI!$C$5="",ISNUMBER(SEARCH(CARI!$C$5,$B1591&amp;" "&amp;$C1591&amp;" "&amp;$D1591&amp;" "&amp;$O1591&amp;" "&amp;$I1591&amp;" "&amp;$F1591&amp;" "&amp;$J1591&amp;" "&amp;$K1591&amp;" "&amp;$L1591&amp;" "&amp;$V1591))),OR(CARI!$C$6="",$F1591=CARI!$C$6),OR(CARI!$C$7="",$G1591=CARI!$C$7),OR(CARI!$C$8="",$T1591=CARI!$C$8)),MAX($Z$3:Z1590)+1,""))</f>
        <v/>
      </c>
      <c r="AA1591" s="40" t="str">
        <f aca="false">IF($Y1591="","",MAX($AA$3:AA1590)+1)</f>
        <v/>
      </c>
      <c r="AB1591" s="40" t="str">
        <f aca="false">IF($F1591="","",$F1591&amp;"#"&amp;COUNTIF($F$4:$F1591,$F1591))</f>
        <v/>
      </c>
      <c r="AC1591" s="40" t="str">
        <f aca="false">IF($B1591="","",IF(AND(OR(CETAK!$J$10="",$F1591=CETAK!$J$10),OR(CETAK!$J$11="",$G1591=CETAK!$J$11),OR(CETAK!$J$12="",$P1591=CETAK!$J$12),OR(CETAK!$J$13="",$N1591=CETAK!$J$13),OR(CETAK!$J$14="",$T1591=CETAK!$J$14)),MAX($AC$3:AC1590)+1,""))</f>
        <v/>
      </c>
      <c r="AD1591" s="40" t="str">
        <f aca="false">IF($B1591="","",IF(AND(OR(ABSENSI!$H$10="",$F1591=ABSENSI!$H$10),OR(ABSENSI!$H$11="",$G1591=ABSENSI!$H$11),OR(ABSENSI!$H$12="",$P1591=ABSENSI!$H$12)),MAX($AD$3:AD1590)+1,""))</f>
        <v/>
      </c>
      <c r="AE1591" s="40" t="str">
        <f aca="false">IF($B1591="","",IF(AND(OR(KARTU!$K$6="",$F1591=KARTU!$K$6),OR(KARTU!$K$7="",$G1591=KARTU!$K$7),OR(KARTU!$K$8="",$P1591=KARTU!$K$8)),MAX($AE$3:AE1590)+1,""))</f>
        <v/>
      </c>
    </row>
    <row r="1592" customFormat="false" ht="15" hidden="false" customHeight="false" outlineLevel="0" collapsed="false">
      <c r="A1592" s="35" t="str">
        <f aca="false">IF($B1592="","",COUNTA($B$4:$B1592))</f>
        <v/>
      </c>
      <c r="B1592" s="36"/>
      <c r="C1592" s="37"/>
      <c r="D1592" s="37"/>
      <c r="E1592" s="38"/>
      <c r="F1592" s="36"/>
      <c r="G1592" s="39"/>
      <c r="H1592" s="39"/>
      <c r="I1592" s="36"/>
      <c r="J1592" s="36"/>
      <c r="K1592" s="36"/>
      <c r="L1592" s="36"/>
      <c r="M1592" s="40" t="str">
        <f aca="false">IF($F1592="","",$F1592&amp;IF($G1592="",""," - RT "&amp;$G1592&amp;IF($H1592="","","/"&amp;$H1592)))</f>
        <v/>
      </c>
      <c r="N1592" s="36"/>
      <c r="O1592" s="37"/>
      <c r="P1592" s="39"/>
      <c r="Q1592" s="41"/>
      <c r="R1592" s="35" t="str">
        <f aca="true">IF(OR($B1592="",$Q1592=""),"",DATEDIF($Q1592,TODAY(),"Y"))</f>
        <v/>
      </c>
      <c r="S1592" s="40" t="str">
        <f aca="false">IF($R1592="","",INDEX(usia_label,MATCH($R1592,usia_min,1)))</f>
        <v/>
      </c>
      <c r="T1592" s="36"/>
      <c r="U1592" s="41"/>
      <c r="V1592" s="36"/>
      <c r="W1592" s="36"/>
      <c r="X1592" s="40" t="str">
        <f aca="false">IF($M1592="","",$M1592&amp;"#"&amp;COUNTIF($M$4:$M1592,$M1592))</f>
        <v/>
      </c>
      <c r="Y1592" s="40" t="str">
        <f aca="false">IF($B1592="","",IF($C1592="","NIK kosong",IF(LEN($C1592)&lt;&gt;16,"NIK bukan 16 digit",IF(COUNTIF($C$4:$C$2003,$C1592&amp;"*")&gt;1,"NIK ganda",IF(AND($D1592&lt;&gt;"",LEN($D1592)&lt;&gt;16),"No. KK bukan 16 digit",IF(AND($F1592="",$I1592=""),"Alamat kosong",IF($N1592="","Jabatan kosong",IF($O1592="","No. HP kosong",IF(AND($R1592&lt;&gt;"",$R1592&lt;17),"Usia di bawah 17","")))))))))</f>
        <v/>
      </c>
      <c r="Z1592" s="40" t="str">
        <f aca="false">IF($B1592="","",IF(AND(OR(CARI!$C$5="",ISNUMBER(SEARCH(CARI!$C$5,$B1592&amp;" "&amp;$C1592&amp;" "&amp;$D1592&amp;" "&amp;$O1592&amp;" "&amp;$I1592&amp;" "&amp;$F1592&amp;" "&amp;$J1592&amp;" "&amp;$K1592&amp;" "&amp;$L1592&amp;" "&amp;$V1592))),OR(CARI!$C$6="",$F1592=CARI!$C$6),OR(CARI!$C$7="",$G1592=CARI!$C$7),OR(CARI!$C$8="",$T1592=CARI!$C$8)),MAX($Z$3:Z1591)+1,""))</f>
        <v/>
      </c>
      <c r="AA1592" s="40" t="str">
        <f aca="false">IF($Y1592="","",MAX($AA$3:AA1591)+1)</f>
        <v/>
      </c>
      <c r="AB1592" s="40" t="str">
        <f aca="false">IF($F1592="","",$F1592&amp;"#"&amp;COUNTIF($F$4:$F1592,$F1592))</f>
        <v/>
      </c>
      <c r="AC1592" s="40" t="str">
        <f aca="false">IF($B1592="","",IF(AND(OR(CETAK!$J$10="",$F1592=CETAK!$J$10),OR(CETAK!$J$11="",$G1592=CETAK!$J$11),OR(CETAK!$J$12="",$P1592=CETAK!$J$12),OR(CETAK!$J$13="",$N1592=CETAK!$J$13),OR(CETAK!$J$14="",$T1592=CETAK!$J$14)),MAX($AC$3:AC1591)+1,""))</f>
        <v/>
      </c>
      <c r="AD1592" s="40" t="str">
        <f aca="false">IF($B1592="","",IF(AND(OR(ABSENSI!$H$10="",$F1592=ABSENSI!$H$10),OR(ABSENSI!$H$11="",$G1592=ABSENSI!$H$11),OR(ABSENSI!$H$12="",$P1592=ABSENSI!$H$12)),MAX($AD$3:AD1591)+1,""))</f>
        <v/>
      </c>
      <c r="AE1592" s="40" t="str">
        <f aca="false">IF($B1592="","",IF(AND(OR(KARTU!$K$6="",$F1592=KARTU!$K$6),OR(KARTU!$K$7="",$G1592=KARTU!$K$7),OR(KARTU!$K$8="",$P1592=KARTU!$K$8)),MAX($AE$3:AE1591)+1,""))</f>
        <v/>
      </c>
    </row>
    <row r="1593" customFormat="false" ht="15" hidden="false" customHeight="false" outlineLevel="0" collapsed="false">
      <c r="A1593" s="35" t="str">
        <f aca="false">IF($B1593="","",COUNTA($B$4:$B1593))</f>
        <v/>
      </c>
      <c r="B1593" s="36"/>
      <c r="C1593" s="37"/>
      <c r="D1593" s="37"/>
      <c r="E1593" s="38"/>
      <c r="F1593" s="36"/>
      <c r="G1593" s="39"/>
      <c r="H1593" s="39"/>
      <c r="I1593" s="36"/>
      <c r="J1593" s="36"/>
      <c r="K1593" s="36"/>
      <c r="L1593" s="36"/>
      <c r="M1593" s="40" t="str">
        <f aca="false">IF($F1593="","",$F1593&amp;IF($G1593="",""," - RT "&amp;$G1593&amp;IF($H1593="","","/"&amp;$H1593)))</f>
        <v/>
      </c>
      <c r="N1593" s="36"/>
      <c r="O1593" s="37"/>
      <c r="P1593" s="39"/>
      <c r="Q1593" s="41"/>
      <c r="R1593" s="35" t="str">
        <f aca="true">IF(OR($B1593="",$Q1593=""),"",DATEDIF($Q1593,TODAY(),"Y"))</f>
        <v/>
      </c>
      <c r="S1593" s="40" t="str">
        <f aca="false">IF($R1593="","",INDEX(usia_label,MATCH($R1593,usia_min,1)))</f>
        <v/>
      </c>
      <c r="T1593" s="36"/>
      <c r="U1593" s="41"/>
      <c r="V1593" s="36"/>
      <c r="W1593" s="36"/>
      <c r="X1593" s="40" t="str">
        <f aca="false">IF($M1593="","",$M1593&amp;"#"&amp;COUNTIF($M$4:$M1593,$M1593))</f>
        <v/>
      </c>
      <c r="Y1593" s="40" t="str">
        <f aca="false">IF($B1593="","",IF($C1593="","NIK kosong",IF(LEN($C1593)&lt;&gt;16,"NIK bukan 16 digit",IF(COUNTIF($C$4:$C$2003,$C1593&amp;"*")&gt;1,"NIK ganda",IF(AND($D1593&lt;&gt;"",LEN($D1593)&lt;&gt;16),"No. KK bukan 16 digit",IF(AND($F1593="",$I1593=""),"Alamat kosong",IF($N1593="","Jabatan kosong",IF($O1593="","No. HP kosong",IF(AND($R1593&lt;&gt;"",$R1593&lt;17),"Usia di bawah 17","")))))))))</f>
        <v/>
      </c>
      <c r="Z1593" s="40" t="str">
        <f aca="false">IF($B1593="","",IF(AND(OR(CARI!$C$5="",ISNUMBER(SEARCH(CARI!$C$5,$B1593&amp;" "&amp;$C1593&amp;" "&amp;$D1593&amp;" "&amp;$O1593&amp;" "&amp;$I1593&amp;" "&amp;$F1593&amp;" "&amp;$J1593&amp;" "&amp;$K1593&amp;" "&amp;$L1593&amp;" "&amp;$V1593))),OR(CARI!$C$6="",$F1593=CARI!$C$6),OR(CARI!$C$7="",$G1593=CARI!$C$7),OR(CARI!$C$8="",$T1593=CARI!$C$8)),MAX($Z$3:Z1592)+1,""))</f>
        <v/>
      </c>
      <c r="AA1593" s="40" t="str">
        <f aca="false">IF($Y1593="","",MAX($AA$3:AA1592)+1)</f>
        <v/>
      </c>
      <c r="AB1593" s="40" t="str">
        <f aca="false">IF($F1593="","",$F1593&amp;"#"&amp;COUNTIF($F$4:$F1593,$F1593))</f>
        <v/>
      </c>
      <c r="AC1593" s="40" t="str">
        <f aca="false">IF($B1593="","",IF(AND(OR(CETAK!$J$10="",$F1593=CETAK!$J$10),OR(CETAK!$J$11="",$G1593=CETAK!$J$11),OR(CETAK!$J$12="",$P1593=CETAK!$J$12),OR(CETAK!$J$13="",$N1593=CETAK!$J$13),OR(CETAK!$J$14="",$T1593=CETAK!$J$14)),MAX($AC$3:AC1592)+1,""))</f>
        <v/>
      </c>
      <c r="AD1593" s="40" t="str">
        <f aca="false">IF($B1593="","",IF(AND(OR(ABSENSI!$H$10="",$F1593=ABSENSI!$H$10),OR(ABSENSI!$H$11="",$G1593=ABSENSI!$H$11),OR(ABSENSI!$H$12="",$P1593=ABSENSI!$H$12)),MAX($AD$3:AD1592)+1,""))</f>
        <v/>
      </c>
      <c r="AE1593" s="40" t="str">
        <f aca="false">IF($B1593="","",IF(AND(OR(KARTU!$K$6="",$F1593=KARTU!$K$6),OR(KARTU!$K$7="",$G1593=KARTU!$K$7),OR(KARTU!$K$8="",$P1593=KARTU!$K$8)),MAX($AE$3:AE1592)+1,""))</f>
        <v/>
      </c>
    </row>
    <row r="1594" customFormat="false" ht="15" hidden="false" customHeight="false" outlineLevel="0" collapsed="false">
      <c r="A1594" s="35" t="str">
        <f aca="false">IF($B1594="","",COUNTA($B$4:$B1594))</f>
        <v/>
      </c>
      <c r="B1594" s="36"/>
      <c r="C1594" s="37"/>
      <c r="D1594" s="37"/>
      <c r="E1594" s="38"/>
      <c r="F1594" s="36"/>
      <c r="G1594" s="39"/>
      <c r="H1594" s="39"/>
      <c r="I1594" s="36"/>
      <c r="J1594" s="36"/>
      <c r="K1594" s="36"/>
      <c r="L1594" s="36"/>
      <c r="M1594" s="40" t="str">
        <f aca="false">IF($F1594="","",$F1594&amp;IF($G1594="",""," - RT "&amp;$G1594&amp;IF($H1594="","","/"&amp;$H1594)))</f>
        <v/>
      </c>
      <c r="N1594" s="36"/>
      <c r="O1594" s="37"/>
      <c r="P1594" s="39"/>
      <c r="Q1594" s="41"/>
      <c r="R1594" s="35" t="str">
        <f aca="true">IF(OR($B1594="",$Q1594=""),"",DATEDIF($Q1594,TODAY(),"Y"))</f>
        <v/>
      </c>
      <c r="S1594" s="40" t="str">
        <f aca="false">IF($R1594="","",INDEX(usia_label,MATCH($R1594,usia_min,1)))</f>
        <v/>
      </c>
      <c r="T1594" s="36"/>
      <c r="U1594" s="41"/>
      <c r="V1594" s="36"/>
      <c r="W1594" s="36"/>
      <c r="X1594" s="40" t="str">
        <f aca="false">IF($M1594="","",$M1594&amp;"#"&amp;COUNTIF($M$4:$M1594,$M1594))</f>
        <v/>
      </c>
      <c r="Y1594" s="40" t="str">
        <f aca="false">IF($B1594="","",IF($C1594="","NIK kosong",IF(LEN($C1594)&lt;&gt;16,"NIK bukan 16 digit",IF(COUNTIF($C$4:$C$2003,$C1594&amp;"*")&gt;1,"NIK ganda",IF(AND($D1594&lt;&gt;"",LEN($D1594)&lt;&gt;16),"No. KK bukan 16 digit",IF(AND($F1594="",$I1594=""),"Alamat kosong",IF($N1594="","Jabatan kosong",IF($O1594="","No. HP kosong",IF(AND($R1594&lt;&gt;"",$R1594&lt;17),"Usia di bawah 17","")))))))))</f>
        <v/>
      </c>
      <c r="Z1594" s="40" t="str">
        <f aca="false">IF($B1594="","",IF(AND(OR(CARI!$C$5="",ISNUMBER(SEARCH(CARI!$C$5,$B1594&amp;" "&amp;$C1594&amp;" "&amp;$D1594&amp;" "&amp;$O1594&amp;" "&amp;$I1594&amp;" "&amp;$F1594&amp;" "&amp;$J1594&amp;" "&amp;$K1594&amp;" "&amp;$L1594&amp;" "&amp;$V1594))),OR(CARI!$C$6="",$F1594=CARI!$C$6),OR(CARI!$C$7="",$G1594=CARI!$C$7),OR(CARI!$C$8="",$T1594=CARI!$C$8)),MAX($Z$3:Z1593)+1,""))</f>
        <v/>
      </c>
      <c r="AA1594" s="40" t="str">
        <f aca="false">IF($Y1594="","",MAX($AA$3:AA1593)+1)</f>
        <v/>
      </c>
      <c r="AB1594" s="40" t="str">
        <f aca="false">IF($F1594="","",$F1594&amp;"#"&amp;COUNTIF($F$4:$F1594,$F1594))</f>
        <v/>
      </c>
      <c r="AC1594" s="40" t="str">
        <f aca="false">IF($B1594="","",IF(AND(OR(CETAK!$J$10="",$F1594=CETAK!$J$10),OR(CETAK!$J$11="",$G1594=CETAK!$J$11),OR(CETAK!$J$12="",$P1594=CETAK!$J$12),OR(CETAK!$J$13="",$N1594=CETAK!$J$13),OR(CETAK!$J$14="",$T1594=CETAK!$J$14)),MAX($AC$3:AC1593)+1,""))</f>
        <v/>
      </c>
      <c r="AD1594" s="40" t="str">
        <f aca="false">IF($B1594="","",IF(AND(OR(ABSENSI!$H$10="",$F1594=ABSENSI!$H$10),OR(ABSENSI!$H$11="",$G1594=ABSENSI!$H$11),OR(ABSENSI!$H$12="",$P1594=ABSENSI!$H$12)),MAX($AD$3:AD1593)+1,""))</f>
        <v/>
      </c>
      <c r="AE1594" s="40" t="str">
        <f aca="false">IF($B1594="","",IF(AND(OR(KARTU!$K$6="",$F1594=KARTU!$K$6),OR(KARTU!$K$7="",$G1594=KARTU!$K$7),OR(KARTU!$K$8="",$P1594=KARTU!$K$8)),MAX($AE$3:AE1593)+1,""))</f>
        <v/>
      </c>
    </row>
    <row r="1595" customFormat="false" ht="15" hidden="false" customHeight="false" outlineLevel="0" collapsed="false">
      <c r="A1595" s="35" t="str">
        <f aca="false">IF($B1595="","",COUNTA($B$4:$B1595))</f>
        <v/>
      </c>
      <c r="B1595" s="36"/>
      <c r="C1595" s="37"/>
      <c r="D1595" s="37"/>
      <c r="E1595" s="38"/>
      <c r="F1595" s="36"/>
      <c r="G1595" s="39"/>
      <c r="H1595" s="39"/>
      <c r="I1595" s="36"/>
      <c r="J1595" s="36"/>
      <c r="K1595" s="36"/>
      <c r="L1595" s="36"/>
      <c r="M1595" s="40" t="str">
        <f aca="false">IF($F1595="","",$F1595&amp;IF($G1595="",""," - RT "&amp;$G1595&amp;IF($H1595="","","/"&amp;$H1595)))</f>
        <v/>
      </c>
      <c r="N1595" s="36"/>
      <c r="O1595" s="37"/>
      <c r="P1595" s="39"/>
      <c r="Q1595" s="41"/>
      <c r="R1595" s="35" t="str">
        <f aca="true">IF(OR($B1595="",$Q1595=""),"",DATEDIF($Q1595,TODAY(),"Y"))</f>
        <v/>
      </c>
      <c r="S1595" s="40" t="str">
        <f aca="false">IF($R1595="","",INDEX(usia_label,MATCH($R1595,usia_min,1)))</f>
        <v/>
      </c>
      <c r="T1595" s="36"/>
      <c r="U1595" s="41"/>
      <c r="V1595" s="36"/>
      <c r="W1595" s="36"/>
      <c r="X1595" s="40" t="str">
        <f aca="false">IF($M1595="","",$M1595&amp;"#"&amp;COUNTIF($M$4:$M1595,$M1595))</f>
        <v/>
      </c>
      <c r="Y1595" s="40" t="str">
        <f aca="false">IF($B1595="","",IF($C1595="","NIK kosong",IF(LEN($C1595)&lt;&gt;16,"NIK bukan 16 digit",IF(COUNTIF($C$4:$C$2003,$C1595&amp;"*")&gt;1,"NIK ganda",IF(AND($D1595&lt;&gt;"",LEN($D1595)&lt;&gt;16),"No. KK bukan 16 digit",IF(AND($F1595="",$I1595=""),"Alamat kosong",IF($N1595="","Jabatan kosong",IF($O1595="","No. HP kosong",IF(AND($R1595&lt;&gt;"",$R1595&lt;17),"Usia di bawah 17","")))))))))</f>
        <v/>
      </c>
      <c r="Z1595" s="40" t="str">
        <f aca="false">IF($B1595="","",IF(AND(OR(CARI!$C$5="",ISNUMBER(SEARCH(CARI!$C$5,$B1595&amp;" "&amp;$C1595&amp;" "&amp;$D1595&amp;" "&amp;$O1595&amp;" "&amp;$I1595&amp;" "&amp;$F1595&amp;" "&amp;$J1595&amp;" "&amp;$K1595&amp;" "&amp;$L1595&amp;" "&amp;$V1595))),OR(CARI!$C$6="",$F1595=CARI!$C$6),OR(CARI!$C$7="",$G1595=CARI!$C$7),OR(CARI!$C$8="",$T1595=CARI!$C$8)),MAX($Z$3:Z1594)+1,""))</f>
        <v/>
      </c>
      <c r="AA1595" s="40" t="str">
        <f aca="false">IF($Y1595="","",MAX($AA$3:AA1594)+1)</f>
        <v/>
      </c>
      <c r="AB1595" s="40" t="str">
        <f aca="false">IF($F1595="","",$F1595&amp;"#"&amp;COUNTIF($F$4:$F1595,$F1595))</f>
        <v/>
      </c>
      <c r="AC1595" s="40" t="str">
        <f aca="false">IF($B1595="","",IF(AND(OR(CETAK!$J$10="",$F1595=CETAK!$J$10),OR(CETAK!$J$11="",$G1595=CETAK!$J$11),OR(CETAK!$J$12="",$P1595=CETAK!$J$12),OR(CETAK!$J$13="",$N1595=CETAK!$J$13),OR(CETAK!$J$14="",$T1595=CETAK!$J$14)),MAX($AC$3:AC1594)+1,""))</f>
        <v/>
      </c>
      <c r="AD1595" s="40" t="str">
        <f aca="false">IF($B1595="","",IF(AND(OR(ABSENSI!$H$10="",$F1595=ABSENSI!$H$10),OR(ABSENSI!$H$11="",$G1595=ABSENSI!$H$11),OR(ABSENSI!$H$12="",$P1595=ABSENSI!$H$12)),MAX($AD$3:AD1594)+1,""))</f>
        <v/>
      </c>
      <c r="AE1595" s="40" t="str">
        <f aca="false">IF($B1595="","",IF(AND(OR(KARTU!$K$6="",$F1595=KARTU!$K$6),OR(KARTU!$K$7="",$G1595=KARTU!$K$7),OR(KARTU!$K$8="",$P1595=KARTU!$K$8)),MAX($AE$3:AE1594)+1,""))</f>
        <v/>
      </c>
    </row>
    <row r="1596" customFormat="false" ht="15" hidden="false" customHeight="false" outlineLevel="0" collapsed="false">
      <c r="A1596" s="35" t="str">
        <f aca="false">IF($B1596="","",COUNTA($B$4:$B1596))</f>
        <v/>
      </c>
      <c r="B1596" s="36"/>
      <c r="C1596" s="37"/>
      <c r="D1596" s="37"/>
      <c r="E1596" s="38"/>
      <c r="F1596" s="36"/>
      <c r="G1596" s="39"/>
      <c r="H1596" s="39"/>
      <c r="I1596" s="36"/>
      <c r="J1596" s="36"/>
      <c r="K1596" s="36"/>
      <c r="L1596" s="36"/>
      <c r="M1596" s="40" t="str">
        <f aca="false">IF($F1596="","",$F1596&amp;IF($G1596="",""," - RT "&amp;$G1596&amp;IF($H1596="","","/"&amp;$H1596)))</f>
        <v/>
      </c>
      <c r="N1596" s="36"/>
      <c r="O1596" s="37"/>
      <c r="P1596" s="39"/>
      <c r="Q1596" s="41"/>
      <c r="R1596" s="35" t="str">
        <f aca="true">IF(OR($B1596="",$Q1596=""),"",DATEDIF($Q1596,TODAY(),"Y"))</f>
        <v/>
      </c>
      <c r="S1596" s="40" t="str">
        <f aca="false">IF($R1596="","",INDEX(usia_label,MATCH($R1596,usia_min,1)))</f>
        <v/>
      </c>
      <c r="T1596" s="36"/>
      <c r="U1596" s="41"/>
      <c r="V1596" s="36"/>
      <c r="W1596" s="36"/>
      <c r="X1596" s="40" t="str">
        <f aca="false">IF($M1596="","",$M1596&amp;"#"&amp;COUNTIF($M$4:$M1596,$M1596))</f>
        <v/>
      </c>
      <c r="Y1596" s="40" t="str">
        <f aca="false">IF($B1596="","",IF($C1596="","NIK kosong",IF(LEN($C1596)&lt;&gt;16,"NIK bukan 16 digit",IF(COUNTIF($C$4:$C$2003,$C1596&amp;"*")&gt;1,"NIK ganda",IF(AND($D1596&lt;&gt;"",LEN($D1596)&lt;&gt;16),"No. KK bukan 16 digit",IF(AND($F1596="",$I1596=""),"Alamat kosong",IF($N1596="","Jabatan kosong",IF($O1596="","No. HP kosong",IF(AND($R1596&lt;&gt;"",$R1596&lt;17),"Usia di bawah 17","")))))))))</f>
        <v/>
      </c>
      <c r="Z1596" s="40" t="str">
        <f aca="false">IF($B1596="","",IF(AND(OR(CARI!$C$5="",ISNUMBER(SEARCH(CARI!$C$5,$B1596&amp;" "&amp;$C1596&amp;" "&amp;$D1596&amp;" "&amp;$O1596&amp;" "&amp;$I1596&amp;" "&amp;$F1596&amp;" "&amp;$J1596&amp;" "&amp;$K1596&amp;" "&amp;$L1596&amp;" "&amp;$V1596))),OR(CARI!$C$6="",$F1596=CARI!$C$6),OR(CARI!$C$7="",$G1596=CARI!$C$7),OR(CARI!$C$8="",$T1596=CARI!$C$8)),MAX($Z$3:Z1595)+1,""))</f>
        <v/>
      </c>
      <c r="AA1596" s="40" t="str">
        <f aca="false">IF($Y1596="","",MAX($AA$3:AA1595)+1)</f>
        <v/>
      </c>
      <c r="AB1596" s="40" t="str">
        <f aca="false">IF($F1596="","",$F1596&amp;"#"&amp;COUNTIF($F$4:$F1596,$F1596))</f>
        <v/>
      </c>
      <c r="AC1596" s="40" t="str">
        <f aca="false">IF($B1596="","",IF(AND(OR(CETAK!$J$10="",$F1596=CETAK!$J$10),OR(CETAK!$J$11="",$G1596=CETAK!$J$11),OR(CETAK!$J$12="",$P1596=CETAK!$J$12),OR(CETAK!$J$13="",$N1596=CETAK!$J$13),OR(CETAK!$J$14="",$T1596=CETAK!$J$14)),MAX($AC$3:AC1595)+1,""))</f>
        <v/>
      </c>
      <c r="AD1596" s="40" t="str">
        <f aca="false">IF($B1596="","",IF(AND(OR(ABSENSI!$H$10="",$F1596=ABSENSI!$H$10),OR(ABSENSI!$H$11="",$G1596=ABSENSI!$H$11),OR(ABSENSI!$H$12="",$P1596=ABSENSI!$H$12)),MAX($AD$3:AD1595)+1,""))</f>
        <v/>
      </c>
      <c r="AE1596" s="40" t="str">
        <f aca="false">IF($B1596="","",IF(AND(OR(KARTU!$K$6="",$F1596=KARTU!$K$6),OR(KARTU!$K$7="",$G1596=KARTU!$K$7),OR(KARTU!$K$8="",$P1596=KARTU!$K$8)),MAX($AE$3:AE1595)+1,""))</f>
        <v/>
      </c>
    </row>
    <row r="1597" customFormat="false" ht="15" hidden="false" customHeight="false" outlineLevel="0" collapsed="false">
      <c r="A1597" s="35" t="str">
        <f aca="false">IF($B1597="","",COUNTA($B$4:$B1597))</f>
        <v/>
      </c>
      <c r="B1597" s="36"/>
      <c r="C1597" s="37"/>
      <c r="D1597" s="37"/>
      <c r="E1597" s="38"/>
      <c r="F1597" s="36"/>
      <c r="G1597" s="39"/>
      <c r="H1597" s="39"/>
      <c r="I1597" s="36"/>
      <c r="J1597" s="36"/>
      <c r="K1597" s="36"/>
      <c r="L1597" s="36"/>
      <c r="M1597" s="40" t="str">
        <f aca="false">IF($F1597="","",$F1597&amp;IF($G1597="",""," - RT "&amp;$G1597&amp;IF($H1597="","","/"&amp;$H1597)))</f>
        <v/>
      </c>
      <c r="N1597" s="36"/>
      <c r="O1597" s="37"/>
      <c r="P1597" s="39"/>
      <c r="Q1597" s="41"/>
      <c r="R1597" s="35" t="str">
        <f aca="true">IF(OR($B1597="",$Q1597=""),"",DATEDIF($Q1597,TODAY(),"Y"))</f>
        <v/>
      </c>
      <c r="S1597" s="40" t="str">
        <f aca="false">IF($R1597="","",INDEX(usia_label,MATCH($R1597,usia_min,1)))</f>
        <v/>
      </c>
      <c r="T1597" s="36"/>
      <c r="U1597" s="41"/>
      <c r="V1597" s="36"/>
      <c r="W1597" s="36"/>
      <c r="X1597" s="40" t="str">
        <f aca="false">IF($M1597="","",$M1597&amp;"#"&amp;COUNTIF($M$4:$M1597,$M1597))</f>
        <v/>
      </c>
      <c r="Y1597" s="40" t="str">
        <f aca="false">IF($B1597="","",IF($C1597="","NIK kosong",IF(LEN($C1597)&lt;&gt;16,"NIK bukan 16 digit",IF(COUNTIF($C$4:$C$2003,$C1597&amp;"*")&gt;1,"NIK ganda",IF(AND($D1597&lt;&gt;"",LEN($D1597)&lt;&gt;16),"No. KK bukan 16 digit",IF(AND($F1597="",$I1597=""),"Alamat kosong",IF($N1597="","Jabatan kosong",IF($O1597="","No. HP kosong",IF(AND($R1597&lt;&gt;"",$R1597&lt;17),"Usia di bawah 17","")))))))))</f>
        <v/>
      </c>
      <c r="Z1597" s="40" t="str">
        <f aca="false">IF($B1597="","",IF(AND(OR(CARI!$C$5="",ISNUMBER(SEARCH(CARI!$C$5,$B1597&amp;" "&amp;$C1597&amp;" "&amp;$D1597&amp;" "&amp;$O1597&amp;" "&amp;$I1597&amp;" "&amp;$F1597&amp;" "&amp;$J1597&amp;" "&amp;$K1597&amp;" "&amp;$L1597&amp;" "&amp;$V1597))),OR(CARI!$C$6="",$F1597=CARI!$C$6),OR(CARI!$C$7="",$G1597=CARI!$C$7),OR(CARI!$C$8="",$T1597=CARI!$C$8)),MAX($Z$3:Z1596)+1,""))</f>
        <v/>
      </c>
      <c r="AA1597" s="40" t="str">
        <f aca="false">IF($Y1597="","",MAX($AA$3:AA1596)+1)</f>
        <v/>
      </c>
      <c r="AB1597" s="40" t="str">
        <f aca="false">IF($F1597="","",$F1597&amp;"#"&amp;COUNTIF($F$4:$F1597,$F1597))</f>
        <v/>
      </c>
      <c r="AC1597" s="40" t="str">
        <f aca="false">IF($B1597="","",IF(AND(OR(CETAK!$J$10="",$F1597=CETAK!$J$10),OR(CETAK!$J$11="",$G1597=CETAK!$J$11),OR(CETAK!$J$12="",$P1597=CETAK!$J$12),OR(CETAK!$J$13="",$N1597=CETAK!$J$13),OR(CETAK!$J$14="",$T1597=CETAK!$J$14)),MAX($AC$3:AC1596)+1,""))</f>
        <v/>
      </c>
      <c r="AD1597" s="40" t="str">
        <f aca="false">IF($B1597="","",IF(AND(OR(ABSENSI!$H$10="",$F1597=ABSENSI!$H$10),OR(ABSENSI!$H$11="",$G1597=ABSENSI!$H$11),OR(ABSENSI!$H$12="",$P1597=ABSENSI!$H$12)),MAX($AD$3:AD1596)+1,""))</f>
        <v/>
      </c>
      <c r="AE1597" s="40" t="str">
        <f aca="false">IF($B1597="","",IF(AND(OR(KARTU!$K$6="",$F1597=KARTU!$K$6),OR(KARTU!$K$7="",$G1597=KARTU!$K$7),OR(KARTU!$K$8="",$P1597=KARTU!$K$8)),MAX($AE$3:AE1596)+1,""))</f>
        <v/>
      </c>
    </row>
    <row r="1598" customFormat="false" ht="15" hidden="false" customHeight="false" outlineLevel="0" collapsed="false">
      <c r="A1598" s="35" t="str">
        <f aca="false">IF($B1598="","",COUNTA($B$4:$B1598))</f>
        <v/>
      </c>
      <c r="B1598" s="36"/>
      <c r="C1598" s="37"/>
      <c r="D1598" s="37"/>
      <c r="E1598" s="38"/>
      <c r="F1598" s="36"/>
      <c r="G1598" s="39"/>
      <c r="H1598" s="39"/>
      <c r="I1598" s="36"/>
      <c r="J1598" s="36"/>
      <c r="K1598" s="36"/>
      <c r="L1598" s="36"/>
      <c r="M1598" s="40" t="str">
        <f aca="false">IF($F1598="","",$F1598&amp;IF($G1598="",""," - RT "&amp;$G1598&amp;IF($H1598="","","/"&amp;$H1598)))</f>
        <v/>
      </c>
      <c r="N1598" s="36"/>
      <c r="O1598" s="37"/>
      <c r="P1598" s="39"/>
      <c r="Q1598" s="41"/>
      <c r="R1598" s="35" t="str">
        <f aca="true">IF(OR($B1598="",$Q1598=""),"",DATEDIF($Q1598,TODAY(),"Y"))</f>
        <v/>
      </c>
      <c r="S1598" s="40" t="str">
        <f aca="false">IF($R1598="","",INDEX(usia_label,MATCH($R1598,usia_min,1)))</f>
        <v/>
      </c>
      <c r="T1598" s="36"/>
      <c r="U1598" s="41"/>
      <c r="V1598" s="36"/>
      <c r="W1598" s="36"/>
      <c r="X1598" s="40" t="str">
        <f aca="false">IF($M1598="","",$M1598&amp;"#"&amp;COUNTIF($M$4:$M1598,$M1598))</f>
        <v/>
      </c>
      <c r="Y1598" s="40" t="str">
        <f aca="false">IF($B1598="","",IF($C1598="","NIK kosong",IF(LEN($C1598)&lt;&gt;16,"NIK bukan 16 digit",IF(COUNTIF($C$4:$C$2003,$C1598&amp;"*")&gt;1,"NIK ganda",IF(AND($D1598&lt;&gt;"",LEN($D1598)&lt;&gt;16),"No. KK bukan 16 digit",IF(AND($F1598="",$I1598=""),"Alamat kosong",IF($N1598="","Jabatan kosong",IF($O1598="","No. HP kosong",IF(AND($R1598&lt;&gt;"",$R1598&lt;17),"Usia di bawah 17","")))))))))</f>
        <v/>
      </c>
      <c r="Z1598" s="40" t="str">
        <f aca="false">IF($B1598="","",IF(AND(OR(CARI!$C$5="",ISNUMBER(SEARCH(CARI!$C$5,$B1598&amp;" "&amp;$C1598&amp;" "&amp;$D1598&amp;" "&amp;$O1598&amp;" "&amp;$I1598&amp;" "&amp;$F1598&amp;" "&amp;$J1598&amp;" "&amp;$K1598&amp;" "&amp;$L1598&amp;" "&amp;$V1598))),OR(CARI!$C$6="",$F1598=CARI!$C$6),OR(CARI!$C$7="",$G1598=CARI!$C$7),OR(CARI!$C$8="",$T1598=CARI!$C$8)),MAX($Z$3:Z1597)+1,""))</f>
        <v/>
      </c>
      <c r="AA1598" s="40" t="str">
        <f aca="false">IF($Y1598="","",MAX($AA$3:AA1597)+1)</f>
        <v/>
      </c>
      <c r="AB1598" s="40" t="str">
        <f aca="false">IF($F1598="","",$F1598&amp;"#"&amp;COUNTIF($F$4:$F1598,$F1598))</f>
        <v/>
      </c>
      <c r="AC1598" s="40" t="str">
        <f aca="false">IF($B1598="","",IF(AND(OR(CETAK!$J$10="",$F1598=CETAK!$J$10),OR(CETAK!$J$11="",$G1598=CETAK!$J$11),OR(CETAK!$J$12="",$P1598=CETAK!$J$12),OR(CETAK!$J$13="",$N1598=CETAK!$J$13),OR(CETAK!$J$14="",$T1598=CETAK!$J$14)),MAX($AC$3:AC1597)+1,""))</f>
        <v/>
      </c>
      <c r="AD1598" s="40" t="str">
        <f aca="false">IF($B1598="","",IF(AND(OR(ABSENSI!$H$10="",$F1598=ABSENSI!$H$10),OR(ABSENSI!$H$11="",$G1598=ABSENSI!$H$11),OR(ABSENSI!$H$12="",$P1598=ABSENSI!$H$12)),MAX($AD$3:AD1597)+1,""))</f>
        <v/>
      </c>
      <c r="AE1598" s="40" t="str">
        <f aca="false">IF($B1598="","",IF(AND(OR(KARTU!$K$6="",$F1598=KARTU!$K$6),OR(KARTU!$K$7="",$G1598=KARTU!$K$7),OR(KARTU!$K$8="",$P1598=KARTU!$K$8)),MAX($AE$3:AE1597)+1,""))</f>
        <v/>
      </c>
    </row>
    <row r="1599" customFormat="false" ht="15" hidden="false" customHeight="false" outlineLevel="0" collapsed="false">
      <c r="A1599" s="35" t="str">
        <f aca="false">IF($B1599="","",COUNTA($B$4:$B1599))</f>
        <v/>
      </c>
      <c r="B1599" s="36"/>
      <c r="C1599" s="37"/>
      <c r="D1599" s="37"/>
      <c r="E1599" s="38"/>
      <c r="F1599" s="36"/>
      <c r="G1599" s="39"/>
      <c r="H1599" s="39"/>
      <c r="I1599" s="36"/>
      <c r="J1599" s="36"/>
      <c r="K1599" s="36"/>
      <c r="L1599" s="36"/>
      <c r="M1599" s="40" t="str">
        <f aca="false">IF($F1599="","",$F1599&amp;IF($G1599="",""," - RT "&amp;$G1599&amp;IF($H1599="","","/"&amp;$H1599)))</f>
        <v/>
      </c>
      <c r="N1599" s="36"/>
      <c r="O1599" s="37"/>
      <c r="P1599" s="39"/>
      <c r="Q1599" s="41"/>
      <c r="R1599" s="35" t="str">
        <f aca="true">IF(OR($B1599="",$Q1599=""),"",DATEDIF($Q1599,TODAY(),"Y"))</f>
        <v/>
      </c>
      <c r="S1599" s="40" t="str">
        <f aca="false">IF($R1599="","",INDEX(usia_label,MATCH($R1599,usia_min,1)))</f>
        <v/>
      </c>
      <c r="T1599" s="36"/>
      <c r="U1599" s="41"/>
      <c r="V1599" s="36"/>
      <c r="W1599" s="36"/>
      <c r="X1599" s="40" t="str">
        <f aca="false">IF($M1599="","",$M1599&amp;"#"&amp;COUNTIF($M$4:$M1599,$M1599))</f>
        <v/>
      </c>
      <c r="Y1599" s="40" t="str">
        <f aca="false">IF($B1599="","",IF($C1599="","NIK kosong",IF(LEN($C1599)&lt;&gt;16,"NIK bukan 16 digit",IF(COUNTIF($C$4:$C$2003,$C1599&amp;"*")&gt;1,"NIK ganda",IF(AND($D1599&lt;&gt;"",LEN($D1599)&lt;&gt;16),"No. KK bukan 16 digit",IF(AND($F1599="",$I1599=""),"Alamat kosong",IF($N1599="","Jabatan kosong",IF($O1599="","No. HP kosong",IF(AND($R1599&lt;&gt;"",$R1599&lt;17),"Usia di bawah 17","")))))))))</f>
        <v/>
      </c>
      <c r="Z1599" s="40" t="str">
        <f aca="false">IF($B1599="","",IF(AND(OR(CARI!$C$5="",ISNUMBER(SEARCH(CARI!$C$5,$B1599&amp;" "&amp;$C1599&amp;" "&amp;$D1599&amp;" "&amp;$O1599&amp;" "&amp;$I1599&amp;" "&amp;$F1599&amp;" "&amp;$J1599&amp;" "&amp;$K1599&amp;" "&amp;$L1599&amp;" "&amp;$V1599))),OR(CARI!$C$6="",$F1599=CARI!$C$6),OR(CARI!$C$7="",$G1599=CARI!$C$7),OR(CARI!$C$8="",$T1599=CARI!$C$8)),MAX($Z$3:Z1598)+1,""))</f>
        <v/>
      </c>
      <c r="AA1599" s="40" t="str">
        <f aca="false">IF($Y1599="","",MAX($AA$3:AA1598)+1)</f>
        <v/>
      </c>
      <c r="AB1599" s="40" t="str">
        <f aca="false">IF($F1599="","",$F1599&amp;"#"&amp;COUNTIF($F$4:$F1599,$F1599))</f>
        <v/>
      </c>
      <c r="AC1599" s="40" t="str">
        <f aca="false">IF($B1599="","",IF(AND(OR(CETAK!$J$10="",$F1599=CETAK!$J$10),OR(CETAK!$J$11="",$G1599=CETAK!$J$11),OR(CETAK!$J$12="",$P1599=CETAK!$J$12),OR(CETAK!$J$13="",$N1599=CETAK!$J$13),OR(CETAK!$J$14="",$T1599=CETAK!$J$14)),MAX($AC$3:AC1598)+1,""))</f>
        <v/>
      </c>
      <c r="AD1599" s="40" t="str">
        <f aca="false">IF($B1599="","",IF(AND(OR(ABSENSI!$H$10="",$F1599=ABSENSI!$H$10),OR(ABSENSI!$H$11="",$G1599=ABSENSI!$H$11),OR(ABSENSI!$H$12="",$P1599=ABSENSI!$H$12)),MAX($AD$3:AD1598)+1,""))</f>
        <v/>
      </c>
      <c r="AE1599" s="40" t="str">
        <f aca="false">IF($B1599="","",IF(AND(OR(KARTU!$K$6="",$F1599=KARTU!$K$6),OR(KARTU!$K$7="",$G1599=KARTU!$K$7),OR(KARTU!$K$8="",$P1599=KARTU!$K$8)),MAX($AE$3:AE1598)+1,""))</f>
        <v/>
      </c>
    </row>
    <row r="1600" customFormat="false" ht="15" hidden="false" customHeight="false" outlineLevel="0" collapsed="false">
      <c r="A1600" s="35" t="str">
        <f aca="false">IF($B1600="","",COUNTA($B$4:$B1600))</f>
        <v/>
      </c>
      <c r="B1600" s="36"/>
      <c r="C1600" s="37"/>
      <c r="D1600" s="37"/>
      <c r="E1600" s="38"/>
      <c r="F1600" s="36"/>
      <c r="G1600" s="39"/>
      <c r="H1600" s="39"/>
      <c r="I1600" s="36"/>
      <c r="J1600" s="36"/>
      <c r="K1600" s="36"/>
      <c r="L1600" s="36"/>
      <c r="M1600" s="40" t="str">
        <f aca="false">IF($F1600="","",$F1600&amp;IF($G1600="",""," - RT "&amp;$G1600&amp;IF($H1600="","","/"&amp;$H1600)))</f>
        <v/>
      </c>
      <c r="N1600" s="36"/>
      <c r="O1600" s="37"/>
      <c r="P1600" s="39"/>
      <c r="Q1600" s="41"/>
      <c r="R1600" s="35" t="str">
        <f aca="true">IF(OR($B1600="",$Q1600=""),"",DATEDIF($Q1600,TODAY(),"Y"))</f>
        <v/>
      </c>
      <c r="S1600" s="40" t="str">
        <f aca="false">IF($R1600="","",INDEX(usia_label,MATCH($R1600,usia_min,1)))</f>
        <v/>
      </c>
      <c r="T1600" s="36"/>
      <c r="U1600" s="41"/>
      <c r="V1600" s="36"/>
      <c r="W1600" s="36"/>
      <c r="X1600" s="40" t="str">
        <f aca="false">IF($M1600="","",$M1600&amp;"#"&amp;COUNTIF($M$4:$M1600,$M1600))</f>
        <v/>
      </c>
      <c r="Y1600" s="40" t="str">
        <f aca="false">IF($B1600="","",IF($C1600="","NIK kosong",IF(LEN($C1600)&lt;&gt;16,"NIK bukan 16 digit",IF(COUNTIF($C$4:$C$2003,$C1600&amp;"*")&gt;1,"NIK ganda",IF(AND($D1600&lt;&gt;"",LEN($D1600)&lt;&gt;16),"No. KK bukan 16 digit",IF(AND($F1600="",$I1600=""),"Alamat kosong",IF($N1600="","Jabatan kosong",IF($O1600="","No. HP kosong",IF(AND($R1600&lt;&gt;"",$R1600&lt;17),"Usia di bawah 17","")))))))))</f>
        <v/>
      </c>
      <c r="Z1600" s="40" t="str">
        <f aca="false">IF($B1600="","",IF(AND(OR(CARI!$C$5="",ISNUMBER(SEARCH(CARI!$C$5,$B1600&amp;" "&amp;$C1600&amp;" "&amp;$D1600&amp;" "&amp;$O1600&amp;" "&amp;$I1600&amp;" "&amp;$F1600&amp;" "&amp;$J1600&amp;" "&amp;$K1600&amp;" "&amp;$L1600&amp;" "&amp;$V1600))),OR(CARI!$C$6="",$F1600=CARI!$C$6),OR(CARI!$C$7="",$G1600=CARI!$C$7),OR(CARI!$C$8="",$T1600=CARI!$C$8)),MAX($Z$3:Z1599)+1,""))</f>
        <v/>
      </c>
      <c r="AA1600" s="40" t="str">
        <f aca="false">IF($Y1600="","",MAX($AA$3:AA1599)+1)</f>
        <v/>
      </c>
      <c r="AB1600" s="40" t="str">
        <f aca="false">IF($F1600="","",$F1600&amp;"#"&amp;COUNTIF($F$4:$F1600,$F1600))</f>
        <v/>
      </c>
      <c r="AC1600" s="40" t="str">
        <f aca="false">IF($B1600="","",IF(AND(OR(CETAK!$J$10="",$F1600=CETAK!$J$10),OR(CETAK!$J$11="",$G1600=CETAK!$J$11),OR(CETAK!$J$12="",$P1600=CETAK!$J$12),OR(CETAK!$J$13="",$N1600=CETAK!$J$13),OR(CETAK!$J$14="",$T1600=CETAK!$J$14)),MAX($AC$3:AC1599)+1,""))</f>
        <v/>
      </c>
      <c r="AD1600" s="40" t="str">
        <f aca="false">IF($B1600="","",IF(AND(OR(ABSENSI!$H$10="",$F1600=ABSENSI!$H$10),OR(ABSENSI!$H$11="",$G1600=ABSENSI!$H$11),OR(ABSENSI!$H$12="",$P1600=ABSENSI!$H$12)),MAX($AD$3:AD1599)+1,""))</f>
        <v/>
      </c>
      <c r="AE1600" s="40" t="str">
        <f aca="false">IF($B1600="","",IF(AND(OR(KARTU!$K$6="",$F1600=KARTU!$K$6),OR(KARTU!$K$7="",$G1600=KARTU!$K$7),OR(KARTU!$K$8="",$P1600=KARTU!$K$8)),MAX($AE$3:AE1599)+1,""))</f>
        <v/>
      </c>
    </row>
    <row r="1601" customFormat="false" ht="15" hidden="false" customHeight="false" outlineLevel="0" collapsed="false">
      <c r="A1601" s="35" t="str">
        <f aca="false">IF($B1601="","",COUNTA($B$4:$B1601))</f>
        <v/>
      </c>
      <c r="B1601" s="36"/>
      <c r="C1601" s="37"/>
      <c r="D1601" s="37"/>
      <c r="E1601" s="38"/>
      <c r="F1601" s="36"/>
      <c r="G1601" s="39"/>
      <c r="H1601" s="39"/>
      <c r="I1601" s="36"/>
      <c r="J1601" s="36"/>
      <c r="K1601" s="36"/>
      <c r="L1601" s="36"/>
      <c r="M1601" s="40" t="str">
        <f aca="false">IF($F1601="","",$F1601&amp;IF($G1601="",""," - RT "&amp;$G1601&amp;IF($H1601="","","/"&amp;$H1601)))</f>
        <v/>
      </c>
      <c r="N1601" s="36"/>
      <c r="O1601" s="37"/>
      <c r="P1601" s="39"/>
      <c r="Q1601" s="41"/>
      <c r="R1601" s="35" t="str">
        <f aca="true">IF(OR($B1601="",$Q1601=""),"",DATEDIF($Q1601,TODAY(),"Y"))</f>
        <v/>
      </c>
      <c r="S1601" s="40" t="str">
        <f aca="false">IF($R1601="","",INDEX(usia_label,MATCH($R1601,usia_min,1)))</f>
        <v/>
      </c>
      <c r="T1601" s="36"/>
      <c r="U1601" s="41"/>
      <c r="V1601" s="36"/>
      <c r="W1601" s="36"/>
      <c r="X1601" s="40" t="str">
        <f aca="false">IF($M1601="","",$M1601&amp;"#"&amp;COUNTIF($M$4:$M1601,$M1601))</f>
        <v/>
      </c>
      <c r="Y1601" s="40" t="str">
        <f aca="false">IF($B1601="","",IF($C1601="","NIK kosong",IF(LEN($C1601)&lt;&gt;16,"NIK bukan 16 digit",IF(COUNTIF($C$4:$C$2003,$C1601&amp;"*")&gt;1,"NIK ganda",IF(AND($D1601&lt;&gt;"",LEN($D1601)&lt;&gt;16),"No. KK bukan 16 digit",IF(AND($F1601="",$I1601=""),"Alamat kosong",IF($N1601="","Jabatan kosong",IF($O1601="","No. HP kosong",IF(AND($R1601&lt;&gt;"",$R1601&lt;17),"Usia di bawah 17","")))))))))</f>
        <v/>
      </c>
      <c r="Z1601" s="40" t="str">
        <f aca="false">IF($B1601="","",IF(AND(OR(CARI!$C$5="",ISNUMBER(SEARCH(CARI!$C$5,$B1601&amp;" "&amp;$C1601&amp;" "&amp;$D1601&amp;" "&amp;$O1601&amp;" "&amp;$I1601&amp;" "&amp;$F1601&amp;" "&amp;$J1601&amp;" "&amp;$K1601&amp;" "&amp;$L1601&amp;" "&amp;$V1601))),OR(CARI!$C$6="",$F1601=CARI!$C$6),OR(CARI!$C$7="",$G1601=CARI!$C$7),OR(CARI!$C$8="",$T1601=CARI!$C$8)),MAX($Z$3:Z1600)+1,""))</f>
        <v/>
      </c>
      <c r="AA1601" s="40" t="str">
        <f aca="false">IF($Y1601="","",MAX($AA$3:AA1600)+1)</f>
        <v/>
      </c>
      <c r="AB1601" s="40" t="str">
        <f aca="false">IF($F1601="","",$F1601&amp;"#"&amp;COUNTIF($F$4:$F1601,$F1601))</f>
        <v/>
      </c>
      <c r="AC1601" s="40" t="str">
        <f aca="false">IF($B1601="","",IF(AND(OR(CETAK!$J$10="",$F1601=CETAK!$J$10),OR(CETAK!$J$11="",$G1601=CETAK!$J$11),OR(CETAK!$J$12="",$P1601=CETAK!$J$12),OR(CETAK!$J$13="",$N1601=CETAK!$J$13),OR(CETAK!$J$14="",$T1601=CETAK!$J$14)),MAX($AC$3:AC1600)+1,""))</f>
        <v/>
      </c>
      <c r="AD1601" s="40" t="str">
        <f aca="false">IF($B1601="","",IF(AND(OR(ABSENSI!$H$10="",$F1601=ABSENSI!$H$10),OR(ABSENSI!$H$11="",$G1601=ABSENSI!$H$11),OR(ABSENSI!$H$12="",$P1601=ABSENSI!$H$12)),MAX($AD$3:AD1600)+1,""))</f>
        <v/>
      </c>
      <c r="AE1601" s="40" t="str">
        <f aca="false">IF($B1601="","",IF(AND(OR(KARTU!$K$6="",$F1601=KARTU!$K$6),OR(KARTU!$K$7="",$G1601=KARTU!$K$7),OR(KARTU!$K$8="",$P1601=KARTU!$K$8)),MAX($AE$3:AE1600)+1,""))</f>
        <v/>
      </c>
    </row>
    <row r="1602" customFormat="false" ht="15" hidden="false" customHeight="false" outlineLevel="0" collapsed="false">
      <c r="A1602" s="35" t="str">
        <f aca="false">IF($B1602="","",COUNTA($B$4:$B1602))</f>
        <v/>
      </c>
      <c r="B1602" s="36"/>
      <c r="C1602" s="37"/>
      <c r="D1602" s="37"/>
      <c r="E1602" s="38"/>
      <c r="F1602" s="36"/>
      <c r="G1602" s="39"/>
      <c r="H1602" s="39"/>
      <c r="I1602" s="36"/>
      <c r="J1602" s="36"/>
      <c r="K1602" s="36"/>
      <c r="L1602" s="36"/>
      <c r="M1602" s="40" t="str">
        <f aca="false">IF($F1602="","",$F1602&amp;IF($G1602="",""," - RT "&amp;$G1602&amp;IF($H1602="","","/"&amp;$H1602)))</f>
        <v/>
      </c>
      <c r="N1602" s="36"/>
      <c r="O1602" s="37"/>
      <c r="P1602" s="39"/>
      <c r="Q1602" s="41"/>
      <c r="R1602" s="35" t="str">
        <f aca="true">IF(OR($B1602="",$Q1602=""),"",DATEDIF($Q1602,TODAY(),"Y"))</f>
        <v/>
      </c>
      <c r="S1602" s="40" t="str">
        <f aca="false">IF($R1602="","",INDEX(usia_label,MATCH($R1602,usia_min,1)))</f>
        <v/>
      </c>
      <c r="T1602" s="36"/>
      <c r="U1602" s="41"/>
      <c r="V1602" s="36"/>
      <c r="W1602" s="36"/>
      <c r="X1602" s="40" t="str">
        <f aca="false">IF($M1602="","",$M1602&amp;"#"&amp;COUNTIF($M$4:$M1602,$M1602))</f>
        <v/>
      </c>
      <c r="Y1602" s="40" t="str">
        <f aca="false">IF($B1602="","",IF($C1602="","NIK kosong",IF(LEN($C1602)&lt;&gt;16,"NIK bukan 16 digit",IF(COUNTIF($C$4:$C$2003,$C1602&amp;"*")&gt;1,"NIK ganda",IF(AND($D1602&lt;&gt;"",LEN($D1602)&lt;&gt;16),"No. KK bukan 16 digit",IF(AND($F1602="",$I1602=""),"Alamat kosong",IF($N1602="","Jabatan kosong",IF($O1602="","No. HP kosong",IF(AND($R1602&lt;&gt;"",$R1602&lt;17),"Usia di bawah 17","")))))))))</f>
        <v/>
      </c>
      <c r="Z1602" s="40" t="str">
        <f aca="false">IF($B1602="","",IF(AND(OR(CARI!$C$5="",ISNUMBER(SEARCH(CARI!$C$5,$B1602&amp;" "&amp;$C1602&amp;" "&amp;$D1602&amp;" "&amp;$O1602&amp;" "&amp;$I1602&amp;" "&amp;$F1602&amp;" "&amp;$J1602&amp;" "&amp;$K1602&amp;" "&amp;$L1602&amp;" "&amp;$V1602))),OR(CARI!$C$6="",$F1602=CARI!$C$6),OR(CARI!$C$7="",$G1602=CARI!$C$7),OR(CARI!$C$8="",$T1602=CARI!$C$8)),MAX($Z$3:Z1601)+1,""))</f>
        <v/>
      </c>
      <c r="AA1602" s="40" t="str">
        <f aca="false">IF($Y1602="","",MAX($AA$3:AA1601)+1)</f>
        <v/>
      </c>
      <c r="AB1602" s="40" t="str">
        <f aca="false">IF($F1602="","",$F1602&amp;"#"&amp;COUNTIF($F$4:$F1602,$F1602))</f>
        <v/>
      </c>
      <c r="AC1602" s="40" t="str">
        <f aca="false">IF($B1602="","",IF(AND(OR(CETAK!$J$10="",$F1602=CETAK!$J$10),OR(CETAK!$J$11="",$G1602=CETAK!$J$11),OR(CETAK!$J$12="",$P1602=CETAK!$J$12),OR(CETAK!$J$13="",$N1602=CETAK!$J$13),OR(CETAK!$J$14="",$T1602=CETAK!$J$14)),MAX($AC$3:AC1601)+1,""))</f>
        <v/>
      </c>
      <c r="AD1602" s="40" t="str">
        <f aca="false">IF($B1602="","",IF(AND(OR(ABSENSI!$H$10="",$F1602=ABSENSI!$H$10),OR(ABSENSI!$H$11="",$G1602=ABSENSI!$H$11),OR(ABSENSI!$H$12="",$P1602=ABSENSI!$H$12)),MAX($AD$3:AD1601)+1,""))</f>
        <v/>
      </c>
      <c r="AE1602" s="40" t="str">
        <f aca="false">IF($B1602="","",IF(AND(OR(KARTU!$K$6="",$F1602=KARTU!$K$6),OR(KARTU!$K$7="",$G1602=KARTU!$K$7),OR(KARTU!$K$8="",$P1602=KARTU!$K$8)),MAX($AE$3:AE1601)+1,""))</f>
        <v/>
      </c>
    </row>
    <row r="1603" customFormat="false" ht="15" hidden="false" customHeight="false" outlineLevel="0" collapsed="false">
      <c r="A1603" s="35" t="str">
        <f aca="false">IF($B1603="","",COUNTA($B$4:$B1603))</f>
        <v/>
      </c>
      <c r="B1603" s="36"/>
      <c r="C1603" s="37"/>
      <c r="D1603" s="37"/>
      <c r="E1603" s="38"/>
      <c r="F1603" s="36"/>
      <c r="G1603" s="39"/>
      <c r="H1603" s="39"/>
      <c r="I1603" s="36"/>
      <c r="J1603" s="36"/>
      <c r="K1603" s="36"/>
      <c r="L1603" s="36"/>
      <c r="M1603" s="40" t="str">
        <f aca="false">IF($F1603="","",$F1603&amp;IF($G1603="",""," - RT "&amp;$G1603&amp;IF($H1603="","","/"&amp;$H1603)))</f>
        <v/>
      </c>
      <c r="N1603" s="36"/>
      <c r="O1603" s="37"/>
      <c r="P1603" s="39"/>
      <c r="Q1603" s="41"/>
      <c r="R1603" s="35" t="str">
        <f aca="true">IF(OR($B1603="",$Q1603=""),"",DATEDIF($Q1603,TODAY(),"Y"))</f>
        <v/>
      </c>
      <c r="S1603" s="40" t="str">
        <f aca="false">IF($R1603="","",INDEX(usia_label,MATCH($R1603,usia_min,1)))</f>
        <v/>
      </c>
      <c r="T1603" s="36"/>
      <c r="U1603" s="41"/>
      <c r="V1603" s="36"/>
      <c r="W1603" s="36"/>
      <c r="X1603" s="40" t="str">
        <f aca="false">IF($M1603="","",$M1603&amp;"#"&amp;COUNTIF($M$4:$M1603,$M1603))</f>
        <v/>
      </c>
      <c r="Y1603" s="40" t="str">
        <f aca="false">IF($B1603="","",IF($C1603="","NIK kosong",IF(LEN($C1603)&lt;&gt;16,"NIK bukan 16 digit",IF(COUNTIF($C$4:$C$2003,$C1603&amp;"*")&gt;1,"NIK ganda",IF(AND($D1603&lt;&gt;"",LEN($D1603)&lt;&gt;16),"No. KK bukan 16 digit",IF(AND($F1603="",$I1603=""),"Alamat kosong",IF($N1603="","Jabatan kosong",IF($O1603="","No. HP kosong",IF(AND($R1603&lt;&gt;"",$R1603&lt;17),"Usia di bawah 17","")))))))))</f>
        <v/>
      </c>
      <c r="Z1603" s="40" t="str">
        <f aca="false">IF($B1603="","",IF(AND(OR(CARI!$C$5="",ISNUMBER(SEARCH(CARI!$C$5,$B1603&amp;" "&amp;$C1603&amp;" "&amp;$D1603&amp;" "&amp;$O1603&amp;" "&amp;$I1603&amp;" "&amp;$F1603&amp;" "&amp;$J1603&amp;" "&amp;$K1603&amp;" "&amp;$L1603&amp;" "&amp;$V1603))),OR(CARI!$C$6="",$F1603=CARI!$C$6),OR(CARI!$C$7="",$G1603=CARI!$C$7),OR(CARI!$C$8="",$T1603=CARI!$C$8)),MAX($Z$3:Z1602)+1,""))</f>
        <v/>
      </c>
      <c r="AA1603" s="40" t="str">
        <f aca="false">IF($Y1603="","",MAX($AA$3:AA1602)+1)</f>
        <v/>
      </c>
      <c r="AB1603" s="40" t="str">
        <f aca="false">IF($F1603="","",$F1603&amp;"#"&amp;COUNTIF($F$4:$F1603,$F1603))</f>
        <v/>
      </c>
      <c r="AC1603" s="40" t="str">
        <f aca="false">IF($B1603="","",IF(AND(OR(CETAK!$J$10="",$F1603=CETAK!$J$10),OR(CETAK!$J$11="",$G1603=CETAK!$J$11),OR(CETAK!$J$12="",$P1603=CETAK!$J$12),OR(CETAK!$J$13="",$N1603=CETAK!$J$13),OR(CETAK!$J$14="",$T1603=CETAK!$J$14)),MAX($AC$3:AC1602)+1,""))</f>
        <v/>
      </c>
      <c r="AD1603" s="40" t="str">
        <f aca="false">IF($B1603="","",IF(AND(OR(ABSENSI!$H$10="",$F1603=ABSENSI!$H$10),OR(ABSENSI!$H$11="",$G1603=ABSENSI!$H$11),OR(ABSENSI!$H$12="",$P1603=ABSENSI!$H$12)),MAX($AD$3:AD1602)+1,""))</f>
        <v/>
      </c>
      <c r="AE1603" s="40" t="str">
        <f aca="false">IF($B1603="","",IF(AND(OR(KARTU!$K$6="",$F1603=KARTU!$K$6),OR(KARTU!$K$7="",$G1603=KARTU!$K$7),OR(KARTU!$K$8="",$P1603=KARTU!$K$8)),MAX($AE$3:AE1602)+1,""))</f>
        <v/>
      </c>
    </row>
    <row r="1604" customFormat="false" ht="15" hidden="false" customHeight="false" outlineLevel="0" collapsed="false">
      <c r="A1604" s="35" t="str">
        <f aca="false">IF($B1604="","",COUNTA($B$4:$B1604))</f>
        <v/>
      </c>
      <c r="B1604" s="36"/>
      <c r="C1604" s="37"/>
      <c r="D1604" s="37"/>
      <c r="E1604" s="38"/>
      <c r="F1604" s="36"/>
      <c r="G1604" s="39"/>
      <c r="H1604" s="39"/>
      <c r="I1604" s="36"/>
      <c r="J1604" s="36"/>
      <c r="K1604" s="36"/>
      <c r="L1604" s="36"/>
      <c r="M1604" s="40" t="str">
        <f aca="false">IF($F1604="","",$F1604&amp;IF($G1604="",""," - RT "&amp;$G1604&amp;IF($H1604="","","/"&amp;$H1604)))</f>
        <v/>
      </c>
      <c r="N1604" s="36"/>
      <c r="O1604" s="37"/>
      <c r="P1604" s="39"/>
      <c r="Q1604" s="41"/>
      <c r="R1604" s="35" t="str">
        <f aca="true">IF(OR($B1604="",$Q1604=""),"",DATEDIF($Q1604,TODAY(),"Y"))</f>
        <v/>
      </c>
      <c r="S1604" s="40" t="str">
        <f aca="false">IF($R1604="","",INDEX(usia_label,MATCH($R1604,usia_min,1)))</f>
        <v/>
      </c>
      <c r="T1604" s="36"/>
      <c r="U1604" s="41"/>
      <c r="V1604" s="36"/>
      <c r="W1604" s="36"/>
      <c r="X1604" s="40" t="str">
        <f aca="false">IF($M1604="","",$M1604&amp;"#"&amp;COUNTIF($M$4:$M1604,$M1604))</f>
        <v/>
      </c>
      <c r="Y1604" s="40" t="str">
        <f aca="false">IF($B1604="","",IF($C1604="","NIK kosong",IF(LEN($C1604)&lt;&gt;16,"NIK bukan 16 digit",IF(COUNTIF($C$4:$C$2003,$C1604&amp;"*")&gt;1,"NIK ganda",IF(AND($D1604&lt;&gt;"",LEN($D1604)&lt;&gt;16),"No. KK bukan 16 digit",IF(AND($F1604="",$I1604=""),"Alamat kosong",IF($N1604="","Jabatan kosong",IF($O1604="","No. HP kosong",IF(AND($R1604&lt;&gt;"",$R1604&lt;17),"Usia di bawah 17","")))))))))</f>
        <v/>
      </c>
      <c r="Z1604" s="40" t="str">
        <f aca="false">IF($B1604="","",IF(AND(OR(CARI!$C$5="",ISNUMBER(SEARCH(CARI!$C$5,$B1604&amp;" "&amp;$C1604&amp;" "&amp;$D1604&amp;" "&amp;$O1604&amp;" "&amp;$I1604&amp;" "&amp;$F1604&amp;" "&amp;$J1604&amp;" "&amp;$K1604&amp;" "&amp;$L1604&amp;" "&amp;$V1604))),OR(CARI!$C$6="",$F1604=CARI!$C$6),OR(CARI!$C$7="",$G1604=CARI!$C$7),OR(CARI!$C$8="",$T1604=CARI!$C$8)),MAX($Z$3:Z1603)+1,""))</f>
        <v/>
      </c>
      <c r="AA1604" s="40" t="str">
        <f aca="false">IF($Y1604="","",MAX($AA$3:AA1603)+1)</f>
        <v/>
      </c>
      <c r="AB1604" s="40" t="str">
        <f aca="false">IF($F1604="","",$F1604&amp;"#"&amp;COUNTIF($F$4:$F1604,$F1604))</f>
        <v/>
      </c>
      <c r="AC1604" s="40" t="str">
        <f aca="false">IF($B1604="","",IF(AND(OR(CETAK!$J$10="",$F1604=CETAK!$J$10),OR(CETAK!$J$11="",$G1604=CETAK!$J$11),OR(CETAK!$J$12="",$P1604=CETAK!$J$12),OR(CETAK!$J$13="",$N1604=CETAK!$J$13),OR(CETAK!$J$14="",$T1604=CETAK!$J$14)),MAX($AC$3:AC1603)+1,""))</f>
        <v/>
      </c>
      <c r="AD1604" s="40" t="str">
        <f aca="false">IF($B1604="","",IF(AND(OR(ABSENSI!$H$10="",$F1604=ABSENSI!$H$10),OR(ABSENSI!$H$11="",$G1604=ABSENSI!$H$11),OR(ABSENSI!$H$12="",$P1604=ABSENSI!$H$12)),MAX($AD$3:AD1603)+1,""))</f>
        <v/>
      </c>
      <c r="AE1604" s="40" t="str">
        <f aca="false">IF($B1604="","",IF(AND(OR(KARTU!$K$6="",$F1604=KARTU!$K$6),OR(KARTU!$K$7="",$G1604=KARTU!$K$7),OR(KARTU!$K$8="",$P1604=KARTU!$K$8)),MAX($AE$3:AE1603)+1,""))</f>
        <v/>
      </c>
    </row>
    <row r="1605" customFormat="false" ht="15" hidden="false" customHeight="false" outlineLevel="0" collapsed="false">
      <c r="A1605" s="35" t="str">
        <f aca="false">IF($B1605="","",COUNTA($B$4:$B1605))</f>
        <v/>
      </c>
      <c r="B1605" s="36"/>
      <c r="C1605" s="37"/>
      <c r="D1605" s="37"/>
      <c r="E1605" s="38"/>
      <c r="F1605" s="36"/>
      <c r="G1605" s="39"/>
      <c r="H1605" s="39"/>
      <c r="I1605" s="36"/>
      <c r="J1605" s="36"/>
      <c r="K1605" s="36"/>
      <c r="L1605" s="36"/>
      <c r="M1605" s="40" t="str">
        <f aca="false">IF($F1605="","",$F1605&amp;IF($G1605="",""," - RT "&amp;$G1605&amp;IF($H1605="","","/"&amp;$H1605)))</f>
        <v/>
      </c>
      <c r="N1605" s="36"/>
      <c r="O1605" s="37"/>
      <c r="P1605" s="39"/>
      <c r="Q1605" s="41"/>
      <c r="R1605" s="35" t="str">
        <f aca="true">IF(OR($B1605="",$Q1605=""),"",DATEDIF($Q1605,TODAY(),"Y"))</f>
        <v/>
      </c>
      <c r="S1605" s="40" t="str">
        <f aca="false">IF($R1605="","",INDEX(usia_label,MATCH($R1605,usia_min,1)))</f>
        <v/>
      </c>
      <c r="T1605" s="36"/>
      <c r="U1605" s="41"/>
      <c r="V1605" s="36"/>
      <c r="W1605" s="36"/>
      <c r="X1605" s="40" t="str">
        <f aca="false">IF($M1605="","",$M1605&amp;"#"&amp;COUNTIF($M$4:$M1605,$M1605))</f>
        <v/>
      </c>
      <c r="Y1605" s="40" t="str">
        <f aca="false">IF($B1605="","",IF($C1605="","NIK kosong",IF(LEN($C1605)&lt;&gt;16,"NIK bukan 16 digit",IF(COUNTIF($C$4:$C$2003,$C1605&amp;"*")&gt;1,"NIK ganda",IF(AND($D1605&lt;&gt;"",LEN($D1605)&lt;&gt;16),"No. KK bukan 16 digit",IF(AND($F1605="",$I1605=""),"Alamat kosong",IF($N1605="","Jabatan kosong",IF($O1605="","No. HP kosong",IF(AND($R1605&lt;&gt;"",$R1605&lt;17),"Usia di bawah 17","")))))))))</f>
        <v/>
      </c>
      <c r="Z1605" s="40" t="str">
        <f aca="false">IF($B1605="","",IF(AND(OR(CARI!$C$5="",ISNUMBER(SEARCH(CARI!$C$5,$B1605&amp;" "&amp;$C1605&amp;" "&amp;$D1605&amp;" "&amp;$O1605&amp;" "&amp;$I1605&amp;" "&amp;$F1605&amp;" "&amp;$J1605&amp;" "&amp;$K1605&amp;" "&amp;$L1605&amp;" "&amp;$V1605))),OR(CARI!$C$6="",$F1605=CARI!$C$6),OR(CARI!$C$7="",$G1605=CARI!$C$7),OR(CARI!$C$8="",$T1605=CARI!$C$8)),MAX($Z$3:Z1604)+1,""))</f>
        <v/>
      </c>
      <c r="AA1605" s="40" t="str">
        <f aca="false">IF($Y1605="","",MAX($AA$3:AA1604)+1)</f>
        <v/>
      </c>
      <c r="AB1605" s="40" t="str">
        <f aca="false">IF($F1605="","",$F1605&amp;"#"&amp;COUNTIF($F$4:$F1605,$F1605))</f>
        <v/>
      </c>
      <c r="AC1605" s="40" t="str">
        <f aca="false">IF($B1605="","",IF(AND(OR(CETAK!$J$10="",$F1605=CETAK!$J$10),OR(CETAK!$J$11="",$G1605=CETAK!$J$11),OR(CETAK!$J$12="",$P1605=CETAK!$J$12),OR(CETAK!$J$13="",$N1605=CETAK!$J$13),OR(CETAK!$J$14="",$T1605=CETAK!$J$14)),MAX($AC$3:AC1604)+1,""))</f>
        <v/>
      </c>
      <c r="AD1605" s="40" t="str">
        <f aca="false">IF($B1605="","",IF(AND(OR(ABSENSI!$H$10="",$F1605=ABSENSI!$H$10),OR(ABSENSI!$H$11="",$G1605=ABSENSI!$H$11),OR(ABSENSI!$H$12="",$P1605=ABSENSI!$H$12)),MAX($AD$3:AD1604)+1,""))</f>
        <v/>
      </c>
      <c r="AE1605" s="40" t="str">
        <f aca="false">IF($B1605="","",IF(AND(OR(KARTU!$K$6="",$F1605=KARTU!$K$6),OR(KARTU!$K$7="",$G1605=KARTU!$K$7),OR(KARTU!$K$8="",$P1605=KARTU!$K$8)),MAX($AE$3:AE1604)+1,""))</f>
        <v/>
      </c>
    </row>
    <row r="1606" customFormat="false" ht="15" hidden="false" customHeight="false" outlineLevel="0" collapsed="false">
      <c r="A1606" s="35" t="str">
        <f aca="false">IF($B1606="","",COUNTA($B$4:$B1606))</f>
        <v/>
      </c>
      <c r="B1606" s="36"/>
      <c r="C1606" s="37"/>
      <c r="D1606" s="37"/>
      <c r="E1606" s="38"/>
      <c r="F1606" s="36"/>
      <c r="G1606" s="39"/>
      <c r="H1606" s="39"/>
      <c r="I1606" s="36"/>
      <c r="J1606" s="36"/>
      <c r="K1606" s="36"/>
      <c r="L1606" s="36"/>
      <c r="M1606" s="40" t="str">
        <f aca="false">IF($F1606="","",$F1606&amp;IF($G1606="",""," - RT "&amp;$G1606&amp;IF($H1606="","","/"&amp;$H1606)))</f>
        <v/>
      </c>
      <c r="N1606" s="36"/>
      <c r="O1606" s="37"/>
      <c r="P1606" s="39"/>
      <c r="Q1606" s="41"/>
      <c r="R1606" s="35" t="str">
        <f aca="true">IF(OR($B1606="",$Q1606=""),"",DATEDIF($Q1606,TODAY(),"Y"))</f>
        <v/>
      </c>
      <c r="S1606" s="40" t="str">
        <f aca="false">IF($R1606="","",INDEX(usia_label,MATCH($R1606,usia_min,1)))</f>
        <v/>
      </c>
      <c r="T1606" s="36"/>
      <c r="U1606" s="41"/>
      <c r="V1606" s="36"/>
      <c r="W1606" s="36"/>
      <c r="X1606" s="40" t="str">
        <f aca="false">IF($M1606="","",$M1606&amp;"#"&amp;COUNTIF($M$4:$M1606,$M1606))</f>
        <v/>
      </c>
      <c r="Y1606" s="40" t="str">
        <f aca="false">IF($B1606="","",IF($C1606="","NIK kosong",IF(LEN($C1606)&lt;&gt;16,"NIK bukan 16 digit",IF(COUNTIF($C$4:$C$2003,$C1606&amp;"*")&gt;1,"NIK ganda",IF(AND($D1606&lt;&gt;"",LEN($D1606)&lt;&gt;16),"No. KK bukan 16 digit",IF(AND($F1606="",$I1606=""),"Alamat kosong",IF($N1606="","Jabatan kosong",IF($O1606="","No. HP kosong",IF(AND($R1606&lt;&gt;"",$R1606&lt;17),"Usia di bawah 17","")))))))))</f>
        <v/>
      </c>
      <c r="Z1606" s="40" t="str">
        <f aca="false">IF($B1606="","",IF(AND(OR(CARI!$C$5="",ISNUMBER(SEARCH(CARI!$C$5,$B1606&amp;" "&amp;$C1606&amp;" "&amp;$D1606&amp;" "&amp;$O1606&amp;" "&amp;$I1606&amp;" "&amp;$F1606&amp;" "&amp;$J1606&amp;" "&amp;$K1606&amp;" "&amp;$L1606&amp;" "&amp;$V1606))),OR(CARI!$C$6="",$F1606=CARI!$C$6),OR(CARI!$C$7="",$G1606=CARI!$C$7),OR(CARI!$C$8="",$T1606=CARI!$C$8)),MAX($Z$3:Z1605)+1,""))</f>
        <v/>
      </c>
      <c r="AA1606" s="40" t="str">
        <f aca="false">IF($Y1606="","",MAX($AA$3:AA1605)+1)</f>
        <v/>
      </c>
      <c r="AB1606" s="40" t="str">
        <f aca="false">IF($F1606="","",$F1606&amp;"#"&amp;COUNTIF($F$4:$F1606,$F1606))</f>
        <v/>
      </c>
      <c r="AC1606" s="40" t="str">
        <f aca="false">IF($B1606="","",IF(AND(OR(CETAK!$J$10="",$F1606=CETAK!$J$10),OR(CETAK!$J$11="",$G1606=CETAK!$J$11),OR(CETAK!$J$12="",$P1606=CETAK!$J$12),OR(CETAK!$J$13="",$N1606=CETAK!$J$13),OR(CETAK!$J$14="",$T1606=CETAK!$J$14)),MAX($AC$3:AC1605)+1,""))</f>
        <v/>
      </c>
      <c r="AD1606" s="40" t="str">
        <f aca="false">IF($B1606="","",IF(AND(OR(ABSENSI!$H$10="",$F1606=ABSENSI!$H$10),OR(ABSENSI!$H$11="",$G1606=ABSENSI!$H$11),OR(ABSENSI!$H$12="",$P1606=ABSENSI!$H$12)),MAX($AD$3:AD1605)+1,""))</f>
        <v/>
      </c>
      <c r="AE1606" s="40" t="str">
        <f aca="false">IF($B1606="","",IF(AND(OR(KARTU!$K$6="",$F1606=KARTU!$K$6),OR(KARTU!$K$7="",$G1606=KARTU!$K$7),OR(KARTU!$K$8="",$P1606=KARTU!$K$8)),MAX($AE$3:AE1605)+1,""))</f>
        <v/>
      </c>
    </row>
    <row r="1607" customFormat="false" ht="15" hidden="false" customHeight="false" outlineLevel="0" collapsed="false">
      <c r="A1607" s="35" t="str">
        <f aca="false">IF($B1607="","",COUNTA($B$4:$B1607))</f>
        <v/>
      </c>
      <c r="B1607" s="36"/>
      <c r="C1607" s="37"/>
      <c r="D1607" s="37"/>
      <c r="E1607" s="38"/>
      <c r="F1607" s="36"/>
      <c r="G1607" s="39"/>
      <c r="H1607" s="39"/>
      <c r="I1607" s="36"/>
      <c r="J1607" s="36"/>
      <c r="K1607" s="36"/>
      <c r="L1607" s="36"/>
      <c r="M1607" s="40" t="str">
        <f aca="false">IF($F1607="","",$F1607&amp;IF($G1607="",""," - RT "&amp;$G1607&amp;IF($H1607="","","/"&amp;$H1607)))</f>
        <v/>
      </c>
      <c r="N1607" s="36"/>
      <c r="O1607" s="37"/>
      <c r="P1607" s="39"/>
      <c r="Q1607" s="41"/>
      <c r="R1607" s="35" t="str">
        <f aca="true">IF(OR($B1607="",$Q1607=""),"",DATEDIF($Q1607,TODAY(),"Y"))</f>
        <v/>
      </c>
      <c r="S1607" s="40" t="str">
        <f aca="false">IF($R1607="","",INDEX(usia_label,MATCH($R1607,usia_min,1)))</f>
        <v/>
      </c>
      <c r="T1607" s="36"/>
      <c r="U1607" s="41"/>
      <c r="V1607" s="36"/>
      <c r="W1607" s="36"/>
      <c r="X1607" s="40" t="str">
        <f aca="false">IF($M1607="","",$M1607&amp;"#"&amp;COUNTIF($M$4:$M1607,$M1607))</f>
        <v/>
      </c>
      <c r="Y1607" s="40" t="str">
        <f aca="false">IF($B1607="","",IF($C1607="","NIK kosong",IF(LEN($C1607)&lt;&gt;16,"NIK bukan 16 digit",IF(COUNTIF($C$4:$C$2003,$C1607&amp;"*")&gt;1,"NIK ganda",IF(AND($D1607&lt;&gt;"",LEN($D1607)&lt;&gt;16),"No. KK bukan 16 digit",IF(AND($F1607="",$I1607=""),"Alamat kosong",IF($N1607="","Jabatan kosong",IF($O1607="","No. HP kosong",IF(AND($R1607&lt;&gt;"",$R1607&lt;17),"Usia di bawah 17","")))))))))</f>
        <v/>
      </c>
      <c r="Z1607" s="40" t="str">
        <f aca="false">IF($B1607="","",IF(AND(OR(CARI!$C$5="",ISNUMBER(SEARCH(CARI!$C$5,$B1607&amp;" "&amp;$C1607&amp;" "&amp;$D1607&amp;" "&amp;$O1607&amp;" "&amp;$I1607&amp;" "&amp;$F1607&amp;" "&amp;$J1607&amp;" "&amp;$K1607&amp;" "&amp;$L1607&amp;" "&amp;$V1607))),OR(CARI!$C$6="",$F1607=CARI!$C$6),OR(CARI!$C$7="",$G1607=CARI!$C$7),OR(CARI!$C$8="",$T1607=CARI!$C$8)),MAX($Z$3:Z1606)+1,""))</f>
        <v/>
      </c>
      <c r="AA1607" s="40" t="str">
        <f aca="false">IF($Y1607="","",MAX($AA$3:AA1606)+1)</f>
        <v/>
      </c>
      <c r="AB1607" s="40" t="str">
        <f aca="false">IF($F1607="","",$F1607&amp;"#"&amp;COUNTIF($F$4:$F1607,$F1607))</f>
        <v/>
      </c>
      <c r="AC1607" s="40" t="str">
        <f aca="false">IF($B1607="","",IF(AND(OR(CETAK!$J$10="",$F1607=CETAK!$J$10),OR(CETAK!$J$11="",$G1607=CETAK!$J$11),OR(CETAK!$J$12="",$P1607=CETAK!$J$12),OR(CETAK!$J$13="",$N1607=CETAK!$J$13),OR(CETAK!$J$14="",$T1607=CETAK!$J$14)),MAX($AC$3:AC1606)+1,""))</f>
        <v/>
      </c>
      <c r="AD1607" s="40" t="str">
        <f aca="false">IF($B1607="","",IF(AND(OR(ABSENSI!$H$10="",$F1607=ABSENSI!$H$10),OR(ABSENSI!$H$11="",$G1607=ABSENSI!$H$11),OR(ABSENSI!$H$12="",$P1607=ABSENSI!$H$12)),MAX($AD$3:AD1606)+1,""))</f>
        <v/>
      </c>
      <c r="AE1607" s="40" t="str">
        <f aca="false">IF($B1607="","",IF(AND(OR(KARTU!$K$6="",$F1607=KARTU!$K$6),OR(KARTU!$K$7="",$G1607=KARTU!$K$7),OR(KARTU!$K$8="",$P1607=KARTU!$K$8)),MAX($AE$3:AE1606)+1,""))</f>
        <v/>
      </c>
    </row>
    <row r="1608" customFormat="false" ht="15" hidden="false" customHeight="false" outlineLevel="0" collapsed="false">
      <c r="A1608" s="35" t="str">
        <f aca="false">IF($B1608="","",COUNTA($B$4:$B1608))</f>
        <v/>
      </c>
      <c r="B1608" s="36"/>
      <c r="C1608" s="37"/>
      <c r="D1608" s="37"/>
      <c r="E1608" s="38"/>
      <c r="F1608" s="36"/>
      <c r="G1608" s="39"/>
      <c r="H1608" s="39"/>
      <c r="I1608" s="36"/>
      <c r="J1608" s="36"/>
      <c r="K1608" s="36"/>
      <c r="L1608" s="36"/>
      <c r="M1608" s="40" t="str">
        <f aca="false">IF($F1608="","",$F1608&amp;IF($G1608="",""," - RT "&amp;$G1608&amp;IF($H1608="","","/"&amp;$H1608)))</f>
        <v/>
      </c>
      <c r="N1608" s="36"/>
      <c r="O1608" s="37"/>
      <c r="P1608" s="39"/>
      <c r="Q1608" s="41"/>
      <c r="R1608" s="35" t="str">
        <f aca="true">IF(OR($B1608="",$Q1608=""),"",DATEDIF($Q1608,TODAY(),"Y"))</f>
        <v/>
      </c>
      <c r="S1608" s="40" t="str">
        <f aca="false">IF($R1608="","",INDEX(usia_label,MATCH($R1608,usia_min,1)))</f>
        <v/>
      </c>
      <c r="T1608" s="36"/>
      <c r="U1608" s="41"/>
      <c r="V1608" s="36"/>
      <c r="W1608" s="36"/>
      <c r="X1608" s="40" t="str">
        <f aca="false">IF($M1608="","",$M1608&amp;"#"&amp;COUNTIF($M$4:$M1608,$M1608))</f>
        <v/>
      </c>
      <c r="Y1608" s="40" t="str">
        <f aca="false">IF($B1608="","",IF($C1608="","NIK kosong",IF(LEN($C1608)&lt;&gt;16,"NIK bukan 16 digit",IF(COUNTIF($C$4:$C$2003,$C1608&amp;"*")&gt;1,"NIK ganda",IF(AND($D1608&lt;&gt;"",LEN($D1608)&lt;&gt;16),"No. KK bukan 16 digit",IF(AND($F1608="",$I1608=""),"Alamat kosong",IF($N1608="","Jabatan kosong",IF($O1608="","No. HP kosong",IF(AND($R1608&lt;&gt;"",$R1608&lt;17),"Usia di bawah 17","")))))))))</f>
        <v/>
      </c>
      <c r="Z1608" s="40" t="str">
        <f aca="false">IF($B1608="","",IF(AND(OR(CARI!$C$5="",ISNUMBER(SEARCH(CARI!$C$5,$B1608&amp;" "&amp;$C1608&amp;" "&amp;$D1608&amp;" "&amp;$O1608&amp;" "&amp;$I1608&amp;" "&amp;$F1608&amp;" "&amp;$J1608&amp;" "&amp;$K1608&amp;" "&amp;$L1608&amp;" "&amp;$V1608))),OR(CARI!$C$6="",$F1608=CARI!$C$6),OR(CARI!$C$7="",$G1608=CARI!$C$7),OR(CARI!$C$8="",$T1608=CARI!$C$8)),MAX($Z$3:Z1607)+1,""))</f>
        <v/>
      </c>
      <c r="AA1608" s="40" t="str">
        <f aca="false">IF($Y1608="","",MAX($AA$3:AA1607)+1)</f>
        <v/>
      </c>
      <c r="AB1608" s="40" t="str">
        <f aca="false">IF($F1608="","",$F1608&amp;"#"&amp;COUNTIF($F$4:$F1608,$F1608))</f>
        <v/>
      </c>
      <c r="AC1608" s="40" t="str">
        <f aca="false">IF($B1608="","",IF(AND(OR(CETAK!$J$10="",$F1608=CETAK!$J$10),OR(CETAK!$J$11="",$G1608=CETAK!$J$11),OR(CETAK!$J$12="",$P1608=CETAK!$J$12),OR(CETAK!$J$13="",$N1608=CETAK!$J$13),OR(CETAK!$J$14="",$T1608=CETAK!$J$14)),MAX($AC$3:AC1607)+1,""))</f>
        <v/>
      </c>
      <c r="AD1608" s="40" t="str">
        <f aca="false">IF($B1608="","",IF(AND(OR(ABSENSI!$H$10="",$F1608=ABSENSI!$H$10),OR(ABSENSI!$H$11="",$G1608=ABSENSI!$H$11),OR(ABSENSI!$H$12="",$P1608=ABSENSI!$H$12)),MAX($AD$3:AD1607)+1,""))</f>
        <v/>
      </c>
      <c r="AE1608" s="40" t="str">
        <f aca="false">IF($B1608="","",IF(AND(OR(KARTU!$K$6="",$F1608=KARTU!$K$6),OR(KARTU!$K$7="",$G1608=KARTU!$K$7),OR(KARTU!$K$8="",$P1608=KARTU!$K$8)),MAX($AE$3:AE1607)+1,""))</f>
        <v/>
      </c>
    </row>
    <row r="1609" customFormat="false" ht="15" hidden="false" customHeight="false" outlineLevel="0" collapsed="false">
      <c r="A1609" s="35" t="str">
        <f aca="false">IF($B1609="","",COUNTA($B$4:$B1609))</f>
        <v/>
      </c>
      <c r="B1609" s="36"/>
      <c r="C1609" s="37"/>
      <c r="D1609" s="37"/>
      <c r="E1609" s="38"/>
      <c r="F1609" s="36"/>
      <c r="G1609" s="39"/>
      <c r="H1609" s="39"/>
      <c r="I1609" s="36"/>
      <c r="J1609" s="36"/>
      <c r="K1609" s="36"/>
      <c r="L1609" s="36"/>
      <c r="M1609" s="40" t="str">
        <f aca="false">IF($F1609="","",$F1609&amp;IF($G1609="",""," - RT "&amp;$G1609&amp;IF($H1609="","","/"&amp;$H1609)))</f>
        <v/>
      </c>
      <c r="N1609" s="36"/>
      <c r="O1609" s="37"/>
      <c r="P1609" s="39"/>
      <c r="Q1609" s="41"/>
      <c r="R1609" s="35" t="str">
        <f aca="true">IF(OR($B1609="",$Q1609=""),"",DATEDIF($Q1609,TODAY(),"Y"))</f>
        <v/>
      </c>
      <c r="S1609" s="40" t="str">
        <f aca="false">IF($R1609="","",INDEX(usia_label,MATCH($R1609,usia_min,1)))</f>
        <v/>
      </c>
      <c r="T1609" s="36"/>
      <c r="U1609" s="41"/>
      <c r="V1609" s="36"/>
      <c r="W1609" s="36"/>
      <c r="X1609" s="40" t="str">
        <f aca="false">IF($M1609="","",$M1609&amp;"#"&amp;COUNTIF($M$4:$M1609,$M1609))</f>
        <v/>
      </c>
      <c r="Y1609" s="40" t="str">
        <f aca="false">IF($B1609="","",IF($C1609="","NIK kosong",IF(LEN($C1609)&lt;&gt;16,"NIK bukan 16 digit",IF(COUNTIF($C$4:$C$2003,$C1609&amp;"*")&gt;1,"NIK ganda",IF(AND($D1609&lt;&gt;"",LEN($D1609)&lt;&gt;16),"No. KK bukan 16 digit",IF(AND($F1609="",$I1609=""),"Alamat kosong",IF($N1609="","Jabatan kosong",IF($O1609="","No. HP kosong",IF(AND($R1609&lt;&gt;"",$R1609&lt;17),"Usia di bawah 17","")))))))))</f>
        <v/>
      </c>
      <c r="Z1609" s="40" t="str">
        <f aca="false">IF($B1609="","",IF(AND(OR(CARI!$C$5="",ISNUMBER(SEARCH(CARI!$C$5,$B1609&amp;" "&amp;$C1609&amp;" "&amp;$D1609&amp;" "&amp;$O1609&amp;" "&amp;$I1609&amp;" "&amp;$F1609&amp;" "&amp;$J1609&amp;" "&amp;$K1609&amp;" "&amp;$L1609&amp;" "&amp;$V1609))),OR(CARI!$C$6="",$F1609=CARI!$C$6),OR(CARI!$C$7="",$G1609=CARI!$C$7),OR(CARI!$C$8="",$T1609=CARI!$C$8)),MAX($Z$3:Z1608)+1,""))</f>
        <v/>
      </c>
      <c r="AA1609" s="40" t="str">
        <f aca="false">IF($Y1609="","",MAX($AA$3:AA1608)+1)</f>
        <v/>
      </c>
      <c r="AB1609" s="40" t="str">
        <f aca="false">IF($F1609="","",$F1609&amp;"#"&amp;COUNTIF($F$4:$F1609,$F1609))</f>
        <v/>
      </c>
      <c r="AC1609" s="40" t="str">
        <f aca="false">IF($B1609="","",IF(AND(OR(CETAK!$J$10="",$F1609=CETAK!$J$10),OR(CETAK!$J$11="",$G1609=CETAK!$J$11),OR(CETAK!$J$12="",$P1609=CETAK!$J$12),OR(CETAK!$J$13="",$N1609=CETAK!$J$13),OR(CETAK!$J$14="",$T1609=CETAK!$J$14)),MAX($AC$3:AC1608)+1,""))</f>
        <v/>
      </c>
      <c r="AD1609" s="40" t="str">
        <f aca="false">IF($B1609="","",IF(AND(OR(ABSENSI!$H$10="",$F1609=ABSENSI!$H$10),OR(ABSENSI!$H$11="",$G1609=ABSENSI!$H$11),OR(ABSENSI!$H$12="",$P1609=ABSENSI!$H$12)),MAX($AD$3:AD1608)+1,""))</f>
        <v/>
      </c>
      <c r="AE1609" s="40" t="str">
        <f aca="false">IF($B1609="","",IF(AND(OR(KARTU!$K$6="",$F1609=KARTU!$K$6),OR(KARTU!$K$7="",$G1609=KARTU!$K$7),OR(KARTU!$K$8="",$P1609=KARTU!$K$8)),MAX($AE$3:AE1608)+1,""))</f>
        <v/>
      </c>
    </row>
    <row r="1610" customFormat="false" ht="15" hidden="false" customHeight="false" outlineLevel="0" collapsed="false">
      <c r="A1610" s="35" t="str">
        <f aca="false">IF($B1610="","",COUNTA($B$4:$B1610))</f>
        <v/>
      </c>
      <c r="B1610" s="36"/>
      <c r="C1610" s="37"/>
      <c r="D1610" s="37"/>
      <c r="E1610" s="38"/>
      <c r="F1610" s="36"/>
      <c r="G1610" s="39"/>
      <c r="H1610" s="39"/>
      <c r="I1610" s="36"/>
      <c r="J1610" s="36"/>
      <c r="K1610" s="36"/>
      <c r="L1610" s="36"/>
      <c r="M1610" s="40" t="str">
        <f aca="false">IF($F1610="","",$F1610&amp;IF($G1610="",""," - RT "&amp;$G1610&amp;IF($H1610="","","/"&amp;$H1610)))</f>
        <v/>
      </c>
      <c r="N1610" s="36"/>
      <c r="O1610" s="37"/>
      <c r="P1610" s="39"/>
      <c r="Q1610" s="41"/>
      <c r="R1610" s="35" t="str">
        <f aca="true">IF(OR($B1610="",$Q1610=""),"",DATEDIF($Q1610,TODAY(),"Y"))</f>
        <v/>
      </c>
      <c r="S1610" s="40" t="str">
        <f aca="false">IF($R1610="","",INDEX(usia_label,MATCH($R1610,usia_min,1)))</f>
        <v/>
      </c>
      <c r="T1610" s="36"/>
      <c r="U1610" s="41"/>
      <c r="V1610" s="36"/>
      <c r="W1610" s="36"/>
      <c r="X1610" s="40" t="str">
        <f aca="false">IF($M1610="","",$M1610&amp;"#"&amp;COUNTIF($M$4:$M1610,$M1610))</f>
        <v/>
      </c>
      <c r="Y1610" s="40" t="str">
        <f aca="false">IF($B1610="","",IF($C1610="","NIK kosong",IF(LEN($C1610)&lt;&gt;16,"NIK bukan 16 digit",IF(COUNTIF($C$4:$C$2003,$C1610&amp;"*")&gt;1,"NIK ganda",IF(AND($D1610&lt;&gt;"",LEN($D1610)&lt;&gt;16),"No. KK bukan 16 digit",IF(AND($F1610="",$I1610=""),"Alamat kosong",IF($N1610="","Jabatan kosong",IF($O1610="","No. HP kosong",IF(AND($R1610&lt;&gt;"",$R1610&lt;17),"Usia di bawah 17","")))))))))</f>
        <v/>
      </c>
      <c r="Z1610" s="40" t="str">
        <f aca="false">IF($B1610="","",IF(AND(OR(CARI!$C$5="",ISNUMBER(SEARCH(CARI!$C$5,$B1610&amp;" "&amp;$C1610&amp;" "&amp;$D1610&amp;" "&amp;$O1610&amp;" "&amp;$I1610&amp;" "&amp;$F1610&amp;" "&amp;$J1610&amp;" "&amp;$K1610&amp;" "&amp;$L1610&amp;" "&amp;$V1610))),OR(CARI!$C$6="",$F1610=CARI!$C$6),OR(CARI!$C$7="",$G1610=CARI!$C$7),OR(CARI!$C$8="",$T1610=CARI!$C$8)),MAX($Z$3:Z1609)+1,""))</f>
        <v/>
      </c>
      <c r="AA1610" s="40" t="str">
        <f aca="false">IF($Y1610="","",MAX($AA$3:AA1609)+1)</f>
        <v/>
      </c>
      <c r="AB1610" s="40" t="str">
        <f aca="false">IF($F1610="","",$F1610&amp;"#"&amp;COUNTIF($F$4:$F1610,$F1610))</f>
        <v/>
      </c>
      <c r="AC1610" s="40" t="str">
        <f aca="false">IF($B1610="","",IF(AND(OR(CETAK!$J$10="",$F1610=CETAK!$J$10),OR(CETAK!$J$11="",$G1610=CETAK!$J$11),OR(CETAK!$J$12="",$P1610=CETAK!$J$12),OR(CETAK!$J$13="",$N1610=CETAK!$J$13),OR(CETAK!$J$14="",$T1610=CETAK!$J$14)),MAX($AC$3:AC1609)+1,""))</f>
        <v/>
      </c>
      <c r="AD1610" s="40" t="str">
        <f aca="false">IF($B1610="","",IF(AND(OR(ABSENSI!$H$10="",$F1610=ABSENSI!$H$10),OR(ABSENSI!$H$11="",$G1610=ABSENSI!$H$11),OR(ABSENSI!$H$12="",$P1610=ABSENSI!$H$12)),MAX($AD$3:AD1609)+1,""))</f>
        <v/>
      </c>
      <c r="AE1610" s="40" t="str">
        <f aca="false">IF($B1610="","",IF(AND(OR(KARTU!$K$6="",$F1610=KARTU!$K$6),OR(KARTU!$K$7="",$G1610=KARTU!$K$7),OR(KARTU!$K$8="",$P1610=KARTU!$K$8)),MAX($AE$3:AE1609)+1,""))</f>
        <v/>
      </c>
    </row>
    <row r="1611" customFormat="false" ht="15" hidden="false" customHeight="false" outlineLevel="0" collapsed="false">
      <c r="A1611" s="35" t="str">
        <f aca="false">IF($B1611="","",COUNTA($B$4:$B1611))</f>
        <v/>
      </c>
      <c r="B1611" s="36"/>
      <c r="C1611" s="37"/>
      <c r="D1611" s="37"/>
      <c r="E1611" s="38"/>
      <c r="F1611" s="36"/>
      <c r="G1611" s="39"/>
      <c r="H1611" s="39"/>
      <c r="I1611" s="36"/>
      <c r="J1611" s="36"/>
      <c r="K1611" s="36"/>
      <c r="L1611" s="36"/>
      <c r="M1611" s="40" t="str">
        <f aca="false">IF($F1611="","",$F1611&amp;IF($G1611="",""," - RT "&amp;$G1611&amp;IF($H1611="","","/"&amp;$H1611)))</f>
        <v/>
      </c>
      <c r="N1611" s="36"/>
      <c r="O1611" s="37"/>
      <c r="P1611" s="39"/>
      <c r="Q1611" s="41"/>
      <c r="R1611" s="35" t="str">
        <f aca="true">IF(OR($B1611="",$Q1611=""),"",DATEDIF($Q1611,TODAY(),"Y"))</f>
        <v/>
      </c>
      <c r="S1611" s="40" t="str">
        <f aca="false">IF($R1611="","",INDEX(usia_label,MATCH($R1611,usia_min,1)))</f>
        <v/>
      </c>
      <c r="T1611" s="36"/>
      <c r="U1611" s="41"/>
      <c r="V1611" s="36"/>
      <c r="W1611" s="36"/>
      <c r="X1611" s="40" t="str">
        <f aca="false">IF($M1611="","",$M1611&amp;"#"&amp;COUNTIF($M$4:$M1611,$M1611))</f>
        <v/>
      </c>
      <c r="Y1611" s="40" t="str">
        <f aca="false">IF($B1611="","",IF($C1611="","NIK kosong",IF(LEN($C1611)&lt;&gt;16,"NIK bukan 16 digit",IF(COUNTIF($C$4:$C$2003,$C1611&amp;"*")&gt;1,"NIK ganda",IF(AND($D1611&lt;&gt;"",LEN($D1611)&lt;&gt;16),"No. KK bukan 16 digit",IF(AND($F1611="",$I1611=""),"Alamat kosong",IF($N1611="","Jabatan kosong",IF($O1611="","No. HP kosong",IF(AND($R1611&lt;&gt;"",$R1611&lt;17),"Usia di bawah 17","")))))))))</f>
        <v/>
      </c>
      <c r="Z1611" s="40" t="str">
        <f aca="false">IF($B1611="","",IF(AND(OR(CARI!$C$5="",ISNUMBER(SEARCH(CARI!$C$5,$B1611&amp;" "&amp;$C1611&amp;" "&amp;$D1611&amp;" "&amp;$O1611&amp;" "&amp;$I1611&amp;" "&amp;$F1611&amp;" "&amp;$J1611&amp;" "&amp;$K1611&amp;" "&amp;$L1611&amp;" "&amp;$V1611))),OR(CARI!$C$6="",$F1611=CARI!$C$6),OR(CARI!$C$7="",$G1611=CARI!$C$7),OR(CARI!$C$8="",$T1611=CARI!$C$8)),MAX($Z$3:Z1610)+1,""))</f>
        <v/>
      </c>
      <c r="AA1611" s="40" t="str">
        <f aca="false">IF($Y1611="","",MAX($AA$3:AA1610)+1)</f>
        <v/>
      </c>
      <c r="AB1611" s="40" t="str">
        <f aca="false">IF($F1611="","",$F1611&amp;"#"&amp;COUNTIF($F$4:$F1611,$F1611))</f>
        <v/>
      </c>
      <c r="AC1611" s="40" t="str">
        <f aca="false">IF($B1611="","",IF(AND(OR(CETAK!$J$10="",$F1611=CETAK!$J$10),OR(CETAK!$J$11="",$G1611=CETAK!$J$11),OR(CETAK!$J$12="",$P1611=CETAK!$J$12),OR(CETAK!$J$13="",$N1611=CETAK!$J$13),OR(CETAK!$J$14="",$T1611=CETAK!$J$14)),MAX($AC$3:AC1610)+1,""))</f>
        <v/>
      </c>
      <c r="AD1611" s="40" t="str">
        <f aca="false">IF($B1611="","",IF(AND(OR(ABSENSI!$H$10="",$F1611=ABSENSI!$H$10),OR(ABSENSI!$H$11="",$G1611=ABSENSI!$H$11),OR(ABSENSI!$H$12="",$P1611=ABSENSI!$H$12)),MAX($AD$3:AD1610)+1,""))</f>
        <v/>
      </c>
      <c r="AE1611" s="40" t="str">
        <f aca="false">IF($B1611="","",IF(AND(OR(KARTU!$K$6="",$F1611=KARTU!$K$6),OR(KARTU!$K$7="",$G1611=KARTU!$K$7),OR(KARTU!$K$8="",$P1611=KARTU!$K$8)),MAX($AE$3:AE1610)+1,""))</f>
        <v/>
      </c>
    </row>
    <row r="1612" customFormat="false" ht="15" hidden="false" customHeight="false" outlineLevel="0" collapsed="false">
      <c r="A1612" s="35" t="str">
        <f aca="false">IF($B1612="","",COUNTA($B$4:$B1612))</f>
        <v/>
      </c>
      <c r="B1612" s="36"/>
      <c r="C1612" s="37"/>
      <c r="D1612" s="37"/>
      <c r="E1612" s="38"/>
      <c r="F1612" s="36"/>
      <c r="G1612" s="39"/>
      <c r="H1612" s="39"/>
      <c r="I1612" s="36"/>
      <c r="J1612" s="36"/>
      <c r="K1612" s="36"/>
      <c r="L1612" s="36"/>
      <c r="M1612" s="40" t="str">
        <f aca="false">IF($F1612="","",$F1612&amp;IF($G1612="",""," - RT "&amp;$G1612&amp;IF($H1612="","","/"&amp;$H1612)))</f>
        <v/>
      </c>
      <c r="N1612" s="36"/>
      <c r="O1612" s="37"/>
      <c r="P1612" s="39"/>
      <c r="Q1612" s="41"/>
      <c r="R1612" s="35" t="str">
        <f aca="true">IF(OR($B1612="",$Q1612=""),"",DATEDIF($Q1612,TODAY(),"Y"))</f>
        <v/>
      </c>
      <c r="S1612" s="40" t="str">
        <f aca="false">IF($R1612="","",INDEX(usia_label,MATCH($R1612,usia_min,1)))</f>
        <v/>
      </c>
      <c r="T1612" s="36"/>
      <c r="U1612" s="41"/>
      <c r="V1612" s="36"/>
      <c r="W1612" s="36"/>
      <c r="X1612" s="40" t="str">
        <f aca="false">IF($M1612="","",$M1612&amp;"#"&amp;COUNTIF($M$4:$M1612,$M1612))</f>
        <v/>
      </c>
      <c r="Y1612" s="40" t="str">
        <f aca="false">IF($B1612="","",IF($C1612="","NIK kosong",IF(LEN($C1612)&lt;&gt;16,"NIK bukan 16 digit",IF(COUNTIF($C$4:$C$2003,$C1612&amp;"*")&gt;1,"NIK ganda",IF(AND($D1612&lt;&gt;"",LEN($D1612)&lt;&gt;16),"No. KK bukan 16 digit",IF(AND($F1612="",$I1612=""),"Alamat kosong",IF($N1612="","Jabatan kosong",IF($O1612="","No. HP kosong",IF(AND($R1612&lt;&gt;"",$R1612&lt;17),"Usia di bawah 17","")))))))))</f>
        <v/>
      </c>
      <c r="Z1612" s="40" t="str">
        <f aca="false">IF($B1612="","",IF(AND(OR(CARI!$C$5="",ISNUMBER(SEARCH(CARI!$C$5,$B1612&amp;" "&amp;$C1612&amp;" "&amp;$D1612&amp;" "&amp;$O1612&amp;" "&amp;$I1612&amp;" "&amp;$F1612&amp;" "&amp;$J1612&amp;" "&amp;$K1612&amp;" "&amp;$L1612&amp;" "&amp;$V1612))),OR(CARI!$C$6="",$F1612=CARI!$C$6),OR(CARI!$C$7="",$G1612=CARI!$C$7),OR(CARI!$C$8="",$T1612=CARI!$C$8)),MAX($Z$3:Z1611)+1,""))</f>
        <v/>
      </c>
      <c r="AA1612" s="40" t="str">
        <f aca="false">IF($Y1612="","",MAX($AA$3:AA1611)+1)</f>
        <v/>
      </c>
      <c r="AB1612" s="40" t="str">
        <f aca="false">IF($F1612="","",$F1612&amp;"#"&amp;COUNTIF($F$4:$F1612,$F1612))</f>
        <v/>
      </c>
      <c r="AC1612" s="40" t="str">
        <f aca="false">IF($B1612="","",IF(AND(OR(CETAK!$J$10="",$F1612=CETAK!$J$10),OR(CETAK!$J$11="",$G1612=CETAK!$J$11),OR(CETAK!$J$12="",$P1612=CETAK!$J$12),OR(CETAK!$J$13="",$N1612=CETAK!$J$13),OR(CETAK!$J$14="",$T1612=CETAK!$J$14)),MAX($AC$3:AC1611)+1,""))</f>
        <v/>
      </c>
      <c r="AD1612" s="40" t="str">
        <f aca="false">IF($B1612="","",IF(AND(OR(ABSENSI!$H$10="",$F1612=ABSENSI!$H$10),OR(ABSENSI!$H$11="",$G1612=ABSENSI!$H$11),OR(ABSENSI!$H$12="",$P1612=ABSENSI!$H$12)),MAX($AD$3:AD1611)+1,""))</f>
        <v/>
      </c>
      <c r="AE1612" s="40" t="str">
        <f aca="false">IF($B1612="","",IF(AND(OR(KARTU!$K$6="",$F1612=KARTU!$K$6),OR(KARTU!$K$7="",$G1612=KARTU!$K$7),OR(KARTU!$K$8="",$P1612=KARTU!$K$8)),MAX($AE$3:AE1611)+1,""))</f>
        <v/>
      </c>
    </row>
    <row r="1613" customFormat="false" ht="15" hidden="false" customHeight="false" outlineLevel="0" collapsed="false">
      <c r="A1613" s="35" t="str">
        <f aca="false">IF($B1613="","",COUNTA($B$4:$B1613))</f>
        <v/>
      </c>
      <c r="B1613" s="36"/>
      <c r="C1613" s="37"/>
      <c r="D1613" s="37"/>
      <c r="E1613" s="38"/>
      <c r="F1613" s="36"/>
      <c r="G1613" s="39"/>
      <c r="H1613" s="39"/>
      <c r="I1613" s="36"/>
      <c r="J1613" s="36"/>
      <c r="K1613" s="36"/>
      <c r="L1613" s="36"/>
      <c r="M1613" s="40" t="str">
        <f aca="false">IF($F1613="","",$F1613&amp;IF($G1613="",""," - RT "&amp;$G1613&amp;IF($H1613="","","/"&amp;$H1613)))</f>
        <v/>
      </c>
      <c r="N1613" s="36"/>
      <c r="O1613" s="37"/>
      <c r="P1613" s="39"/>
      <c r="Q1613" s="41"/>
      <c r="R1613" s="35" t="str">
        <f aca="true">IF(OR($B1613="",$Q1613=""),"",DATEDIF($Q1613,TODAY(),"Y"))</f>
        <v/>
      </c>
      <c r="S1613" s="40" t="str">
        <f aca="false">IF($R1613="","",INDEX(usia_label,MATCH($R1613,usia_min,1)))</f>
        <v/>
      </c>
      <c r="T1613" s="36"/>
      <c r="U1613" s="41"/>
      <c r="V1613" s="36"/>
      <c r="W1613" s="36"/>
      <c r="X1613" s="40" t="str">
        <f aca="false">IF($M1613="","",$M1613&amp;"#"&amp;COUNTIF($M$4:$M1613,$M1613))</f>
        <v/>
      </c>
      <c r="Y1613" s="40" t="str">
        <f aca="false">IF($B1613="","",IF($C1613="","NIK kosong",IF(LEN($C1613)&lt;&gt;16,"NIK bukan 16 digit",IF(COUNTIF($C$4:$C$2003,$C1613&amp;"*")&gt;1,"NIK ganda",IF(AND($D1613&lt;&gt;"",LEN($D1613)&lt;&gt;16),"No. KK bukan 16 digit",IF(AND($F1613="",$I1613=""),"Alamat kosong",IF($N1613="","Jabatan kosong",IF($O1613="","No. HP kosong",IF(AND($R1613&lt;&gt;"",$R1613&lt;17),"Usia di bawah 17","")))))))))</f>
        <v/>
      </c>
      <c r="Z1613" s="40" t="str">
        <f aca="false">IF($B1613="","",IF(AND(OR(CARI!$C$5="",ISNUMBER(SEARCH(CARI!$C$5,$B1613&amp;" "&amp;$C1613&amp;" "&amp;$D1613&amp;" "&amp;$O1613&amp;" "&amp;$I1613&amp;" "&amp;$F1613&amp;" "&amp;$J1613&amp;" "&amp;$K1613&amp;" "&amp;$L1613&amp;" "&amp;$V1613))),OR(CARI!$C$6="",$F1613=CARI!$C$6),OR(CARI!$C$7="",$G1613=CARI!$C$7),OR(CARI!$C$8="",$T1613=CARI!$C$8)),MAX($Z$3:Z1612)+1,""))</f>
        <v/>
      </c>
      <c r="AA1613" s="40" t="str">
        <f aca="false">IF($Y1613="","",MAX($AA$3:AA1612)+1)</f>
        <v/>
      </c>
      <c r="AB1613" s="40" t="str">
        <f aca="false">IF($F1613="","",$F1613&amp;"#"&amp;COUNTIF($F$4:$F1613,$F1613))</f>
        <v/>
      </c>
      <c r="AC1613" s="40" t="str">
        <f aca="false">IF($B1613="","",IF(AND(OR(CETAK!$J$10="",$F1613=CETAK!$J$10),OR(CETAK!$J$11="",$G1613=CETAK!$J$11),OR(CETAK!$J$12="",$P1613=CETAK!$J$12),OR(CETAK!$J$13="",$N1613=CETAK!$J$13),OR(CETAK!$J$14="",$T1613=CETAK!$J$14)),MAX($AC$3:AC1612)+1,""))</f>
        <v/>
      </c>
      <c r="AD1613" s="40" t="str">
        <f aca="false">IF($B1613="","",IF(AND(OR(ABSENSI!$H$10="",$F1613=ABSENSI!$H$10),OR(ABSENSI!$H$11="",$G1613=ABSENSI!$H$11),OR(ABSENSI!$H$12="",$P1613=ABSENSI!$H$12)),MAX($AD$3:AD1612)+1,""))</f>
        <v/>
      </c>
      <c r="AE1613" s="40" t="str">
        <f aca="false">IF($B1613="","",IF(AND(OR(KARTU!$K$6="",$F1613=KARTU!$K$6),OR(KARTU!$K$7="",$G1613=KARTU!$K$7),OR(KARTU!$K$8="",$P1613=KARTU!$K$8)),MAX($AE$3:AE1612)+1,""))</f>
        <v/>
      </c>
    </row>
    <row r="1614" customFormat="false" ht="15" hidden="false" customHeight="false" outlineLevel="0" collapsed="false">
      <c r="A1614" s="35" t="str">
        <f aca="false">IF($B1614="","",COUNTA($B$4:$B1614))</f>
        <v/>
      </c>
      <c r="B1614" s="36"/>
      <c r="C1614" s="37"/>
      <c r="D1614" s="37"/>
      <c r="E1614" s="38"/>
      <c r="F1614" s="36"/>
      <c r="G1614" s="39"/>
      <c r="H1614" s="39"/>
      <c r="I1614" s="36"/>
      <c r="J1614" s="36"/>
      <c r="K1614" s="36"/>
      <c r="L1614" s="36"/>
      <c r="M1614" s="40" t="str">
        <f aca="false">IF($F1614="","",$F1614&amp;IF($G1614="",""," - RT "&amp;$G1614&amp;IF($H1614="","","/"&amp;$H1614)))</f>
        <v/>
      </c>
      <c r="N1614" s="36"/>
      <c r="O1614" s="37"/>
      <c r="P1614" s="39"/>
      <c r="Q1614" s="41"/>
      <c r="R1614" s="35" t="str">
        <f aca="true">IF(OR($B1614="",$Q1614=""),"",DATEDIF($Q1614,TODAY(),"Y"))</f>
        <v/>
      </c>
      <c r="S1614" s="40" t="str">
        <f aca="false">IF($R1614="","",INDEX(usia_label,MATCH($R1614,usia_min,1)))</f>
        <v/>
      </c>
      <c r="T1614" s="36"/>
      <c r="U1614" s="41"/>
      <c r="V1614" s="36"/>
      <c r="W1614" s="36"/>
      <c r="X1614" s="40" t="str">
        <f aca="false">IF($M1614="","",$M1614&amp;"#"&amp;COUNTIF($M$4:$M1614,$M1614))</f>
        <v/>
      </c>
      <c r="Y1614" s="40" t="str">
        <f aca="false">IF($B1614="","",IF($C1614="","NIK kosong",IF(LEN($C1614)&lt;&gt;16,"NIK bukan 16 digit",IF(COUNTIF($C$4:$C$2003,$C1614&amp;"*")&gt;1,"NIK ganda",IF(AND($D1614&lt;&gt;"",LEN($D1614)&lt;&gt;16),"No. KK bukan 16 digit",IF(AND($F1614="",$I1614=""),"Alamat kosong",IF($N1614="","Jabatan kosong",IF($O1614="","No. HP kosong",IF(AND($R1614&lt;&gt;"",$R1614&lt;17),"Usia di bawah 17","")))))))))</f>
        <v/>
      </c>
      <c r="Z1614" s="40" t="str">
        <f aca="false">IF($B1614="","",IF(AND(OR(CARI!$C$5="",ISNUMBER(SEARCH(CARI!$C$5,$B1614&amp;" "&amp;$C1614&amp;" "&amp;$D1614&amp;" "&amp;$O1614&amp;" "&amp;$I1614&amp;" "&amp;$F1614&amp;" "&amp;$J1614&amp;" "&amp;$K1614&amp;" "&amp;$L1614&amp;" "&amp;$V1614))),OR(CARI!$C$6="",$F1614=CARI!$C$6),OR(CARI!$C$7="",$G1614=CARI!$C$7),OR(CARI!$C$8="",$T1614=CARI!$C$8)),MAX($Z$3:Z1613)+1,""))</f>
        <v/>
      </c>
      <c r="AA1614" s="40" t="str">
        <f aca="false">IF($Y1614="","",MAX($AA$3:AA1613)+1)</f>
        <v/>
      </c>
      <c r="AB1614" s="40" t="str">
        <f aca="false">IF($F1614="","",$F1614&amp;"#"&amp;COUNTIF($F$4:$F1614,$F1614))</f>
        <v/>
      </c>
      <c r="AC1614" s="40" t="str">
        <f aca="false">IF($B1614="","",IF(AND(OR(CETAK!$J$10="",$F1614=CETAK!$J$10),OR(CETAK!$J$11="",$G1614=CETAK!$J$11),OR(CETAK!$J$12="",$P1614=CETAK!$J$12),OR(CETAK!$J$13="",$N1614=CETAK!$J$13),OR(CETAK!$J$14="",$T1614=CETAK!$J$14)),MAX($AC$3:AC1613)+1,""))</f>
        <v/>
      </c>
      <c r="AD1614" s="40" t="str">
        <f aca="false">IF($B1614="","",IF(AND(OR(ABSENSI!$H$10="",$F1614=ABSENSI!$H$10),OR(ABSENSI!$H$11="",$G1614=ABSENSI!$H$11),OR(ABSENSI!$H$12="",$P1614=ABSENSI!$H$12)),MAX($AD$3:AD1613)+1,""))</f>
        <v/>
      </c>
      <c r="AE1614" s="40" t="str">
        <f aca="false">IF($B1614="","",IF(AND(OR(KARTU!$K$6="",$F1614=KARTU!$K$6),OR(KARTU!$K$7="",$G1614=KARTU!$K$7),OR(KARTU!$K$8="",$P1614=KARTU!$K$8)),MAX($AE$3:AE1613)+1,""))</f>
        <v/>
      </c>
    </row>
    <row r="1615" customFormat="false" ht="15" hidden="false" customHeight="false" outlineLevel="0" collapsed="false">
      <c r="A1615" s="35" t="str">
        <f aca="false">IF($B1615="","",COUNTA($B$4:$B1615))</f>
        <v/>
      </c>
      <c r="B1615" s="36"/>
      <c r="C1615" s="37"/>
      <c r="D1615" s="37"/>
      <c r="E1615" s="38"/>
      <c r="F1615" s="36"/>
      <c r="G1615" s="39"/>
      <c r="H1615" s="39"/>
      <c r="I1615" s="36"/>
      <c r="J1615" s="36"/>
      <c r="K1615" s="36"/>
      <c r="L1615" s="36"/>
      <c r="M1615" s="40" t="str">
        <f aca="false">IF($F1615="","",$F1615&amp;IF($G1615="",""," - RT "&amp;$G1615&amp;IF($H1615="","","/"&amp;$H1615)))</f>
        <v/>
      </c>
      <c r="N1615" s="36"/>
      <c r="O1615" s="37"/>
      <c r="P1615" s="39"/>
      <c r="Q1615" s="41"/>
      <c r="R1615" s="35" t="str">
        <f aca="true">IF(OR($B1615="",$Q1615=""),"",DATEDIF($Q1615,TODAY(),"Y"))</f>
        <v/>
      </c>
      <c r="S1615" s="40" t="str">
        <f aca="false">IF($R1615="","",INDEX(usia_label,MATCH($R1615,usia_min,1)))</f>
        <v/>
      </c>
      <c r="T1615" s="36"/>
      <c r="U1615" s="41"/>
      <c r="V1615" s="36"/>
      <c r="W1615" s="36"/>
      <c r="X1615" s="40" t="str">
        <f aca="false">IF($M1615="","",$M1615&amp;"#"&amp;COUNTIF($M$4:$M1615,$M1615))</f>
        <v/>
      </c>
      <c r="Y1615" s="40" t="str">
        <f aca="false">IF($B1615="","",IF($C1615="","NIK kosong",IF(LEN($C1615)&lt;&gt;16,"NIK bukan 16 digit",IF(COUNTIF($C$4:$C$2003,$C1615&amp;"*")&gt;1,"NIK ganda",IF(AND($D1615&lt;&gt;"",LEN($D1615)&lt;&gt;16),"No. KK bukan 16 digit",IF(AND($F1615="",$I1615=""),"Alamat kosong",IF($N1615="","Jabatan kosong",IF($O1615="","No. HP kosong",IF(AND($R1615&lt;&gt;"",$R1615&lt;17),"Usia di bawah 17","")))))))))</f>
        <v/>
      </c>
      <c r="Z1615" s="40" t="str">
        <f aca="false">IF($B1615="","",IF(AND(OR(CARI!$C$5="",ISNUMBER(SEARCH(CARI!$C$5,$B1615&amp;" "&amp;$C1615&amp;" "&amp;$D1615&amp;" "&amp;$O1615&amp;" "&amp;$I1615&amp;" "&amp;$F1615&amp;" "&amp;$J1615&amp;" "&amp;$K1615&amp;" "&amp;$L1615&amp;" "&amp;$V1615))),OR(CARI!$C$6="",$F1615=CARI!$C$6),OR(CARI!$C$7="",$G1615=CARI!$C$7),OR(CARI!$C$8="",$T1615=CARI!$C$8)),MAX($Z$3:Z1614)+1,""))</f>
        <v/>
      </c>
      <c r="AA1615" s="40" t="str">
        <f aca="false">IF($Y1615="","",MAX($AA$3:AA1614)+1)</f>
        <v/>
      </c>
      <c r="AB1615" s="40" t="str">
        <f aca="false">IF($F1615="","",$F1615&amp;"#"&amp;COUNTIF($F$4:$F1615,$F1615))</f>
        <v/>
      </c>
      <c r="AC1615" s="40" t="str">
        <f aca="false">IF($B1615="","",IF(AND(OR(CETAK!$J$10="",$F1615=CETAK!$J$10),OR(CETAK!$J$11="",$G1615=CETAK!$J$11),OR(CETAK!$J$12="",$P1615=CETAK!$J$12),OR(CETAK!$J$13="",$N1615=CETAK!$J$13),OR(CETAK!$J$14="",$T1615=CETAK!$J$14)),MAX($AC$3:AC1614)+1,""))</f>
        <v/>
      </c>
      <c r="AD1615" s="40" t="str">
        <f aca="false">IF($B1615="","",IF(AND(OR(ABSENSI!$H$10="",$F1615=ABSENSI!$H$10),OR(ABSENSI!$H$11="",$G1615=ABSENSI!$H$11),OR(ABSENSI!$H$12="",$P1615=ABSENSI!$H$12)),MAX($AD$3:AD1614)+1,""))</f>
        <v/>
      </c>
      <c r="AE1615" s="40" t="str">
        <f aca="false">IF($B1615="","",IF(AND(OR(KARTU!$K$6="",$F1615=KARTU!$K$6),OR(KARTU!$K$7="",$G1615=KARTU!$K$7),OR(KARTU!$K$8="",$P1615=KARTU!$K$8)),MAX($AE$3:AE1614)+1,""))</f>
        <v/>
      </c>
    </row>
    <row r="1616" customFormat="false" ht="15" hidden="false" customHeight="false" outlineLevel="0" collapsed="false">
      <c r="A1616" s="35" t="str">
        <f aca="false">IF($B1616="","",COUNTA($B$4:$B1616))</f>
        <v/>
      </c>
      <c r="B1616" s="36"/>
      <c r="C1616" s="37"/>
      <c r="D1616" s="37"/>
      <c r="E1616" s="38"/>
      <c r="F1616" s="36"/>
      <c r="G1616" s="39"/>
      <c r="H1616" s="39"/>
      <c r="I1616" s="36"/>
      <c r="J1616" s="36"/>
      <c r="K1616" s="36"/>
      <c r="L1616" s="36"/>
      <c r="M1616" s="40" t="str">
        <f aca="false">IF($F1616="","",$F1616&amp;IF($G1616="",""," - RT "&amp;$G1616&amp;IF($H1616="","","/"&amp;$H1616)))</f>
        <v/>
      </c>
      <c r="N1616" s="36"/>
      <c r="O1616" s="37"/>
      <c r="P1616" s="39"/>
      <c r="Q1616" s="41"/>
      <c r="R1616" s="35" t="str">
        <f aca="true">IF(OR($B1616="",$Q1616=""),"",DATEDIF($Q1616,TODAY(),"Y"))</f>
        <v/>
      </c>
      <c r="S1616" s="40" t="str">
        <f aca="false">IF($R1616="","",INDEX(usia_label,MATCH($R1616,usia_min,1)))</f>
        <v/>
      </c>
      <c r="T1616" s="36"/>
      <c r="U1616" s="41"/>
      <c r="V1616" s="36"/>
      <c r="W1616" s="36"/>
      <c r="X1616" s="40" t="str">
        <f aca="false">IF($M1616="","",$M1616&amp;"#"&amp;COUNTIF($M$4:$M1616,$M1616))</f>
        <v/>
      </c>
      <c r="Y1616" s="40" t="str">
        <f aca="false">IF($B1616="","",IF($C1616="","NIK kosong",IF(LEN($C1616)&lt;&gt;16,"NIK bukan 16 digit",IF(COUNTIF($C$4:$C$2003,$C1616&amp;"*")&gt;1,"NIK ganda",IF(AND($D1616&lt;&gt;"",LEN($D1616)&lt;&gt;16),"No. KK bukan 16 digit",IF(AND($F1616="",$I1616=""),"Alamat kosong",IF($N1616="","Jabatan kosong",IF($O1616="","No. HP kosong",IF(AND($R1616&lt;&gt;"",$R1616&lt;17),"Usia di bawah 17","")))))))))</f>
        <v/>
      </c>
      <c r="Z1616" s="40" t="str">
        <f aca="false">IF($B1616="","",IF(AND(OR(CARI!$C$5="",ISNUMBER(SEARCH(CARI!$C$5,$B1616&amp;" "&amp;$C1616&amp;" "&amp;$D1616&amp;" "&amp;$O1616&amp;" "&amp;$I1616&amp;" "&amp;$F1616&amp;" "&amp;$J1616&amp;" "&amp;$K1616&amp;" "&amp;$L1616&amp;" "&amp;$V1616))),OR(CARI!$C$6="",$F1616=CARI!$C$6),OR(CARI!$C$7="",$G1616=CARI!$C$7),OR(CARI!$C$8="",$T1616=CARI!$C$8)),MAX($Z$3:Z1615)+1,""))</f>
        <v/>
      </c>
      <c r="AA1616" s="40" t="str">
        <f aca="false">IF($Y1616="","",MAX($AA$3:AA1615)+1)</f>
        <v/>
      </c>
      <c r="AB1616" s="40" t="str">
        <f aca="false">IF($F1616="","",$F1616&amp;"#"&amp;COUNTIF($F$4:$F1616,$F1616))</f>
        <v/>
      </c>
      <c r="AC1616" s="40" t="str">
        <f aca="false">IF($B1616="","",IF(AND(OR(CETAK!$J$10="",$F1616=CETAK!$J$10),OR(CETAK!$J$11="",$G1616=CETAK!$J$11),OR(CETAK!$J$12="",$P1616=CETAK!$J$12),OR(CETAK!$J$13="",$N1616=CETAK!$J$13),OR(CETAK!$J$14="",$T1616=CETAK!$J$14)),MAX($AC$3:AC1615)+1,""))</f>
        <v/>
      </c>
      <c r="AD1616" s="40" t="str">
        <f aca="false">IF($B1616="","",IF(AND(OR(ABSENSI!$H$10="",$F1616=ABSENSI!$H$10),OR(ABSENSI!$H$11="",$G1616=ABSENSI!$H$11),OR(ABSENSI!$H$12="",$P1616=ABSENSI!$H$12)),MAX($AD$3:AD1615)+1,""))</f>
        <v/>
      </c>
      <c r="AE1616" s="40" t="str">
        <f aca="false">IF($B1616="","",IF(AND(OR(KARTU!$K$6="",$F1616=KARTU!$K$6),OR(KARTU!$K$7="",$G1616=KARTU!$K$7),OR(KARTU!$K$8="",$P1616=KARTU!$K$8)),MAX($AE$3:AE1615)+1,""))</f>
        <v/>
      </c>
    </row>
    <row r="1617" customFormat="false" ht="15" hidden="false" customHeight="false" outlineLevel="0" collapsed="false">
      <c r="A1617" s="35" t="str">
        <f aca="false">IF($B1617="","",COUNTA($B$4:$B1617))</f>
        <v/>
      </c>
      <c r="B1617" s="36"/>
      <c r="C1617" s="37"/>
      <c r="D1617" s="37"/>
      <c r="E1617" s="38"/>
      <c r="F1617" s="36"/>
      <c r="G1617" s="39"/>
      <c r="H1617" s="39"/>
      <c r="I1617" s="36"/>
      <c r="J1617" s="36"/>
      <c r="K1617" s="36"/>
      <c r="L1617" s="36"/>
      <c r="M1617" s="40" t="str">
        <f aca="false">IF($F1617="","",$F1617&amp;IF($G1617="",""," - RT "&amp;$G1617&amp;IF($H1617="","","/"&amp;$H1617)))</f>
        <v/>
      </c>
      <c r="N1617" s="36"/>
      <c r="O1617" s="37"/>
      <c r="P1617" s="39"/>
      <c r="Q1617" s="41"/>
      <c r="R1617" s="35" t="str">
        <f aca="true">IF(OR($B1617="",$Q1617=""),"",DATEDIF($Q1617,TODAY(),"Y"))</f>
        <v/>
      </c>
      <c r="S1617" s="40" t="str">
        <f aca="false">IF($R1617="","",INDEX(usia_label,MATCH($R1617,usia_min,1)))</f>
        <v/>
      </c>
      <c r="T1617" s="36"/>
      <c r="U1617" s="41"/>
      <c r="V1617" s="36"/>
      <c r="W1617" s="36"/>
      <c r="X1617" s="40" t="str">
        <f aca="false">IF($M1617="","",$M1617&amp;"#"&amp;COUNTIF($M$4:$M1617,$M1617))</f>
        <v/>
      </c>
      <c r="Y1617" s="40" t="str">
        <f aca="false">IF($B1617="","",IF($C1617="","NIK kosong",IF(LEN($C1617)&lt;&gt;16,"NIK bukan 16 digit",IF(COUNTIF($C$4:$C$2003,$C1617&amp;"*")&gt;1,"NIK ganda",IF(AND($D1617&lt;&gt;"",LEN($D1617)&lt;&gt;16),"No. KK bukan 16 digit",IF(AND($F1617="",$I1617=""),"Alamat kosong",IF($N1617="","Jabatan kosong",IF($O1617="","No. HP kosong",IF(AND($R1617&lt;&gt;"",$R1617&lt;17),"Usia di bawah 17","")))))))))</f>
        <v/>
      </c>
      <c r="Z1617" s="40" t="str">
        <f aca="false">IF($B1617="","",IF(AND(OR(CARI!$C$5="",ISNUMBER(SEARCH(CARI!$C$5,$B1617&amp;" "&amp;$C1617&amp;" "&amp;$D1617&amp;" "&amp;$O1617&amp;" "&amp;$I1617&amp;" "&amp;$F1617&amp;" "&amp;$J1617&amp;" "&amp;$K1617&amp;" "&amp;$L1617&amp;" "&amp;$V1617))),OR(CARI!$C$6="",$F1617=CARI!$C$6),OR(CARI!$C$7="",$G1617=CARI!$C$7),OR(CARI!$C$8="",$T1617=CARI!$C$8)),MAX($Z$3:Z1616)+1,""))</f>
        <v/>
      </c>
      <c r="AA1617" s="40" t="str">
        <f aca="false">IF($Y1617="","",MAX($AA$3:AA1616)+1)</f>
        <v/>
      </c>
      <c r="AB1617" s="40" t="str">
        <f aca="false">IF($F1617="","",$F1617&amp;"#"&amp;COUNTIF($F$4:$F1617,$F1617))</f>
        <v/>
      </c>
      <c r="AC1617" s="40" t="str">
        <f aca="false">IF($B1617="","",IF(AND(OR(CETAK!$J$10="",$F1617=CETAK!$J$10),OR(CETAK!$J$11="",$G1617=CETAK!$J$11),OR(CETAK!$J$12="",$P1617=CETAK!$J$12),OR(CETAK!$J$13="",$N1617=CETAK!$J$13),OR(CETAK!$J$14="",$T1617=CETAK!$J$14)),MAX($AC$3:AC1616)+1,""))</f>
        <v/>
      </c>
      <c r="AD1617" s="40" t="str">
        <f aca="false">IF($B1617="","",IF(AND(OR(ABSENSI!$H$10="",$F1617=ABSENSI!$H$10),OR(ABSENSI!$H$11="",$G1617=ABSENSI!$H$11),OR(ABSENSI!$H$12="",$P1617=ABSENSI!$H$12)),MAX($AD$3:AD1616)+1,""))</f>
        <v/>
      </c>
      <c r="AE1617" s="40" t="str">
        <f aca="false">IF($B1617="","",IF(AND(OR(KARTU!$K$6="",$F1617=KARTU!$K$6),OR(KARTU!$K$7="",$G1617=KARTU!$K$7),OR(KARTU!$K$8="",$P1617=KARTU!$K$8)),MAX($AE$3:AE1616)+1,""))</f>
        <v/>
      </c>
    </row>
    <row r="1618" customFormat="false" ht="15" hidden="false" customHeight="false" outlineLevel="0" collapsed="false">
      <c r="A1618" s="35" t="str">
        <f aca="false">IF($B1618="","",COUNTA($B$4:$B1618))</f>
        <v/>
      </c>
      <c r="B1618" s="36"/>
      <c r="C1618" s="37"/>
      <c r="D1618" s="37"/>
      <c r="E1618" s="38"/>
      <c r="F1618" s="36"/>
      <c r="G1618" s="39"/>
      <c r="H1618" s="39"/>
      <c r="I1618" s="36"/>
      <c r="J1618" s="36"/>
      <c r="K1618" s="36"/>
      <c r="L1618" s="36"/>
      <c r="M1618" s="40" t="str">
        <f aca="false">IF($F1618="","",$F1618&amp;IF($G1618="",""," - RT "&amp;$G1618&amp;IF($H1618="","","/"&amp;$H1618)))</f>
        <v/>
      </c>
      <c r="N1618" s="36"/>
      <c r="O1618" s="37"/>
      <c r="P1618" s="39"/>
      <c r="Q1618" s="41"/>
      <c r="R1618" s="35" t="str">
        <f aca="true">IF(OR($B1618="",$Q1618=""),"",DATEDIF($Q1618,TODAY(),"Y"))</f>
        <v/>
      </c>
      <c r="S1618" s="40" t="str">
        <f aca="false">IF($R1618="","",INDEX(usia_label,MATCH($R1618,usia_min,1)))</f>
        <v/>
      </c>
      <c r="T1618" s="36"/>
      <c r="U1618" s="41"/>
      <c r="V1618" s="36"/>
      <c r="W1618" s="36"/>
      <c r="X1618" s="40" t="str">
        <f aca="false">IF($M1618="","",$M1618&amp;"#"&amp;COUNTIF($M$4:$M1618,$M1618))</f>
        <v/>
      </c>
      <c r="Y1618" s="40" t="str">
        <f aca="false">IF($B1618="","",IF($C1618="","NIK kosong",IF(LEN($C1618)&lt;&gt;16,"NIK bukan 16 digit",IF(COUNTIF($C$4:$C$2003,$C1618&amp;"*")&gt;1,"NIK ganda",IF(AND($D1618&lt;&gt;"",LEN($D1618)&lt;&gt;16),"No. KK bukan 16 digit",IF(AND($F1618="",$I1618=""),"Alamat kosong",IF($N1618="","Jabatan kosong",IF($O1618="","No. HP kosong",IF(AND($R1618&lt;&gt;"",$R1618&lt;17),"Usia di bawah 17","")))))))))</f>
        <v/>
      </c>
      <c r="Z1618" s="40" t="str">
        <f aca="false">IF($B1618="","",IF(AND(OR(CARI!$C$5="",ISNUMBER(SEARCH(CARI!$C$5,$B1618&amp;" "&amp;$C1618&amp;" "&amp;$D1618&amp;" "&amp;$O1618&amp;" "&amp;$I1618&amp;" "&amp;$F1618&amp;" "&amp;$J1618&amp;" "&amp;$K1618&amp;" "&amp;$L1618&amp;" "&amp;$V1618))),OR(CARI!$C$6="",$F1618=CARI!$C$6),OR(CARI!$C$7="",$G1618=CARI!$C$7),OR(CARI!$C$8="",$T1618=CARI!$C$8)),MAX($Z$3:Z1617)+1,""))</f>
        <v/>
      </c>
      <c r="AA1618" s="40" t="str">
        <f aca="false">IF($Y1618="","",MAX($AA$3:AA1617)+1)</f>
        <v/>
      </c>
      <c r="AB1618" s="40" t="str">
        <f aca="false">IF($F1618="","",$F1618&amp;"#"&amp;COUNTIF($F$4:$F1618,$F1618))</f>
        <v/>
      </c>
      <c r="AC1618" s="40" t="str">
        <f aca="false">IF($B1618="","",IF(AND(OR(CETAK!$J$10="",$F1618=CETAK!$J$10),OR(CETAK!$J$11="",$G1618=CETAK!$J$11),OR(CETAK!$J$12="",$P1618=CETAK!$J$12),OR(CETAK!$J$13="",$N1618=CETAK!$J$13),OR(CETAK!$J$14="",$T1618=CETAK!$J$14)),MAX($AC$3:AC1617)+1,""))</f>
        <v/>
      </c>
      <c r="AD1618" s="40" t="str">
        <f aca="false">IF($B1618="","",IF(AND(OR(ABSENSI!$H$10="",$F1618=ABSENSI!$H$10),OR(ABSENSI!$H$11="",$G1618=ABSENSI!$H$11),OR(ABSENSI!$H$12="",$P1618=ABSENSI!$H$12)),MAX($AD$3:AD1617)+1,""))</f>
        <v/>
      </c>
      <c r="AE1618" s="40" t="str">
        <f aca="false">IF($B1618="","",IF(AND(OR(KARTU!$K$6="",$F1618=KARTU!$K$6),OR(KARTU!$K$7="",$G1618=KARTU!$K$7),OR(KARTU!$K$8="",$P1618=KARTU!$K$8)),MAX($AE$3:AE1617)+1,""))</f>
        <v/>
      </c>
    </row>
    <row r="1619" customFormat="false" ht="15" hidden="false" customHeight="false" outlineLevel="0" collapsed="false">
      <c r="A1619" s="35" t="str">
        <f aca="false">IF($B1619="","",COUNTA($B$4:$B1619))</f>
        <v/>
      </c>
      <c r="B1619" s="36"/>
      <c r="C1619" s="37"/>
      <c r="D1619" s="37"/>
      <c r="E1619" s="38"/>
      <c r="F1619" s="36"/>
      <c r="G1619" s="39"/>
      <c r="H1619" s="39"/>
      <c r="I1619" s="36"/>
      <c r="J1619" s="36"/>
      <c r="K1619" s="36"/>
      <c r="L1619" s="36"/>
      <c r="M1619" s="40" t="str">
        <f aca="false">IF($F1619="","",$F1619&amp;IF($G1619="",""," - RT "&amp;$G1619&amp;IF($H1619="","","/"&amp;$H1619)))</f>
        <v/>
      </c>
      <c r="N1619" s="36"/>
      <c r="O1619" s="37"/>
      <c r="P1619" s="39"/>
      <c r="Q1619" s="41"/>
      <c r="R1619" s="35" t="str">
        <f aca="true">IF(OR($B1619="",$Q1619=""),"",DATEDIF($Q1619,TODAY(),"Y"))</f>
        <v/>
      </c>
      <c r="S1619" s="40" t="str">
        <f aca="false">IF($R1619="","",INDEX(usia_label,MATCH($R1619,usia_min,1)))</f>
        <v/>
      </c>
      <c r="T1619" s="36"/>
      <c r="U1619" s="41"/>
      <c r="V1619" s="36"/>
      <c r="W1619" s="36"/>
      <c r="X1619" s="40" t="str">
        <f aca="false">IF($M1619="","",$M1619&amp;"#"&amp;COUNTIF($M$4:$M1619,$M1619))</f>
        <v/>
      </c>
      <c r="Y1619" s="40" t="str">
        <f aca="false">IF($B1619="","",IF($C1619="","NIK kosong",IF(LEN($C1619)&lt;&gt;16,"NIK bukan 16 digit",IF(COUNTIF($C$4:$C$2003,$C1619&amp;"*")&gt;1,"NIK ganda",IF(AND($D1619&lt;&gt;"",LEN($D1619)&lt;&gt;16),"No. KK bukan 16 digit",IF(AND($F1619="",$I1619=""),"Alamat kosong",IF($N1619="","Jabatan kosong",IF($O1619="","No. HP kosong",IF(AND($R1619&lt;&gt;"",$R1619&lt;17),"Usia di bawah 17","")))))))))</f>
        <v/>
      </c>
      <c r="Z1619" s="40" t="str">
        <f aca="false">IF($B1619="","",IF(AND(OR(CARI!$C$5="",ISNUMBER(SEARCH(CARI!$C$5,$B1619&amp;" "&amp;$C1619&amp;" "&amp;$D1619&amp;" "&amp;$O1619&amp;" "&amp;$I1619&amp;" "&amp;$F1619&amp;" "&amp;$J1619&amp;" "&amp;$K1619&amp;" "&amp;$L1619&amp;" "&amp;$V1619))),OR(CARI!$C$6="",$F1619=CARI!$C$6),OR(CARI!$C$7="",$G1619=CARI!$C$7),OR(CARI!$C$8="",$T1619=CARI!$C$8)),MAX($Z$3:Z1618)+1,""))</f>
        <v/>
      </c>
      <c r="AA1619" s="40" t="str">
        <f aca="false">IF($Y1619="","",MAX($AA$3:AA1618)+1)</f>
        <v/>
      </c>
      <c r="AB1619" s="40" t="str">
        <f aca="false">IF($F1619="","",$F1619&amp;"#"&amp;COUNTIF($F$4:$F1619,$F1619))</f>
        <v/>
      </c>
      <c r="AC1619" s="40" t="str">
        <f aca="false">IF($B1619="","",IF(AND(OR(CETAK!$J$10="",$F1619=CETAK!$J$10),OR(CETAK!$J$11="",$G1619=CETAK!$J$11),OR(CETAK!$J$12="",$P1619=CETAK!$J$12),OR(CETAK!$J$13="",$N1619=CETAK!$J$13),OR(CETAK!$J$14="",$T1619=CETAK!$J$14)),MAX($AC$3:AC1618)+1,""))</f>
        <v/>
      </c>
      <c r="AD1619" s="40" t="str">
        <f aca="false">IF($B1619="","",IF(AND(OR(ABSENSI!$H$10="",$F1619=ABSENSI!$H$10),OR(ABSENSI!$H$11="",$G1619=ABSENSI!$H$11),OR(ABSENSI!$H$12="",$P1619=ABSENSI!$H$12)),MAX($AD$3:AD1618)+1,""))</f>
        <v/>
      </c>
      <c r="AE1619" s="40" t="str">
        <f aca="false">IF($B1619="","",IF(AND(OR(KARTU!$K$6="",$F1619=KARTU!$K$6),OR(KARTU!$K$7="",$G1619=KARTU!$K$7),OR(KARTU!$K$8="",$P1619=KARTU!$K$8)),MAX($AE$3:AE1618)+1,""))</f>
        <v/>
      </c>
    </row>
    <row r="1620" customFormat="false" ht="15" hidden="false" customHeight="false" outlineLevel="0" collapsed="false">
      <c r="A1620" s="35" t="str">
        <f aca="false">IF($B1620="","",COUNTA($B$4:$B1620))</f>
        <v/>
      </c>
      <c r="B1620" s="36"/>
      <c r="C1620" s="37"/>
      <c r="D1620" s="37"/>
      <c r="E1620" s="38"/>
      <c r="F1620" s="36"/>
      <c r="G1620" s="39"/>
      <c r="H1620" s="39"/>
      <c r="I1620" s="36"/>
      <c r="J1620" s="36"/>
      <c r="K1620" s="36"/>
      <c r="L1620" s="36"/>
      <c r="M1620" s="40" t="str">
        <f aca="false">IF($F1620="","",$F1620&amp;IF($G1620="",""," - RT "&amp;$G1620&amp;IF($H1620="","","/"&amp;$H1620)))</f>
        <v/>
      </c>
      <c r="N1620" s="36"/>
      <c r="O1620" s="37"/>
      <c r="P1620" s="39"/>
      <c r="Q1620" s="41"/>
      <c r="R1620" s="35" t="str">
        <f aca="true">IF(OR($B1620="",$Q1620=""),"",DATEDIF($Q1620,TODAY(),"Y"))</f>
        <v/>
      </c>
      <c r="S1620" s="40" t="str">
        <f aca="false">IF($R1620="","",INDEX(usia_label,MATCH($R1620,usia_min,1)))</f>
        <v/>
      </c>
      <c r="T1620" s="36"/>
      <c r="U1620" s="41"/>
      <c r="V1620" s="36"/>
      <c r="W1620" s="36"/>
      <c r="X1620" s="40" t="str">
        <f aca="false">IF($M1620="","",$M1620&amp;"#"&amp;COUNTIF($M$4:$M1620,$M1620))</f>
        <v/>
      </c>
      <c r="Y1620" s="40" t="str">
        <f aca="false">IF($B1620="","",IF($C1620="","NIK kosong",IF(LEN($C1620)&lt;&gt;16,"NIK bukan 16 digit",IF(COUNTIF($C$4:$C$2003,$C1620&amp;"*")&gt;1,"NIK ganda",IF(AND($D1620&lt;&gt;"",LEN($D1620)&lt;&gt;16),"No. KK bukan 16 digit",IF(AND($F1620="",$I1620=""),"Alamat kosong",IF($N1620="","Jabatan kosong",IF($O1620="","No. HP kosong",IF(AND($R1620&lt;&gt;"",$R1620&lt;17),"Usia di bawah 17","")))))))))</f>
        <v/>
      </c>
      <c r="Z1620" s="40" t="str">
        <f aca="false">IF($B1620="","",IF(AND(OR(CARI!$C$5="",ISNUMBER(SEARCH(CARI!$C$5,$B1620&amp;" "&amp;$C1620&amp;" "&amp;$D1620&amp;" "&amp;$O1620&amp;" "&amp;$I1620&amp;" "&amp;$F1620&amp;" "&amp;$J1620&amp;" "&amp;$K1620&amp;" "&amp;$L1620&amp;" "&amp;$V1620))),OR(CARI!$C$6="",$F1620=CARI!$C$6),OR(CARI!$C$7="",$G1620=CARI!$C$7),OR(CARI!$C$8="",$T1620=CARI!$C$8)),MAX($Z$3:Z1619)+1,""))</f>
        <v/>
      </c>
      <c r="AA1620" s="40" t="str">
        <f aca="false">IF($Y1620="","",MAX($AA$3:AA1619)+1)</f>
        <v/>
      </c>
      <c r="AB1620" s="40" t="str">
        <f aca="false">IF($F1620="","",$F1620&amp;"#"&amp;COUNTIF($F$4:$F1620,$F1620))</f>
        <v/>
      </c>
      <c r="AC1620" s="40" t="str">
        <f aca="false">IF($B1620="","",IF(AND(OR(CETAK!$J$10="",$F1620=CETAK!$J$10),OR(CETAK!$J$11="",$G1620=CETAK!$J$11),OR(CETAK!$J$12="",$P1620=CETAK!$J$12),OR(CETAK!$J$13="",$N1620=CETAK!$J$13),OR(CETAK!$J$14="",$T1620=CETAK!$J$14)),MAX($AC$3:AC1619)+1,""))</f>
        <v/>
      </c>
      <c r="AD1620" s="40" t="str">
        <f aca="false">IF($B1620="","",IF(AND(OR(ABSENSI!$H$10="",$F1620=ABSENSI!$H$10),OR(ABSENSI!$H$11="",$G1620=ABSENSI!$H$11),OR(ABSENSI!$H$12="",$P1620=ABSENSI!$H$12)),MAX($AD$3:AD1619)+1,""))</f>
        <v/>
      </c>
      <c r="AE1620" s="40" t="str">
        <f aca="false">IF($B1620="","",IF(AND(OR(KARTU!$K$6="",$F1620=KARTU!$K$6),OR(KARTU!$K$7="",$G1620=KARTU!$K$7),OR(KARTU!$K$8="",$P1620=KARTU!$K$8)),MAX($AE$3:AE1619)+1,""))</f>
        <v/>
      </c>
    </row>
    <row r="1621" customFormat="false" ht="15" hidden="false" customHeight="false" outlineLevel="0" collapsed="false">
      <c r="A1621" s="35" t="str">
        <f aca="false">IF($B1621="","",COUNTA($B$4:$B1621))</f>
        <v/>
      </c>
      <c r="B1621" s="36"/>
      <c r="C1621" s="37"/>
      <c r="D1621" s="37"/>
      <c r="E1621" s="38"/>
      <c r="F1621" s="36"/>
      <c r="G1621" s="39"/>
      <c r="H1621" s="39"/>
      <c r="I1621" s="36"/>
      <c r="J1621" s="36"/>
      <c r="K1621" s="36"/>
      <c r="L1621" s="36"/>
      <c r="M1621" s="40" t="str">
        <f aca="false">IF($F1621="","",$F1621&amp;IF($G1621="",""," - RT "&amp;$G1621&amp;IF($H1621="","","/"&amp;$H1621)))</f>
        <v/>
      </c>
      <c r="N1621" s="36"/>
      <c r="O1621" s="37"/>
      <c r="P1621" s="39"/>
      <c r="Q1621" s="41"/>
      <c r="R1621" s="35" t="str">
        <f aca="true">IF(OR($B1621="",$Q1621=""),"",DATEDIF($Q1621,TODAY(),"Y"))</f>
        <v/>
      </c>
      <c r="S1621" s="40" t="str">
        <f aca="false">IF($R1621="","",INDEX(usia_label,MATCH($R1621,usia_min,1)))</f>
        <v/>
      </c>
      <c r="T1621" s="36"/>
      <c r="U1621" s="41"/>
      <c r="V1621" s="36"/>
      <c r="W1621" s="36"/>
      <c r="X1621" s="40" t="str">
        <f aca="false">IF($M1621="","",$M1621&amp;"#"&amp;COUNTIF($M$4:$M1621,$M1621))</f>
        <v/>
      </c>
      <c r="Y1621" s="40" t="str">
        <f aca="false">IF($B1621="","",IF($C1621="","NIK kosong",IF(LEN($C1621)&lt;&gt;16,"NIK bukan 16 digit",IF(COUNTIF($C$4:$C$2003,$C1621&amp;"*")&gt;1,"NIK ganda",IF(AND($D1621&lt;&gt;"",LEN($D1621)&lt;&gt;16),"No. KK bukan 16 digit",IF(AND($F1621="",$I1621=""),"Alamat kosong",IF($N1621="","Jabatan kosong",IF($O1621="","No. HP kosong",IF(AND($R1621&lt;&gt;"",$R1621&lt;17),"Usia di bawah 17","")))))))))</f>
        <v/>
      </c>
      <c r="Z1621" s="40" t="str">
        <f aca="false">IF($B1621="","",IF(AND(OR(CARI!$C$5="",ISNUMBER(SEARCH(CARI!$C$5,$B1621&amp;" "&amp;$C1621&amp;" "&amp;$D1621&amp;" "&amp;$O1621&amp;" "&amp;$I1621&amp;" "&amp;$F1621&amp;" "&amp;$J1621&amp;" "&amp;$K1621&amp;" "&amp;$L1621&amp;" "&amp;$V1621))),OR(CARI!$C$6="",$F1621=CARI!$C$6),OR(CARI!$C$7="",$G1621=CARI!$C$7),OR(CARI!$C$8="",$T1621=CARI!$C$8)),MAX($Z$3:Z1620)+1,""))</f>
        <v/>
      </c>
      <c r="AA1621" s="40" t="str">
        <f aca="false">IF($Y1621="","",MAX($AA$3:AA1620)+1)</f>
        <v/>
      </c>
      <c r="AB1621" s="40" t="str">
        <f aca="false">IF($F1621="","",$F1621&amp;"#"&amp;COUNTIF($F$4:$F1621,$F1621))</f>
        <v/>
      </c>
      <c r="AC1621" s="40" t="str">
        <f aca="false">IF($B1621="","",IF(AND(OR(CETAK!$J$10="",$F1621=CETAK!$J$10),OR(CETAK!$J$11="",$G1621=CETAK!$J$11),OR(CETAK!$J$12="",$P1621=CETAK!$J$12),OR(CETAK!$J$13="",$N1621=CETAK!$J$13),OR(CETAK!$J$14="",$T1621=CETAK!$J$14)),MAX($AC$3:AC1620)+1,""))</f>
        <v/>
      </c>
      <c r="AD1621" s="40" t="str">
        <f aca="false">IF($B1621="","",IF(AND(OR(ABSENSI!$H$10="",$F1621=ABSENSI!$H$10),OR(ABSENSI!$H$11="",$G1621=ABSENSI!$H$11),OR(ABSENSI!$H$12="",$P1621=ABSENSI!$H$12)),MAX($AD$3:AD1620)+1,""))</f>
        <v/>
      </c>
      <c r="AE1621" s="40" t="str">
        <f aca="false">IF($B1621="","",IF(AND(OR(KARTU!$K$6="",$F1621=KARTU!$K$6),OR(KARTU!$K$7="",$G1621=KARTU!$K$7),OR(KARTU!$K$8="",$P1621=KARTU!$K$8)),MAX($AE$3:AE1620)+1,""))</f>
        <v/>
      </c>
    </row>
    <row r="1622" customFormat="false" ht="15" hidden="false" customHeight="false" outlineLevel="0" collapsed="false">
      <c r="A1622" s="35" t="str">
        <f aca="false">IF($B1622="","",COUNTA($B$4:$B1622))</f>
        <v/>
      </c>
      <c r="B1622" s="36"/>
      <c r="C1622" s="37"/>
      <c r="D1622" s="37"/>
      <c r="E1622" s="38"/>
      <c r="F1622" s="36"/>
      <c r="G1622" s="39"/>
      <c r="H1622" s="39"/>
      <c r="I1622" s="36"/>
      <c r="J1622" s="36"/>
      <c r="K1622" s="36"/>
      <c r="L1622" s="36"/>
      <c r="M1622" s="40" t="str">
        <f aca="false">IF($F1622="","",$F1622&amp;IF($G1622="",""," - RT "&amp;$G1622&amp;IF($H1622="","","/"&amp;$H1622)))</f>
        <v/>
      </c>
      <c r="N1622" s="36"/>
      <c r="O1622" s="37"/>
      <c r="P1622" s="39"/>
      <c r="Q1622" s="41"/>
      <c r="R1622" s="35" t="str">
        <f aca="true">IF(OR($B1622="",$Q1622=""),"",DATEDIF($Q1622,TODAY(),"Y"))</f>
        <v/>
      </c>
      <c r="S1622" s="40" t="str">
        <f aca="false">IF($R1622="","",INDEX(usia_label,MATCH($R1622,usia_min,1)))</f>
        <v/>
      </c>
      <c r="T1622" s="36"/>
      <c r="U1622" s="41"/>
      <c r="V1622" s="36"/>
      <c r="W1622" s="36"/>
      <c r="X1622" s="40" t="str">
        <f aca="false">IF($M1622="","",$M1622&amp;"#"&amp;COUNTIF($M$4:$M1622,$M1622))</f>
        <v/>
      </c>
      <c r="Y1622" s="40" t="str">
        <f aca="false">IF($B1622="","",IF($C1622="","NIK kosong",IF(LEN($C1622)&lt;&gt;16,"NIK bukan 16 digit",IF(COUNTIF($C$4:$C$2003,$C1622&amp;"*")&gt;1,"NIK ganda",IF(AND($D1622&lt;&gt;"",LEN($D1622)&lt;&gt;16),"No. KK bukan 16 digit",IF(AND($F1622="",$I1622=""),"Alamat kosong",IF($N1622="","Jabatan kosong",IF($O1622="","No. HP kosong",IF(AND($R1622&lt;&gt;"",$R1622&lt;17),"Usia di bawah 17","")))))))))</f>
        <v/>
      </c>
      <c r="Z1622" s="40" t="str">
        <f aca="false">IF($B1622="","",IF(AND(OR(CARI!$C$5="",ISNUMBER(SEARCH(CARI!$C$5,$B1622&amp;" "&amp;$C1622&amp;" "&amp;$D1622&amp;" "&amp;$O1622&amp;" "&amp;$I1622&amp;" "&amp;$F1622&amp;" "&amp;$J1622&amp;" "&amp;$K1622&amp;" "&amp;$L1622&amp;" "&amp;$V1622))),OR(CARI!$C$6="",$F1622=CARI!$C$6),OR(CARI!$C$7="",$G1622=CARI!$C$7),OR(CARI!$C$8="",$T1622=CARI!$C$8)),MAX($Z$3:Z1621)+1,""))</f>
        <v/>
      </c>
      <c r="AA1622" s="40" t="str">
        <f aca="false">IF($Y1622="","",MAX($AA$3:AA1621)+1)</f>
        <v/>
      </c>
      <c r="AB1622" s="40" t="str">
        <f aca="false">IF($F1622="","",$F1622&amp;"#"&amp;COUNTIF($F$4:$F1622,$F1622))</f>
        <v/>
      </c>
      <c r="AC1622" s="40" t="str">
        <f aca="false">IF($B1622="","",IF(AND(OR(CETAK!$J$10="",$F1622=CETAK!$J$10),OR(CETAK!$J$11="",$G1622=CETAK!$J$11),OR(CETAK!$J$12="",$P1622=CETAK!$J$12),OR(CETAK!$J$13="",$N1622=CETAK!$J$13),OR(CETAK!$J$14="",$T1622=CETAK!$J$14)),MAX($AC$3:AC1621)+1,""))</f>
        <v/>
      </c>
      <c r="AD1622" s="40" t="str">
        <f aca="false">IF($B1622="","",IF(AND(OR(ABSENSI!$H$10="",$F1622=ABSENSI!$H$10),OR(ABSENSI!$H$11="",$G1622=ABSENSI!$H$11),OR(ABSENSI!$H$12="",$P1622=ABSENSI!$H$12)),MAX($AD$3:AD1621)+1,""))</f>
        <v/>
      </c>
      <c r="AE1622" s="40" t="str">
        <f aca="false">IF($B1622="","",IF(AND(OR(KARTU!$K$6="",$F1622=KARTU!$K$6),OR(KARTU!$K$7="",$G1622=KARTU!$K$7),OR(KARTU!$K$8="",$P1622=KARTU!$K$8)),MAX($AE$3:AE1621)+1,""))</f>
        <v/>
      </c>
    </row>
    <row r="1623" customFormat="false" ht="15" hidden="false" customHeight="false" outlineLevel="0" collapsed="false">
      <c r="A1623" s="35" t="str">
        <f aca="false">IF($B1623="","",COUNTA($B$4:$B1623))</f>
        <v/>
      </c>
      <c r="B1623" s="36"/>
      <c r="C1623" s="37"/>
      <c r="D1623" s="37"/>
      <c r="E1623" s="38"/>
      <c r="F1623" s="36"/>
      <c r="G1623" s="39"/>
      <c r="H1623" s="39"/>
      <c r="I1623" s="36"/>
      <c r="J1623" s="36"/>
      <c r="K1623" s="36"/>
      <c r="L1623" s="36"/>
      <c r="M1623" s="40" t="str">
        <f aca="false">IF($F1623="","",$F1623&amp;IF($G1623="",""," - RT "&amp;$G1623&amp;IF($H1623="","","/"&amp;$H1623)))</f>
        <v/>
      </c>
      <c r="N1623" s="36"/>
      <c r="O1623" s="37"/>
      <c r="P1623" s="39"/>
      <c r="Q1623" s="41"/>
      <c r="R1623" s="35" t="str">
        <f aca="true">IF(OR($B1623="",$Q1623=""),"",DATEDIF($Q1623,TODAY(),"Y"))</f>
        <v/>
      </c>
      <c r="S1623" s="40" t="str">
        <f aca="false">IF($R1623="","",INDEX(usia_label,MATCH($R1623,usia_min,1)))</f>
        <v/>
      </c>
      <c r="T1623" s="36"/>
      <c r="U1623" s="41"/>
      <c r="V1623" s="36"/>
      <c r="W1623" s="36"/>
      <c r="X1623" s="40" t="str">
        <f aca="false">IF($M1623="","",$M1623&amp;"#"&amp;COUNTIF($M$4:$M1623,$M1623))</f>
        <v/>
      </c>
      <c r="Y1623" s="40" t="str">
        <f aca="false">IF($B1623="","",IF($C1623="","NIK kosong",IF(LEN($C1623)&lt;&gt;16,"NIK bukan 16 digit",IF(COUNTIF($C$4:$C$2003,$C1623&amp;"*")&gt;1,"NIK ganda",IF(AND($D1623&lt;&gt;"",LEN($D1623)&lt;&gt;16),"No. KK bukan 16 digit",IF(AND($F1623="",$I1623=""),"Alamat kosong",IF($N1623="","Jabatan kosong",IF($O1623="","No. HP kosong",IF(AND($R1623&lt;&gt;"",$R1623&lt;17),"Usia di bawah 17","")))))))))</f>
        <v/>
      </c>
      <c r="Z1623" s="40" t="str">
        <f aca="false">IF($B1623="","",IF(AND(OR(CARI!$C$5="",ISNUMBER(SEARCH(CARI!$C$5,$B1623&amp;" "&amp;$C1623&amp;" "&amp;$D1623&amp;" "&amp;$O1623&amp;" "&amp;$I1623&amp;" "&amp;$F1623&amp;" "&amp;$J1623&amp;" "&amp;$K1623&amp;" "&amp;$L1623&amp;" "&amp;$V1623))),OR(CARI!$C$6="",$F1623=CARI!$C$6),OR(CARI!$C$7="",$G1623=CARI!$C$7),OR(CARI!$C$8="",$T1623=CARI!$C$8)),MAX($Z$3:Z1622)+1,""))</f>
        <v/>
      </c>
      <c r="AA1623" s="40" t="str">
        <f aca="false">IF($Y1623="","",MAX($AA$3:AA1622)+1)</f>
        <v/>
      </c>
      <c r="AB1623" s="40" t="str">
        <f aca="false">IF($F1623="","",$F1623&amp;"#"&amp;COUNTIF($F$4:$F1623,$F1623))</f>
        <v/>
      </c>
      <c r="AC1623" s="40" t="str">
        <f aca="false">IF($B1623="","",IF(AND(OR(CETAK!$J$10="",$F1623=CETAK!$J$10),OR(CETAK!$J$11="",$G1623=CETAK!$J$11),OR(CETAK!$J$12="",$P1623=CETAK!$J$12),OR(CETAK!$J$13="",$N1623=CETAK!$J$13),OR(CETAK!$J$14="",$T1623=CETAK!$J$14)),MAX($AC$3:AC1622)+1,""))</f>
        <v/>
      </c>
      <c r="AD1623" s="40" t="str">
        <f aca="false">IF($B1623="","",IF(AND(OR(ABSENSI!$H$10="",$F1623=ABSENSI!$H$10),OR(ABSENSI!$H$11="",$G1623=ABSENSI!$H$11),OR(ABSENSI!$H$12="",$P1623=ABSENSI!$H$12)),MAX($AD$3:AD1622)+1,""))</f>
        <v/>
      </c>
      <c r="AE1623" s="40" t="str">
        <f aca="false">IF($B1623="","",IF(AND(OR(KARTU!$K$6="",$F1623=KARTU!$K$6),OR(KARTU!$K$7="",$G1623=KARTU!$K$7),OR(KARTU!$K$8="",$P1623=KARTU!$K$8)),MAX($AE$3:AE1622)+1,""))</f>
        <v/>
      </c>
    </row>
    <row r="1624" customFormat="false" ht="15" hidden="false" customHeight="false" outlineLevel="0" collapsed="false">
      <c r="A1624" s="35" t="str">
        <f aca="false">IF($B1624="","",COUNTA($B$4:$B1624))</f>
        <v/>
      </c>
      <c r="B1624" s="36"/>
      <c r="C1624" s="37"/>
      <c r="D1624" s="37"/>
      <c r="E1624" s="38"/>
      <c r="F1624" s="36"/>
      <c r="G1624" s="39"/>
      <c r="H1624" s="39"/>
      <c r="I1624" s="36"/>
      <c r="J1624" s="36"/>
      <c r="K1624" s="36"/>
      <c r="L1624" s="36"/>
      <c r="M1624" s="40" t="str">
        <f aca="false">IF($F1624="","",$F1624&amp;IF($G1624="",""," - RT "&amp;$G1624&amp;IF($H1624="","","/"&amp;$H1624)))</f>
        <v/>
      </c>
      <c r="N1624" s="36"/>
      <c r="O1624" s="37"/>
      <c r="P1624" s="39"/>
      <c r="Q1624" s="41"/>
      <c r="R1624" s="35" t="str">
        <f aca="true">IF(OR($B1624="",$Q1624=""),"",DATEDIF($Q1624,TODAY(),"Y"))</f>
        <v/>
      </c>
      <c r="S1624" s="40" t="str">
        <f aca="false">IF($R1624="","",INDEX(usia_label,MATCH($R1624,usia_min,1)))</f>
        <v/>
      </c>
      <c r="T1624" s="36"/>
      <c r="U1624" s="41"/>
      <c r="V1624" s="36"/>
      <c r="W1624" s="36"/>
      <c r="X1624" s="40" t="str">
        <f aca="false">IF($M1624="","",$M1624&amp;"#"&amp;COUNTIF($M$4:$M1624,$M1624))</f>
        <v/>
      </c>
      <c r="Y1624" s="40" t="str">
        <f aca="false">IF($B1624="","",IF($C1624="","NIK kosong",IF(LEN($C1624)&lt;&gt;16,"NIK bukan 16 digit",IF(COUNTIF($C$4:$C$2003,$C1624&amp;"*")&gt;1,"NIK ganda",IF(AND($D1624&lt;&gt;"",LEN($D1624)&lt;&gt;16),"No. KK bukan 16 digit",IF(AND($F1624="",$I1624=""),"Alamat kosong",IF($N1624="","Jabatan kosong",IF($O1624="","No. HP kosong",IF(AND($R1624&lt;&gt;"",$R1624&lt;17),"Usia di bawah 17","")))))))))</f>
        <v/>
      </c>
      <c r="Z1624" s="40" t="str">
        <f aca="false">IF($B1624="","",IF(AND(OR(CARI!$C$5="",ISNUMBER(SEARCH(CARI!$C$5,$B1624&amp;" "&amp;$C1624&amp;" "&amp;$D1624&amp;" "&amp;$O1624&amp;" "&amp;$I1624&amp;" "&amp;$F1624&amp;" "&amp;$J1624&amp;" "&amp;$K1624&amp;" "&amp;$L1624&amp;" "&amp;$V1624))),OR(CARI!$C$6="",$F1624=CARI!$C$6),OR(CARI!$C$7="",$G1624=CARI!$C$7),OR(CARI!$C$8="",$T1624=CARI!$C$8)),MAX($Z$3:Z1623)+1,""))</f>
        <v/>
      </c>
      <c r="AA1624" s="40" t="str">
        <f aca="false">IF($Y1624="","",MAX($AA$3:AA1623)+1)</f>
        <v/>
      </c>
      <c r="AB1624" s="40" t="str">
        <f aca="false">IF($F1624="","",$F1624&amp;"#"&amp;COUNTIF($F$4:$F1624,$F1624))</f>
        <v/>
      </c>
      <c r="AC1624" s="40" t="str">
        <f aca="false">IF($B1624="","",IF(AND(OR(CETAK!$J$10="",$F1624=CETAK!$J$10),OR(CETAK!$J$11="",$G1624=CETAK!$J$11),OR(CETAK!$J$12="",$P1624=CETAK!$J$12),OR(CETAK!$J$13="",$N1624=CETAK!$J$13),OR(CETAK!$J$14="",$T1624=CETAK!$J$14)),MAX($AC$3:AC1623)+1,""))</f>
        <v/>
      </c>
      <c r="AD1624" s="40" t="str">
        <f aca="false">IF($B1624="","",IF(AND(OR(ABSENSI!$H$10="",$F1624=ABSENSI!$H$10),OR(ABSENSI!$H$11="",$G1624=ABSENSI!$H$11),OR(ABSENSI!$H$12="",$P1624=ABSENSI!$H$12)),MAX($AD$3:AD1623)+1,""))</f>
        <v/>
      </c>
      <c r="AE1624" s="40" t="str">
        <f aca="false">IF($B1624="","",IF(AND(OR(KARTU!$K$6="",$F1624=KARTU!$K$6),OR(KARTU!$K$7="",$G1624=KARTU!$K$7),OR(KARTU!$K$8="",$P1624=KARTU!$K$8)),MAX($AE$3:AE1623)+1,""))</f>
        <v/>
      </c>
    </row>
    <row r="1625" customFormat="false" ht="15" hidden="false" customHeight="false" outlineLevel="0" collapsed="false">
      <c r="A1625" s="35" t="str">
        <f aca="false">IF($B1625="","",COUNTA($B$4:$B1625))</f>
        <v/>
      </c>
      <c r="B1625" s="36"/>
      <c r="C1625" s="37"/>
      <c r="D1625" s="37"/>
      <c r="E1625" s="38"/>
      <c r="F1625" s="36"/>
      <c r="G1625" s="39"/>
      <c r="H1625" s="39"/>
      <c r="I1625" s="36"/>
      <c r="J1625" s="36"/>
      <c r="K1625" s="36"/>
      <c r="L1625" s="36"/>
      <c r="M1625" s="40" t="str">
        <f aca="false">IF($F1625="","",$F1625&amp;IF($G1625="",""," - RT "&amp;$G1625&amp;IF($H1625="","","/"&amp;$H1625)))</f>
        <v/>
      </c>
      <c r="N1625" s="36"/>
      <c r="O1625" s="37"/>
      <c r="P1625" s="39"/>
      <c r="Q1625" s="41"/>
      <c r="R1625" s="35" t="str">
        <f aca="true">IF(OR($B1625="",$Q1625=""),"",DATEDIF($Q1625,TODAY(),"Y"))</f>
        <v/>
      </c>
      <c r="S1625" s="40" t="str">
        <f aca="false">IF($R1625="","",INDEX(usia_label,MATCH($R1625,usia_min,1)))</f>
        <v/>
      </c>
      <c r="T1625" s="36"/>
      <c r="U1625" s="41"/>
      <c r="V1625" s="36"/>
      <c r="W1625" s="36"/>
      <c r="X1625" s="40" t="str">
        <f aca="false">IF($M1625="","",$M1625&amp;"#"&amp;COUNTIF($M$4:$M1625,$M1625))</f>
        <v/>
      </c>
      <c r="Y1625" s="40" t="str">
        <f aca="false">IF($B1625="","",IF($C1625="","NIK kosong",IF(LEN($C1625)&lt;&gt;16,"NIK bukan 16 digit",IF(COUNTIF($C$4:$C$2003,$C1625&amp;"*")&gt;1,"NIK ganda",IF(AND($D1625&lt;&gt;"",LEN($D1625)&lt;&gt;16),"No. KK bukan 16 digit",IF(AND($F1625="",$I1625=""),"Alamat kosong",IF($N1625="","Jabatan kosong",IF($O1625="","No. HP kosong",IF(AND($R1625&lt;&gt;"",$R1625&lt;17),"Usia di bawah 17","")))))))))</f>
        <v/>
      </c>
      <c r="Z1625" s="40" t="str">
        <f aca="false">IF($B1625="","",IF(AND(OR(CARI!$C$5="",ISNUMBER(SEARCH(CARI!$C$5,$B1625&amp;" "&amp;$C1625&amp;" "&amp;$D1625&amp;" "&amp;$O1625&amp;" "&amp;$I1625&amp;" "&amp;$F1625&amp;" "&amp;$J1625&amp;" "&amp;$K1625&amp;" "&amp;$L1625&amp;" "&amp;$V1625))),OR(CARI!$C$6="",$F1625=CARI!$C$6),OR(CARI!$C$7="",$G1625=CARI!$C$7),OR(CARI!$C$8="",$T1625=CARI!$C$8)),MAX($Z$3:Z1624)+1,""))</f>
        <v/>
      </c>
      <c r="AA1625" s="40" t="str">
        <f aca="false">IF($Y1625="","",MAX($AA$3:AA1624)+1)</f>
        <v/>
      </c>
      <c r="AB1625" s="40" t="str">
        <f aca="false">IF($F1625="","",$F1625&amp;"#"&amp;COUNTIF($F$4:$F1625,$F1625))</f>
        <v/>
      </c>
      <c r="AC1625" s="40" t="str">
        <f aca="false">IF($B1625="","",IF(AND(OR(CETAK!$J$10="",$F1625=CETAK!$J$10),OR(CETAK!$J$11="",$G1625=CETAK!$J$11),OR(CETAK!$J$12="",$P1625=CETAK!$J$12),OR(CETAK!$J$13="",$N1625=CETAK!$J$13),OR(CETAK!$J$14="",$T1625=CETAK!$J$14)),MAX($AC$3:AC1624)+1,""))</f>
        <v/>
      </c>
      <c r="AD1625" s="40" t="str">
        <f aca="false">IF($B1625="","",IF(AND(OR(ABSENSI!$H$10="",$F1625=ABSENSI!$H$10),OR(ABSENSI!$H$11="",$G1625=ABSENSI!$H$11),OR(ABSENSI!$H$12="",$P1625=ABSENSI!$H$12)),MAX($AD$3:AD1624)+1,""))</f>
        <v/>
      </c>
      <c r="AE1625" s="40" t="str">
        <f aca="false">IF($B1625="","",IF(AND(OR(KARTU!$K$6="",$F1625=KARTU!$K$6),OR(KARTU!$K$7="",$G1625=KARTU!$K$7),OR(KARTU!$K$8="",$P1625=KARTU!$K$8)),MAX($AE$3:AE1624)+1,""))</f>
        <v/>
      </c>
    </row>
    <row r="1626" customFormat="false" ht="15" hidden="false" customHeight="false" outlineLevel="0" collapsed="false">
      <c r="A1626" s="35" t="str">
        <f aca="false">IF($B1626="","",COUNTA($B$4:$B1626))</f>
        <v/>
      </c>
      <c r="B1626" s="36"/>
      <c r="C1626" s="37"/>
      <c r="D1626" s="37"/>
      <c r="E1626" s="38"/>
      <c r="F1626" s="36"/>
      <c r="G1626" s="39"/>
      <c r="H1626" s="39"/>
      <c r="I1626" s="36"/>
      <c r="J1626" s="36"/>
      <c r="K1626" s="36"/>
      <c r="L1626" s="36"/>
      <c r="M1626" s="40" t="str">
        <f aca="false">IF($F1626="","",$F1626&amp;IF($G1626="",""," - RT "&amp;$G1626&amp;IF($H1626="","","/"&amp;$H1626)))</f>
        <v/>
      </c>
      <c r="N1626" s="36"/>
      <c r="O1626" s="37"/>
      <c r="P1626" s="39"/>
      <c r="Q1626" s="41"/>
      <c r="R1626" s="35" t="str">
        <f aca="true">IF(OR($B1626="",$Q1626=""),"",DATEDIF($Q1626,TODAY(),"Y"))</f>
        <v/>
      </c>
      <c r="S1626" s="40" t="str">
        <f aca="false">IF($R1626="","",INDEX(usia_label,MATCH($R1626,usia_min,1)))</f>
        <v/>
      </c>
      <c r="T1626" s="36"/>
      <c r="U1626" s="41"/>
      <c r="V1626" s="36"/>
      <c r="W1626" s="36"/>
      <c r="X1626" s="40" t="str">
        <f aca="false">IF($M1626="","",$M1626&amp;"#"&amp;COUNTIF($M$4:$M1626,$M1626))</f>
        <v/>
      </c>
      <c r="Y1626" s="40" t="str">
        <f aca="false">IF($B1626="","",IF($C1626="","NIK kosong",IF(LEN($C1626)&lt;&gt;16,"NIK bukan 16 digit",IF(COUNTIF($C$4:$C$2003,$C1626&amp;"*")&gt;1,"NIK ganda",IF(AND($D1626&lt;&gt;"",LEN($D1626)&lt;&gt;16),"No. KK bukan 16 digit",IF(AND($F1626="",$I1626=""),"Alamat kosong",IF($N1626="","Jabatan kosong",IF($O1626="","No. HP kosong",IF(AND($R1626&lt;&gt;"",$R1626&lt;17),"Usia di bawah 17","")))))))))</f>
        <v/>
      </c>
      <c r="Z1626" s="40" t="str">
        <f aca="false">IF($B1626="","",IF(AND(OR(CARI!$C$5="",ISNUMBER(SEARCH(CARI!$C$5,$B1626&amp;" "&amp;$C1626&amp;" "&amp;$D1626&amp;" "&amp;$O1626&amp;" "&amp;$I1626&amp;" "&amp;$F1626&amp;" "&amp;$J1626&amp;" "&amp;$K1626&amp;" "&amp;$L1626&amp;" "&amp;$V1626))),OR(CARI!$C$6="",$F1626=CARI!$C$6),OR(CARI!$C$7="",$G1626=CARI!$C$7),OR(CARI!$C$8="",$T1626=CARI!$C$8)),MAX($Z$3:Z1625)+1,""))</f>
        <v/>
      </c>
      <c r="AA1626" s="40" t="str">
        <f aca="false">IF($Y1626="","",MAX($AA$3:AA1625)+1)</f>
        <v/>
      </c>
      <c r="AB1626" s="40" t="str">
        <f aca="false">IF($F1626="","",$F1626&amp;"#"&amp;COUNTIF($F$4:$F1626,$F1626))</f>
        <v/>
      </c>
      <c r="AC1626" s="40" t="str">
        <f aca="false">IF($B1626="","",IF(AND(OR(CETAK!$J$10="",$F1626=CETAK!$J$10),OR(CETAK!$J$11="",$G1626=CETAK!$J$11),OR(CETAK!$J$12="",$P1626=CETAK!$J$12),OR(CETAK!$J$13="",$N1626=CETAK!$J$13),OR(CETAK!$J$14="",$T1626=CETAK!$J$14)),MAX($AC$3:AC1625)+1,""))</f>
        <v/>
      </c>
      <c r="AD1626" s="40" t="str">
        <f aca="false">IF($B1626="","",IF(AND(OR(ABSENSI!$H$10="",$F1626=ABSENSI!$H$10),OR(ABSENSI!$H$11="",$G1626=ABSENSI!$H$11),OR(ABSENSI!$H$12="",$P1626=ABSENSI!$H$12)),MAX($AD$3:AD1625)+1,""))</f>
        <v/>
      </c>
      <c r="AE1626" s="40" t="str">
        <f aca="false">IF($B1626="","",IF(AND(OR(KARTU!$K$6="",$F1626=KARTU!$K$6),OR(KARTU!$K$7="",$G1626=KARTU!$K$7),OR(KARTU!$K$8="",$P1626=KARTU!$K$8)),MAX($AE$3:AE1625)+1,""))</f>
        <v/>
      </c>
    </row>
    <row r="1627" customFormat="false" ht="15" hidden="false" customHeight="false" outlineLevel="0" collapsed="false">
      <c r="A1627" s="35" t="str">
        <f aca="false">IF($B1627="","",COUNTA($B$4:$B1627))</f>
        <v/>
      </c>
      <c r="B1627" s="36"/>
      <c r="C1627" s="37"/>
      <c r="D1627" s="37"/>
      <c r="E1627" s="38"/>
      <c r="F1627" s="36"/>
      <c r="G1627" s="39"/>
      <c r="H1627" s="39"/>
      <c r="I1627" s="36"/>
      <c r="J1627" s="36"/>
      <c r="K1627" s="36"/>
      <c r="L1627" s="36"/>
      <c r="M1627" s="40" t="str">
        <f aca="false">IF($F1627="","",$F1627&amp;IF($G1627="",""," - RT "&amp;$G1627&amp;IF($H1627="","","/"&amp;$H1627)))</f>
        <v/>
      </c>
      <c r="N1627" s="36"/>
      <c r="O1627" s="37"/>
      <c r="P1627" s="39"/>
      <c r="Q1627" s="41"/>
      <c r="R1627" s="35" t="str">
        <f aca="true">IF(OR($B1627="",$Q1627=""),"",DATEDIF($Q1627,TODAY(),"Y"))</f>
        <v/>
      </c>
      <c r="S1627" s="40" t="str">
        <f aca="false">IF($R1627="","",INDEX(usia_label,MATCH($R1627,usia_min,1)))</f>
        <v/>
      </c>
      <c r="T1627" s="36"/>
      <c r="U1627" s="41"/>
      <c r="V1627" s="36"/>
      <c r="W1627" s="36"/>
      <c r="X1627" s="40" t="str">
        <f aca="false">IF($M1627="","",$M1627&amp;"#"&amp;COUNTIF($M$4:$M1627,$M1627))</f>
        <v/>
      </c>
      <c r="Y1627" s="40" t="str">
        <f aca="false">IF($B1627="","",IF($C1627="","NIK kosong",IF(LEN($C1627)&lt;&gt;16,"NIK bukan 16 digit",IF(COUNTIF($C$4:$C$2003,$C1627&amp;"*")&gt;1,"NIK ganda",IF(AND($D1627&lt;&gt;"",LEN($D1627)&lt;&gt;16),"No. KK bukan 16 digit",IF(AND($F1627="",$I1627=""),"Alamat kosong",IF($N1627="","Jabatan kosong",IF($O1627="","No. HP kosong",IF(AND($R1627&lt;&gt;"",$R1627&lt;17),"Usia di bawah 17","")))))))))</f>
        <v/>
      </c>
      <c r="Z1627" s="40" t="str">
        <f aca="false">IF($B1627="","",IF(AND(OR(CARI!$C$5="",ISNUMBER(SEARCH(CARI!$C$5,$B1627&amp;" "&amp;$C1627&amp;" "&amp;$D1627&amp;" "&amp;$O1627&amp;" "&amp;$I1627&amp;" "&amp;$F1627&amp;" "&amp;$J1627&amp;" "&amp;$K1627&amp;" "&amp;$L1627&amp;" "&amp;$V1627))),OR(CARI!$C$6="",$F1627=CARI!$C$6),OR(CARI!$C$7="",$G1627=CARI!$C$7),OR(CARI!$C$8="",$T1627=CARI!$C$8)),MAX($Z$3:Z1626)+1,""))</f>
        <v/>
      </c>
      <c r="AA1627" s="40" t="str">
        <f aca="false">IF($Y1627="","",MAX($AA$3:AA1626)+1)</f>
        <v/>
      </c>
      <c r="AB1627" s="40" t="str">
        <f aca="false">IF($F1627="","",$F1627&amp;"#"&amp;COUNTIF($F$4:$F1627,$F1627))</f>
        <v/>
      </c>
      <c r="AC1627" s="40" t="str">
        <f aca="false">IF($B1627="","",IF(AND(OR(CETAK!$J$10="",$F1627=CETAK!$J$10),OR(CETAK!$J$11="",$G1627=CETAK!$J$11),OR(CETAK!$J$12="",$P1627=CETAK!$J$12),OR(CETAK!$J$13="",$N1627=CETAK!$J$13),OR(CETAK!$J$14="",$T1627=CETAK!$J$14)),MAX($AC$3:AC1626)+1,""))</f>
        <v/>
      </c>
      <c r="AD1627" s="40" t="str">
        <f aca="false">IF($B1627="","",IF(AND(OR(ABSENSI!$H$10="",$F1627=ABSENSI!$H$10),OR(ABSENSI!$H$11="",$G1627=ABSENSI!$H$11),OR(ABSENSI!$H$12="",$P1627=ABSENSI!$H$12)),MAX($AD$3:AD1626)+1,""))</f>
        <v/>
      </c>
      <c r="AE1627" s="40" t="str">
        <f aca="false">IF($B1627="","",IF(AND(OR(KARTU!$K$6="",$F1627=KARTU!$K$6),OR(KARTU!$K$7="",$G1627=KARTU!$K$7),OR(KARTU!$K$8="",$P1627=KARTU!$K$8)),MAX($AE$3:AE1626)+1,""))</f>
        <v/>
      </c>
    </row>
    <row r="1628" customFormat="false" ht="15" hidden="false" customHeight="false" outlineLevel="0" collapsed="false">
      <c r="A1628" s="35" t="str">
        <f aca="false">IF($B1628="","",COUNTA($B$4:$B1628))</f>
        <v/>
      </c>
      <c r="B1628" s="36"/>
      <c r="C1628" s="37"/>
      <c r="D1628" s="37"/>
      <c r="E1628" s="38"/>
      <c r="F1628" s="36"/>
      <c r="G1628" s="39"/>
      <c r="H1628" s="39"/>
      <c r="I1628" s="36"/>
      <c r="J1628" s="36"/>
      <c r="K1628" s="36"/>
      <c r="L1628" s="36"/>
      <c r="M1628" s="40" t="str">
        <f aca="false">IF($F1628="","",$F1628&amp;IF($G1628="",""," - RT "&amp;$G1628&amp;IF($H1628="","","/"&amp;$H1628)))</f>
        <v/>
      </c>
      <c r="N1628" s="36"/>
      <c r="O1628" s="37"/>
      <c r="P1628" s="39"/>
      <c r="Q1628" s="41"/>
      <c r="R1628" s="35" t="str">
        <f aca="true">IF(OR($B1628="",$Q1628=""),"",DATEDIF($Q1628,TODAY(),"Y"))</f>
        <v/>
      </c>
      <c r="S1628" s="40" t="str">
        <f aca="false">IF($R1628="","",INDEX(usia_label,MATCH($R1628,usia_min,1)))</f>
        <v/>
      </c>
      <c r="T1628" s="36"/>
      <c r="U1628" s="41"/>
      <c r="V1628" s="36"/>
      <c r="W1628" s="36"/>
      <c r="X1628" s="40" t="str">
        <f aca="false">IF($M1628="","",$M1628&amp;"#"&amp;COUNTIF($M$4:$M1628,$M1628))</f>
        <v/>
      </c>
      <c r="Y1628" s="40" t="str">
        <f aca="false">IF($B1628="","",IF($C1628="","NIK kosong",IF(LEN($C1628)&lt;&gt;16,"NIK bukan 16 digit",IF(COUNTIF($C$4:$C$2003,$C1628&amp;"*")&gt;1,"NIK ganda",IF(AND($D1628&lt;&gt;"",LEN($D1628)&lt;&gt;16),"No. KK bukan 16 digit",IF(AND($F1628="",$I1628=""),"Alamat kosong",IF($N1628="","Jabatan kosong",IF($O1628="","No. HP kosong",IF(AND($R1628&lt;&gt;"",$R1628&lt;17),"Usia di bawah 17","")))))))))</f>
        <v/>
      </c>
      <c r="Z1628" s="40" t="str">
        <f aca="false">IF($B1628="","",IF(AND(OR(CARI!$C$5="",ISNUMBER(SEARCH(CARI!$C$5,$B1628&amp;" "&amp;$C1628&amp;" "&amp;$D1628&amp;" "&amp;$O1628&amp;" "&amp;$I1628&amp;" "&amp;$F1628&amp;" "&amp;$J1628&amp;" "&amp;$K1628&amp;" "&amp;$L1628&amp;" "&amp;$V1628))),OR(CARI!$C$6="",$F1628=CARI!$C$6),OR(CARI!$C$7="",$G1628=CARI!$C$7),OR(CARI!$C$8="",$T1628=CARI!$C$8)),MAX($Z$3:Z1627)+1,""))</f>
        <v/>
      </c>
      <c r="AA1628" s="40" t="str">
        <f aca="false">IF($Y1628="","",MAX($AA$3:AA1627)+1)</f>
        <v/>
      </c>
      <c r="AB1628" s="40" t="str">
        <f aca="false">IF($F1628="","",$F1628&amp;"#"&amp;COUNTIF($F$4:$F1628,$F1628))</f>
        <v/>
      </c>
      <c r="AC1628" s="40" t="str">
        <f aca="false">IF($B1628="","",IF(AND(OR(CETAK!$J$10="",$F1628=CETAK!$J$10),OR(CETAK!$J$11="",$G1628=CETAK!$J$11),OR(CETAK!$J$12="",$P1628=CETAK!$J$12),OR(CETAK!$J$13="",$N1628=CETAK!$J$13),OR(CETAK!$J$14="",$T1628=CETAK!$J$14)),MAX($AC$3:AC1627)+1,""))</f>
        <v/>
      </c>
      <c r="AD1628" s="40" t="str">
        <f aca="false">IF($B1628="","",IF(AND(OR(ABSENSI!$H$10="",$F1628=ABSENSI!$H$10),OR(ABSENSI!$H$11="",$G1628=ABSENSI!$H$11),OR(ABSENSI!$H$12="",$P1628=ABSENSI!$H$12)),MAX($AD$3:AD1627)+1,""))</f>
        <v/>
      </c>
      <c r="AE1628" s="40" t="str">
        <f aca="false">IF($B1628="","",IF(AND(OR(KARTU!$K$6="",$F1628=KARTU!$K$6),OR(KARTU!$K$7="",$G1628=KARTU!$K$7),OR(KARTU!$K$8="",$P1628=KARTU!$K$8)),MAX($AE$3:AE1627)+1,""))</f>
        <v/>
      </c>
    </row>
    <row r="1629" customFormat="false" ht="15" hidden="false" customHeight="false" outlineLevel="0" collapsed="false">
      <c r="A1629" s="35" t="str">
        <f aca="false">IF($B1629="","",COUNTA($B$4:$B1629))</f>
        <v/>
      </c>
      <c r="B1629" s="36"/>
      <c r="C1629" s="37"/>
      <c r="D1629" s="37"/>
      <c r="E1629" s="38"/>
      <c r="F1629" s="36"/>
      <c r="G1629" s="39"/>
      <c r="H1629" s="39"/>
      <c r="I1629" s="36"/>
      <c r="J1629" s="36"/>
      <c r="K1629" s="36"/>
      <c r="L1629" s="36"/>
      <c r="M1629" s="40" t="str">
        <f aca="false">IF($F1629="","",$F1629&amp;IF($G1629="",""," - RT "&amp;$G1629&amp;IF($H1629="","","/"&amp;$H1629)))</f>
        <v/>
      </c>
      <c r="N1629" s="36"/>
      <c r="O1629" s="37"/>
      <c r="P1629" s="39"/>
      <c r="Q1629" s="41"/>
      <c r="R1629" s="35" t="str">
        <f aca="true">IF(OR($B1629="",$Q1629=""),"",DATEDIF($Q1629,TODAY(),"Y"))</f>
        <v/>
      </c>
      <c r="S1629" s="40" t="str">
        <f aca="false">IF($R1629="","",INDEX(usia_label,MATCH($R1629,usia_min,1)))</f>
        <v/>
      </c>
      <c r="T1629" s="36"/>
      <c r="U1629" s="41"/>
      <c r="V1629" s="36"/>
      <c r="W1629" s="36"/>
      <c r="X1629" s="40" t="str">
        <f aca="false">IF($M1629="","",$M1629&amp;"#"&amp;COUNTIF($M$4:$M1629,$M1629))</f>
        <v/>
      </c>
      <c r="Y1629" s="40" t="str">
        <f aca="false">IF($B1629="","",IF($C1629="","NIK kosong",IF(LEN($C1629)&lt;&gt;16,"NIK bukan 16 digit",IF(COUNTIF($C$4:$C$2003,$C1629&amp;"*")&gt;1,"NIK ganda",IF(AND($D1629&lt;&gt;"",LEN($D1629)&lt;&gt;16),"No. KK bukan 16 digit",IF(AND($F1629="",$I1629=""),"Alamat kosong",IF($N1629="","Jabatan kosong",IF($O1629="","No. HP kosong",IF(AND($R1629&lt;&gt;"",$R1629&lt;17),"Usia di bawah 17","")))))))))</f>
        <v/>
      </c>
      <c r="Z1629" s="40" t="str">
        <f aca="false">IF($B1629="","",IF(AND(OR(CARI!$C$5="",ISNUMBER(SEARCH(CARI!$C$5,$B1629&amp;" "&amp;$C1629&amp;" "&amp;$D1629&amp;" "&amp;$O1629&amp;" "&amp;$I1629&amp;" "&amp;$F1629&amp;" "&amp;$J1629&amp;" "&amp;$K1629&amp;" "&amp;$L1629&amp;" "&amp;$V1629))),OR(CARI!$C$6="",$F1629=CARI!$C$6),OR(CARI!$C$7="",$G1629=CARI!$C$7),OR(CARI!$C$8="",$T1629=CARI!$C$8)),MAX($Z$3:Z1628)+1,""))</f>
        <v/>
      </c>
      <c r="AA1629" s="40" t="str">
        <f aca="false">IF($Y1629="","",MAX($AA$3:AA1628)+1)</f>
        <v/>
      </c>
      <c r="AB1629" s="40" t="str">
        <f aca="false">IF($F1629="","",$F1629&amp;"#"&amp;COUNTIF($F$4:$F1629,$F1629))</f>
        <v/>
      </c>
      <c r="AC1629" s="40" t="str">
        <f aca="false">IF($B1629="","",IF(AND(OR(CETAK!$J$10="",$F1629=CETAK!$J$10),OR(CETAK!$J$11="",$G1629=CETAK!$J$11),OR(CETAK!$J$12="",$P1629=CETAK!$J$12),OR(CETAK!$J$13="",$N1629=CETAK!$J$13),OR(CETAK!$J$14="",$T1629=CETAK!$J$14)),MAX($AC$3:AC1628)+1,""))</f>
        <v/>
      </c>
      <c r="AD1629" s="40" t="str">
        <f aca="false">IF($B1629="","",IF(AND(OR(ABSENSI!$H$10="",$F1629=ABSENSI!$H$10),OR(ABSENSI!$H$11="",$G1629=ABSENSI!$H$11),OR(ABSENSI!$H$12="",$P1629=ABSENSI!$H$12)),MAX($AD$3:AD1628)+1,""))</f>
        <v/>
      </c>
      <c r="AE1629" s="40" t="str">
        <f aca="false">IF($B1629="","",IF(AND(OR(KARTU!$K$6="",$F1629=KARTU!$K$6),OR(KARTU!$K$7="",$G1629=KARTU!$K$7),OR(KARTU!$K$8="",$P1629=KARTU!$K$8)),MAX($AE$3:AE1628)+1,""))</f>
        <v/>
      </c>
    </row>
    <row r="1630" customFormat="false" ht="15" hidden="false" customHeight="false" outlineLevel="0" collapsed="false">
      <c r="A1630" s="35" t="str">
        <f aca="false">IF($B1630="","",COUNTA($B$4:$B1630))</f>
        <v/>
      </c>
      <c r="B1630" s="36"/>
      <c r="C1630" s="37"/>
      <c r="D1630" s="37"/>
      <c r="E1630" s="38"/>
      <c r="F1630" s="36"/>
      <c r="G1630" s="39"/>
      <c r="H1630" s="39"/>
      <c r="I1630" s="36"/>
      <c r="J1630" s="36"/>
      <c r="K1630" s="36"/>
      <c r="L1630" s="36"/>
      <c r="M1630" s="40" t="str">
        <f aca="false">IF($F1630="","",$F1630&amp;IF($G1630="",""," - RT "&amp;$G1630&amp;IF($H1630="","","/"&amp;$H1630)))</f>
        <v/>
      </c>
      <c r="N1630" s="36"/>
      <c r="O1630" s="37"/>
      <c r="P1630" s="39"/>
      <c r="Q1630" s="41"/>
      <c r="R1630" s="35" t="str">
        <f aca="true">IF(OR($B1630="",$Q1630=""),"",DATEDIF($Q1630,TODAY(),"Y"))</f>
        <v/>
      </c>
      <c r="S1630" s="40" t="str">
        <f aca="false">IF($R1630="","",INDEX(usia_label,MATCH($R1630,usia_min,1)))</f>
        <v/>
      </c>
      <c r="T1630" s="36"/>
      <c r="U1630" s="41"/>
      <c r="V1630" s="36"/>
      <c r="W1630" s="36"/>
      <c r="X1630" s="40" t="str">
        <f aca="false">IF($M1630="","",$M1630&amp;"#"&amp;COUNTIF($M$4:$M1630,$M1630))</f>
        <v/>
      </c>
      <c r="Y1630" s="40" t="str">
        <f aca="false">IF($B1630="","",IF($C1630="","NIK kosong",IF(LEN($C1630)&lt;&gt;16,"NIK bukan 16 digit",IF(COUNTIF($C$4:$C$2003,$C1630&amp;"*")&gt;1,"NIK ganda",IF(AND($D1630&lt;&gt;"",LEN($D1630)&lt;&gt;16),"No. KK bukan 16 digit",IF(AND($F1630="",$I1630=""),"Alamat kosong",IF($N1630="","Jabatan kosong",IF($O1630="","No. HP kosong",IF(AND($R1630&lt;&gt;"",$R1630&lt;17),"Usia di bawah 17","")))))))))</f>
        <v/>
      </c>
      <c r="Z1630" s="40" t="str">
        <f aca="false">IF($B1630="","",IF(AND(OR(CARI!$C$5="",ISNUMBER(SEARCH(CARI!$C$5,$B1630&amp;" "&amp;$C1630&amp;" "&amp;$D1630&amp;" "&amp;$O1630&amp;" "&amp;$I1630&amp;" "&amp;$F1630&amp;" "&amp;$J1630&amp;" "&amp;$K1630&amp;" "&amp;$L1630&amp;" "&amp;$V1630))),OR(CARI!$C$6="",$F1630=CARI!$C$6),OR(CARI!$C$7="",$G1630=CARI!$C$7),OR(CARI!$C$8="",$T1630=CARI!$C$8)),MAX($Z$3:Z1629)+1,""))</f>
        <v/>
      </c>
      <c r="AA1630" s="40" t="str">
        <f aca="false">IF($Y1630="","",MAX($AA$3:AA1629)+1)</f>
        <v/>
      </c>
      <c r="AB1630" s="40" t="str">
        <f aca="false">IF($F1630="","",$F1630&amp;"#"&amp;COUNTIF($F$4:$F1630,$F1630))</f>
        <v/>
      </c>
      <c r="AC1630" s="40" t="str">
        <f aca="false">IF($B1630="","",IF(AND(OR(CETAK!$J$10="",$F1630=CETAK!$J$10),OR(CETAK!$J$11="",$G1630=CETAK!$J$11),OR(CETAK!$J$12="",$P1630=CETAK!$J$12),OR(CETAK!$J$13="",$N1630=CETAK!$J$13),OR(CETAK!$J$14="",$T1630=CETAK!$J$14)),MAX($AC$3:AC1629)+1,""))</f>
        <v/>
      </c>
      <c r="AD1630" s="40" t="str">
        <f aca="false">IF($B1630="","",IF(AND(OR(ABSENSI!$H$10="",$F1630=ABSENSI!$H$10),OR(ABSENSI!$H$11="",$G1630=ABSENSI!$H$11),OR(ABSENSI!$H$12="",$P1630=ABSENSI!$H$12)),MAX($AD$3:AD1629)+1,""))</f>
        <v/>
      </c>
      <c r="AE1630" s="40" t="str">
        <f aca="false">IF($B1630="","",IF(AND(OR(KARTU!$K$6="",$F1630=KARTU!$K$6),OR(KARTU!$K$7="",$G1630=KARTU!$K$7),OR(KARTU!$K$8="",$P1630=KARTU!$K$8)),MAX($AE$3:AE1629)+1,""))</f>
        <v/>
      </c>
    </row>
    <row r="1631" customFormat="false" ht="15" hidden="false" customHeight="false" outlineLevel="0" collapsed="false">
      <c r="A1631" s="35" t="str">
        <f aca="false">IF($B1631="","",COUNTA($B$4:$B1631))</f>
        <v/>
      </c>
      <c r="B1631" s="36"/>
      <c r="C1631" s="37"/>
      <c r="D1631" s="37"/>
      <c r="E1631" s="38"/>
      <c r="F1631" s="36"/>
      <c r="G1631" s="39"/>
      <c r="H1631" s="39"/>
      <c r="I1631" s="36"/>
      <c r="J1631" s="36"/>
      <c r="K1631" s="36"/>
      <c r="L1631" s="36"/>
      <c r="M1631" s="40" t="str">
        <f aca="false">IF($F1631="","",$F1631&amp;IF($G1631="",""," - RT "&amp;$G1631&amp;IF($H1631="","","/"&amp;$H1631)))</f>
        <v/>
      </c>
      <c r="N1631" s="36"/>
      <c r="O1631" s="37"/>
      <c r="P1631" s="39"/>
      <c r="Q1631" s="41"/>
      <c r="R1631" s="35" t="str">
        <f aca="true">IF(OR($B1631="",$Q1631=""),"",DATEDIF($Q1631,TODAY(),"Y"))</f>
        <v/>
      </c>
      <c r="S1631" s="40" t="str">
        <f aca="false">IF($R1631="","",INDEX(usia_label,MATCH($R1631,usia_min,1)))</f>
        <v/>
      </c>
      <c r="T1631" s="36"/>
      <c r="U1631" s="41"/>
      <c r="V1631" s="36"/>
      <c r="W1631" s="36"/>
      <c r="X1631" s="40" t="str">
        <f aca="false">IF($M1631="","",$M1631&amp;"#"&amp;COUNTIF($M$4:$M1631,$M1631))</f>
        <v/>
      </c>
      <c r="Y1631" s="40" t="str">
        <f aca="false">IF($B1631="","",IF($C1631="","NIK kosong",IF(LEN($C1631)&lt;&gt;16,"NIK bukan 16 digit",IF(COUNTIF($C$4:$C$2003,$C1631&amp;"*")&gt;1,"NIK ganda",IF(AND($D1631&lt;&gt;"",LEN($D1631)&lt;&gt;16),"No. KK bukan 16 digit",IF(AND($F1631="",$I1631=""),"Alamat kosong",IF($N1631="","Jabatan kosong",IF($O1631="","No. HP kosong",IF(AND($R1631&lt;&gt;"",$R1631&lt;17),"Usia di bawah 17","")))))))))</f>
        <v/>
      </c>
      <c r="Z1631" s="40" t="str">
        <f aca="false">IF($B1631="","",IF(AND(OR(CARI!$C$5="",ISNUMBER(SEARCH(CARI!$C$5,$B1631&amp;" "&amp;$C1631&amp;" "&amp;$D1631&amp;" "&amp;$O1631&amp;" "&amp;$I1631&amp;" "&amp;$F1631&amp;" "&amp;$J1631&amp;" "&amp;$K1631&amp;" "&amp;$L1631&amp;" "&amp;$V1631))),OR(CARI!$C$6="",$F1631=CARI!$C$6),OR(CARI!$C$7="",$G1631=CARI!$C$7),OR(CARI!$C$8="",$T1631=CARI!$C$8)),MAX($Z$3:Z1630)+1,""))</f>
        <v/>
      </c>
      <c r="AA1631" s="40" t="str">
        <f aca="false">IF($Y1631="","",MAX($AA$3:AA1630)+1)</f>
        <v/>
      </c>
      <c r="AB1631" s="40" t="str">
        <f aca="false">IF($F1631="","",$F1631&amp;"#"&amp;COUNTIF($F$4:$F1631,$F1631))</f>
        <v/>
      </c>
      <c r="AC1631" s="40" t="str">
        <f aca="false">IF($B1631="","",IF(AND(OR(CETAK!$J$10="",$F1631=CETAK!$J$10),OR(CETAK!$J$11="",$G1631=CETAK!$J$11),OR(CETAK!$J$12="",$P1631=CETAK!$J$12),OR(CETAK!$J$13="",$N1631=CETAK!$J$13),OR(CETAK!$J$14="",$T1631=CETAK!$J$14)),MAX($AC$3:AC1630)+1,""))</f>
        <v/>
      </c>
      <c r="AD1631" s="40" t="str">
        <f aca="false">IF($B1631="","",IF(AND(OR(ABSENSI!$H$10="",$F1631=ABSENSI!$H$10),OR(ABSENSI!$H$11="",$G1631=ABSENSI!$H$11),OR(ABSENSI!$H$12="",$P1631=ABSENSI!$H$12)),MAX($AD$3:AD1630)+1,""))</f>
        <v/>
      </c>
      <c r="AE1631" s="40" t="str">
        <f aca="false">IF($B1631="","",IF(AND(OR(KARTU!$K$6="",$F1631=KARTU!$K$6),OR(KARTU!$K$7="",$G1631=KARTU!$K$7),OR(KARTU!$K$8="",$P1631=KARTU!$K$8)),MAX($AE$3:AE1630)+1,""))</f>
        <v/>
      </c>
    </row>
    <row r="1632" customFormat="false" ht="15" hidden="false" customHeight="false" outlineLevel="0" collapsed="false">
      <c r="A1632" s="35" t="str">
        <f aca="false">IF($B1632="","",COUNTA($B$4:$B1632))</f>
        <v/>
      </c>
      <c r="B1632" s="36"/>
      <c r="C1632" s="37"/>
      <c r="D1632" s="37"/>
      <c r="E1632" s="38"/>
      <c r="F1632" s="36"/>
      <c r="G1632" s="39"/>
      <c r="H1632" s="39"/>
      <c r="I1632" s="36"/>
      <c r="J1632" s="36"/>
      <c r="K1632" s="36"/>
      <c r="L1632" s="36"/>
      <c r="M1632" s="40" t="str">
        <f aca="false">IF($F1632="","",$F1632&amp;IF($G1632="",""," - RT "&amp;$G1632&amp;IF($H1632="","","/"&amp;$H1632)))</f>
        <v/>
      </c>
      <c r="N1632" s="36"/>
      <c r="O1632" s="37"/>
      <c r="P1632" s="39"/>
      <c r="Q1632" s="41"/>
      <c r="R1632" s="35" t="str">
        <f aca="true">IF(OR($B1632="",$Q1632=""),"",DATEDIF($Q1632,TODAY(),"Y"))</f>
        <v/>
      </c>
      <c r="S1632" s="40" t="str">
        <f aca="false">IF($R1632="","",INDEX(usia_label,MATCH($R1632,usia_min,1)))</f>
        <v/>
      </c>
      <c r="T1632" s="36"/>
      <c r="U1632" s="41"/>
      <c r="V1632" s="36"/>
      <c r="W1632" s="36"/>
      <c r="X1632" s="40" t="str">
        <f aca="false">IF($M1632="","",$M1632&amp;"#"&amp;COUNTIF($M$4:$M1632,$M1632))</f>
        <v/>
      </c>
      <c r="Y1632" s="40" t="str">
        <f aca="false">IF($B1632="","",IF($C1632="","NIK kosong",IF(LEN($C1632)&lt;&gt;16,"NIK bukan 16 digit",IF(COUNTIF($C$4:$C$2003,$C1632&amp;"*")&gt;1,"NIK ganda",IF(AND($D1632&lt;&gt;"",LEN($D1632)&lt;&gt;16),"No. KK bukan 16 digit",IF(AND($F1632="",$I1632=""),"Alamat kosong",IF($N1632="","Jabatan kosong",IF($O1632="","No. HP kosong",IF(AND($R1632&lt;&gt;"",$R1632&lt;17),"Usia di bawah 17","")))))))))</f>
        <v/>
      </c>
      <c r="Z1632" s="40" t="str">
        <f aca="false">IF($B1632="","",IF(AND(OR(CARI!$C$5="",ISNUMBER(SEARCH(CARI!$C$5,$B1632&amp;" "&amp;$C1632&amp;" "&amp;$D1632&amp;" "&amp;$O1632&amp;" "&amp;$I1632&amp;" "&amp;$F1632&amp;" "&amp;$J1632&amp;" "&amp;$K1632&amp;" "&amp;$L1632&amp;" "&amp;$V1632))),OR(CARI!$C$6="",$F1632=CARI!$C$6),OR(CARI!$C$7="",$G1632=CARI!$C$7),OR(CARI!$C$8="",$T1632=CARI!$C$8)),MAX($Z$3:Z1631)+1,""))</f>
        <v/>
      </c>
      <c r="AA1632" s="40" t="str">
        <f aca="false">IF($Y1632="","",MAX($AA$3:AA1631)+1)</f>
        <v/>
      </c>
      <c r="AB1632" s="40" t="str">
        <f aca="false">IF($F1632="","",$F1632&amp;"#"&amp;COUNTIF($F$4:$F1632,$F1632))</f>
        <v/>
      </c>
      <c r="AC1632" s="40" t="str">
        <f aca="false">IF($B1632="","",IF(AND(OR(CETAK!$J$10="",$F1632=CETAK!$J$10),OR(CETAK!$J$11="",$G1632=CETAK!$J$11),OR(CETAK!$J$12="",$P1632=CETAK!$J$12),OR(CETAK!$J$13="",$N1632=CETAK!$J$13),OR(CETAK!$J$14="",$T1632=CETAK!$J$14)),MAX($AC$3:AC1631)+1,""))</f>
        <v/>
      </c>
      <c r="AD1632" s="40" t="str">
        <f aca="false">IF($B1632="","",IF(AND(OR(ABSENSI!$H$10="",$F1632=ABSENSI!$H$10),OR(ABSENSI!$H$11="",$G1632=ABSENSI!$H$11),OR(ABSENSI!$H$12="",$P1632=ABSENSI!$H$12)),MAX($AD$3:AD1631)+1,""))</f>
        <v/>
      </c>
      <c r="AE1632" s="40" t="str">
        <f aca="false">IF($B1632="","",IF(AND(OR(KARTU!$K$6="",$F1632=KARTU!$K$6),OR(KARTU!$K$7="",$G1632=KARTU!$K$7),OR(KARTU!$K$8="",$P1632=KARTU!$K$8)),MAX($AE$3:AE1631)+1,""))</f>
        <v/>
      </c>
    </row>
    <row r="1633" customFormat="false" ht="15" hidden="false" customHeight="false" outlineLevel="0" collapsed="false">
      <c r="A1633" s="35" t="str">
        <f aca="false">IF($B1633="","",COUNTA($B$4:$B1633))</f>
        <v/>
      </c>
      <c r="B1633" s="36"/>
      <c r="C1633" s="37"/>
      <c r="D1633" s="37"/>
      <c r="E1633" s="38"/>
      <c r="F1633" s="36"/>
      <c r="G1633" s="39"/>
      <c r="H1633" s="39"/>
      <c r="I1633" s="36"/>
      <c r="J1633" s="36"/>
      <c r="K1633" s="36"/>
      <c r="L1633" s="36"/>
      <c r="M1633" s="40" t="str">
        <f aca="false">IF($F1633="","",$F1633&amp;IF($G1633="",""," - RT "&amp;$G1633&amp;IF($H1633="","","/"&amp;$H1633)))</f>
        <v/>
      </c>
      <c r="N1633" s="36"/>
      <c r="O1633" s="37"/>
      <c r="P1633" s="39"/>
      <c r="Q1633" s="41"/>
      <c r="R1633" s="35" t="str">
        <f aca="true">IF(OR($B1633="",$Q1633=""),"",DATEDIF($Q1633,TODAY(),"Y"))</f>
        <v/>
      </c>
      <c r="S1633" s="40" t="str">
        <f aca="false">IF($R1633="","",INDEX(usia_label,MATCH($R1633,usia_min,1)))</f>
        <v/>
      </c>
      <c r="T1633" s="36"/>
      <c r="U1633" s="41"/>
      <c r="V1633" s="36"/>
      <c r="W1633" s="36"/>
      <c r="X1633" s="40" t="str">
        <f aca="false">IF($M1633="","",$M1633&amp;"#"&amp;COUNTIF($M$4:$M1633,$M1633))</f>
        <v/>
      </c>
      <c r="Y1633" s="40" t="str">
        <f aca="false">IF($B1633="","",IF($C1633="","NIK kosong",IF(LEN($C1633)&lt;&gt;16,"NIK bukan 16 digit",IF(COUNTIF($C$4:$C$2003,$C1633&amp;"*")&gt;1,"NIK ganda",IF(AND($D1633&lt;&gt;"",LEN($D1633)&lt;&gt;16),"No. KK bukan 16 digit",IF(AND($F1633="",$I1633=""),"Alamat kosong",IF($N1633="","Jabatan kosong",IF($O1633="","No. HP kosong",IF(AND($R1633&lt;&gt;"",$R1633&lt;17),"Usia di bawah 17","")))))))))</f>
        <v/>
      </c>
      <c r="Z1633" s="40" t="str">
        <f aca="false">IF($B1633="","",IF(AND(OR(CARI!$C$5="",ISNUMBER(SEARCH(CARI!$C$5,$B1633&amp;" "&amp;$C1633&amp;" "&amp;$D1633&amp;" "&amp;$O1633&amp;" "&amp;$I1633&amp;" "&amp;$F1633&amp;" "&amp;$J1633&amp;" "&amp;$K1633&amp;" "&amp;$L1633&amp;" "&amp;$V1633))),OR(CARI!$C$6="",$F1633=CARI!$C$6),OR(CARI!$C$7="",$G1633=CARI!$C$7),OR(CARI!$C$8="",$T1633=CARI!$C$8)),MAX($Z$3:Z1632)+1,""))</f>
        <v/>
      </c>
      <c r="AA1633" s="40" t="str">
        <f aca="false">IF($Y1633="","",MAX($AA$3:AA1632)+1)</f>
        <v/>
      </c>
      <c r="AB1633" s="40" t="str">
        <f aca="false">IF($F1633="","",$F1633&amp;"#"&amp;COUNTIF($F$4:$F1633,$F1633))</f>
        <v/>
      </c>
      <c r="AC1633" s="40" t="str">
        <f aca="false">IF($B1633="","",IF(AND(OR(CETAK!$J$10="",$F1633=CETAK!$J$10),OR(CETAK!$J$11="",$G1633=CETAK!$J$11),OR(CETAK!$J$12="",$P1633=CETAK!$J$12),OR(CETAK!$J$13="",$N1633=CETAK!$J$13),OR(CETAK!$J$14="",$T1633=CETAK!$J$14)),MAX($AC$3:AC1632)+1,""))</f>
        <v/>
      </c>
      <c r="AD1633" s="40" t="str">
        <f aca="false">IF($B1633="","",IF(AND(OR(ABSENSI!$H$10="",$F1633=ABSENSI!$H$10),OR(ABSENSI!$H$11="",$G1633=ABSENSI!$H$11),OR(ABSENSI!$H$12="",$P1633=ABSENSI!$H$12)),MAX($AD$3:AD1632)+1,""))</f>
        <v/>
      </c>
      <c r="AE1633" s="40" t="str">
        <f aca="false">IF($B1633="","",IF(AND(OR(KARTU!$K$6="",$F1633=KARTU!$K$6),OR(KARTU!$K$7="",$G1633=KARTU!$K$7),OR(KARTU!$K$8="",$P1633=KARTU!$K$8)),MAX($AE$3:AE1632)+1,""))</f>
        <v/>
      </c>
    </row>
    <row r="1634" customFormat="false" ht="15" hidden="false" customHeight="false" outlineLevel="0" collapsed="false">
      <c r="A1634" s="35" t="str">
        <f aca="false">IF($B1634="","",COUNTA($B$4:$B1634))</f>
        <v/>
      </c>
      <c r="B1634" s="36"/>
      <c r="C1634" s="37"/>
      <c r="D1634" s="37"/>
      <c r="E1634" s="38"/>
      <c r="F1634" s="36"/>
      <c r="G1634" s="39"/>
      <c r="H1634" s="39"/>
      <c r="I1634" s="36"/>
      <c r="J1634" s="36"/>
      <c r="K1634" s="36"/>
      <c r="L1634" s="36"/>
      <c r="M1634" s="40" t="str">
        <f aca="false">IF($F1634="","",$F1634&amp;IF($G1634="",""," - RT "&amp;$G1634&amp;IF($H1634="","","/"&amp;$H1634)))</f>
        <v/>
      </c>
      <c r="N1634" s="36"/>
      <c r="O1634" s="37"/>
      <c r="P1634" s="39"/>
      <c r="Q1634" s="41"/>
      <c r="R1634" s="35" t="str">
        <f aca="true">IF(OR($B1634="",$Q1634=""),"",DATEDIF($Q1634,TODAY(),"Y"))</f>
        <v/>
      </c>
      <c r="S1634" s="40" t="str">
        <f aca="false">IF($R1634="","",INDEX(usia_label,MATCH($R1634,usia_min,1)))</f>
        <v/>
      </c>
      <c r="T1634" s="36"/>
      <c r="U1634" s="41"/>
      <c r="V1634" s="36"/>
      <c r="W1634" s="36"/>
      <c r="X1634" s="40" t="str">
        <f aca="false">IF($M1634="","",$M1634&amp;"#"&amp;COUNTIF($M$4:$M1634,$M1634))</f>
        <v/>
      </c>
      <c r="Y1634" s="40" t="str">
        <f aca="false">IF($B1634="","",IF($C1634="","NIK kosong",IF(LEN($C1634)&lt;&gt;16,"NIK bukan 16 digit",IF(COUNTIF($C$4:$C$2003,$C1634&amp;"*")&gt;1,"NIK ganda",IF(AND($D1634&lt;&gt;"",LEN($D1634)&lt;&gt;16),"No. KK bukan 16 digit",IF(AND($F1634="",$I1634=""),"Alamat kosong",IF($N1634="","Jabatan kosong",IF($O1634="","No. HP kosong",IF(AND($R1634&lt;&gt;"",$R1634&lt;17),"Usia di bawah 17","")))))))))</f>
        <v/>
      </c>
      <c r="Z1634" s="40" t="str">
        <f aca="false">IF($B1634="","",IF(AND(OR(CARI!$C$5="",ISNUMBER(SEARCH(CARI!$C$5,$B1634&amp;" "&amp;$C1634&amp;" "&amp;$D1634&amp;" "&amp;$O1634&amp;" "&amp;$I1634&amp;" "&amp;$F1634&amp;" "&amp;$J1634&amp;" "&amp;$K1634&amp;" "&amp;$L1634&amp;" "&amp;$V1634))),OR(CARI!$C$6="",$F1634=CARI!$C$6),OR(CARI!$C$7="",$G1634=CARI!$C$7),OR(CARI!$C$8="",$T1634=CARI!$C$8)),MAX($Z$3:Z1633)+1,""))</f>
        <v/>
      </c>
      <c r="AA1634" s="40" t="str">
        <f aca="false">IF($Y1634="","",MAX($AA$3:AA1633)+1)</f>
        <v/>
      </c>
      <c r="AB1634" s="40" t="str">
        <f aca="false">IF($F1634="","",$F1634&amp;"#"&amp;COUNTIF($F$4:$F1634,$F1634))</f>
        <v/>
      </c>
      <c r="AC1634" s="40" t="str">
        <f aca="false">IF($B1634="","",IF(AND(OR(CETAK!$J$10="",$F1634=CETAK!$J$10),OR(CETAK!$J$11="",$G1634=CETAK!$J$11),OR(CETAK!$J$12="",$P1634=CETAK!$J$12),OR(CETAK!$J$13="",$N1634=CETAK!$J$13),OR(CETAK!$J$14="",$T1634=CETAK!$J$14)),MAX($AC$3:AC1633)+1,""))</f>
        <v/>
      </c>
      <c r="AD1634" s="40" t="str">
        <f aca="false">IF($B1634="","",IF(AND(OR(ABSENSI!$H$10="",$F1634=ABSENSI!$H$10),OR(ABSENSI!$H$11="",$G1634=ABSENSI!$H$11),OR(ABSENSI!$H$12="",$P1634=ABSENSI!$H$12)),MAX($AD$3:AD1633)+1,""))</f>
        <v/>
      </c>
      <c r="AE1634" s="40" t="str">
        <f aca="false">IF($B1634="","",IF(AND(OR(KARTU!$K$6="",$F1634=KARTU!$K$6),OR(KARTU!$K$7="",$G1634=KARTU!$K$7),OR(KARTU!$K$8="",$P1634=KARTU!$K$8)),MAX($AE$3:AE1633)+1,""))</f>
        <v/>
      </c>
    </row>
    <row r="1635" customFormat="false" ht="15" hidden="false" customHeight="false" outlineLevel="0" collapsed="false">
      <c r="A1635" s="35" t="str">
        <f aca="false">IF($B1635="","",COUNTA($B$4:$B1635))</f>
        <v/>
      </c>
      <c r="B1635" s="36"/>
      <c r="C1635" s="37"/>
      <c r="D1635" s="37"/>
      <c r="E1635" s="38"/>
      <c r="F1635" s="36"/>
      <c r="G1635" s="39"/>
      <c r="H1635" s="39"/>
      <c r="I1635" s="36"/>
      <c r="J1635" s="36"/>
      <c r="K1635" s="36"/>
      <c r="L1635" s="36"/>
      <c r="M1635" s="40" t="str">
        <f aca="false">IF($F1635="","",$F1635&amp;IF($G1635="",""," - RT "&amp;$G1635&amp;IF($H1635="","","/"&amp;$H1635)))</f>
        <v/>
      </c>
      <c r="N1635" s="36"/>
      <c r="O1635" s="37"/>
      <c r="P1635" s="39"/>
      <c r="Q1635" s="41"/>
      <c r="R1635" s="35" t="str">
        <f aca="true">IF(OR($B1635="",$Q1635=""),"",DATEDIF($Q1635,TODAY(),"Y"))</f>
        <v/>
      </c>
      <c r="S1635" s="40" t="str">
        <f aca="false">IF($R1635="","",INDEX(usia_label,MATCH($R1635,usia_min,1)))</f>
        <v/>
      </c>
      <c r="T1635" s="36"/>
      <c r="U1635" s="41"/>
      <c r="V1635" s="36"/>
      <c r="W1635" s="36"/>
      <c r="X1635" s="40" t="str">
        <f aca="false">IF($M1635="","",$M1635&amp;"#"&amp;COUNTIF($M$4:$M1635,$M1635))</f>
        <v/>
      </c>
      <c r="Y1635" s="40" t="str">
        <f aca="false">IF($B1635="","",IF($C1635="","NIK kosong",IF(LEN($C1635)&lt;&gt;16,"NIK bukan 16 digit",IF(COUNTIF($C$4:$C$2003,$C1635&amp;"*")&gt;1,"NIK ganda",IF(AND($D1635&lt;&gt;"",LEN($D1635)&lt;&gt;16),"No. KK bukan 16 digit",IF(AND($F1635="",$I1635=""),"Alamat kosong",IF($N1635="","Jabatan kosong",IF($O1635="","No. HP kosong",IF(AND($R1635&lt;&gt;"",$R1635&lt;17),"Usia di bawah 17","")))))))))</f>
        <v/>
      </c>
      <c r="Z1635" s="40" t="str">
        <f aca="false">IF($B1635="","",IF(AND(OR(CARI!$C$5="",ISNUMBER(SEARCH(CARI!$C$5,$B1635&amp;" "&amp;$C1635&amp;" "&amp;$D1635&amp;" "&amp;$O1635&amp;" "&amp;$I1635&amp;" "&amp;$F1635&amp;" "&amp;$J1635&amp;" "&amp;$K1635&amp;" "&amp;$L1635&amp;" "&amp;$V1635))),OR(CARI!$C$6="",$F1635=CARI!$C$6),OR(CARI!$C$7="",$G1635=CARI!$C$7),OR(CARI!$C$8="",$T1635=CARI!$C$8)),MAX($Z$3:Z1634)+1,""))</f>
        <v/>
      </c>
      <c r="AA1635" s="40" t="str">
        <f aca="false">IF($Y1635="","",MAX($AA$3:AA1634)+1)</f>
        <v/>
      </c>
      <c r="AB1635" s="40" t="str">
        <f aca="false">IF($F1635="","",$F1635&amp;"#"&amp;COUNTIF($F$4:$F1635,$F1635))</f>
        <v/>
      </c>
      <c r="AC1635" s="40" t="str">
        <f aca="false">IF($B1635="","",IF(AND(OR(CETAK!$J$10="",$F1635=CETAK!$J$10),OR(CETAK!$J$11="",$G1635=CETAK!$J$11),OR(CETAK!$J$12="",$P1635=CETAK!$J$12),OR(CETAK!$J$13="",$N1635=CETAK!$J$13),OR(CETAK!$J$14="",$T1635=CETAK!$J$14)),MAX($AC$3:AC1634)+1,""))</f>
        <v/>
      </c>
      <c r="AD1635" s="40" t="str">
        <f aca="false">IF($B1635="","",IF(AND(OR(ABSENSI!$H$10="",$F1635=ABSENSI!$H$10),OR(ABSENSI!$H$11="",$G1635=ABSENSI!$H$11),OR(ABSENSI!$H$12="",$P1635=ABSENSI!$H$12)),MAX($AD$3:AD1634)+1,""))</f>
        <v/>
      </c>
      <c r="AE1635" s="40" t="str">
        <f aca="false">IF($B1635="","",IF(AND(OR(KARTU!$K$6="",$F1635=KARTU!$K$6),OR(KARTU!$K$7="",$G1635=KARTU!$K$7),OR(KARTU!$K$8="",$P1635=KARTU!$K$8)),MAX($AE$3:AE1634)+1,""))</f>
        <v/>
      </c>
    </row>
    <row r="1636" customFormat="false" ht="15" hidden="false" customHeight="false" outlineLevel="0" collapsed="false">
      <c r="A1636" s="35" t="str">
        <f aca="false">IF($B1636="","",COUNTA($B$4:$B1636))</f>
        <v/>
      </c>
      <c r="B1636" s="36"/>
      <c r="C1636" s="37"/>
      <c r="D1636" s="37"/>
      <c r="E1636" s="38"/>
      <c r="F1636" s="36"/>
      <c r="G1636" s="39"/>
      <c r="H1636" s="39"/>
      <c r="I1636" s="36"/>
      <c r="J1636" s="36"/>
      <c r="K1636" s="36"/>
      <c r="L1636" s="36"/>
      <c r="M1636" s="40" t="str">
        <f aca="false">IF($F1636="","",$F1636&amp;IF($G1636="",""," - RT "&amp;$G1636&amp;IF($H1636="","","/"&amp;$H1636)))</f>
        <v/>
      </c>
      <c r="N1636" s="36"/>
      <c r="O1636" s="37"/>
      <c r="P1636" s="39"/>
      <c r="Q1636" s="41"/>
      <c r="R1636" s="35" t="str">
        <f aca="true">IF(OR($B1636="",$Q1636=""),"",DATEDIF($Q1636,TODAY(),"Y"))</f>
        <v/>
      </c>
      <c r="S1636" s="40" t="str">
        <f aca="false">IF($R1636="","",INDEX(usia_label,MATCH($R1636,usia_min,1)))</f>
        <v/>
      </c>
      <c r="T1636" s="36"/>
      <c r="U1636" s="41"/>
      <c r="V1636" s="36"/>
      <c r="W1636" s="36"/>
      <c r="X1636" s="40" t="str">
        <f aca="false">IF($M1636="","",$M1636&amp;"#"&amp;COUNTIF($M$4:$M1636,$M1636))</f>
        <v/>
      </c>
      <c r="Y1636" s="40" t="str">
        <f aca="false">IF($B1636="","",IF($C1636="","NIK kosong",IF(LEN($C1636)&lt;&gt;16,"NIK bukan 16 digit",IF(COUNTIF($C$4:$C$2003,$C1636&amp;"*")&gt;1,"NIK ganda",IF(AND($D1636&lt;&gt;"",LEN($D1636)&lt;&gt;16),"No. KK bukan 16 digit",IF(AND($F1636="",$I1636=""),"Alamat kosong",IF($N1636="","Jabatan kosong",IF($O1636="","No. HP kosong",IF(AND($R1636&lt;&gt;"",$R1636&lt;17),"Usia di bawah 17","")))))))))</f>
        <v/>
      </c>
      <c r="Z1636" s="40" t="str">
        <f aca="false">IF($B1636="","",IF(AND(OR(CARI!$C$5="",ISNUMBER(SEARCH(CARI!$C$5,$B1636&amp;" "&amp;$C1636&amp;" "&amp;$D1636&amp;" "&amp;$O1636&amp;" "&amp;$I1636&amp;" "&amp;$F1636&amp;" "&amp;$J1636&amp;" "&amp;$K1636&amp;" "&amp;$L1636&amp;" "&amp;$V1636))),OR(CARI!$C$6="",$F1636=CARI!$C$6),OR(CARI!$C$7="",$G1636=CARI!$C$7),OR(CARI!$C$8="",$T1636=CARI!$C$8)),MAX($Z$3:Z1635)+1,""))</f>
        <v/>
      </c>
      <c r="AA1636" s="40" t="str">
        <f aca="false">IF($Y1636="","",MAX($AA$3:AA1635)+1)</f>
        <v/>
      </c>
      <c r="AB1636" s="40" t="str">
        <f aca="false">IF($F1636="","",$F1636&amp;"#"&amp;COUNTIF($F$4:$F1636,$F1636))</f>
        <v/>
      </c>
      <c r="AC1636" s="40" t="str">
        <f aca="false">IF($B1636="","",IF(AND(OR(CETAK!$J$10="",$F1636=CETAK!$J$10),OR(CETAK!$J$11="",$G1636=CETAK!$J$11),OR(CETAK!$J$12="",$P1636=CETAK!$J$12),OR(CETAK!$J$13="",$N1636=CETAK!$J$13),OR(CETAK!$J$14="",$T1636=CETAK!$J$14)),MAX($AC$3:AC1635)+1,""))</f>
        <v/>
      </c>
      <c r="AD1636" s="40" t="str">
        <f aca="false">IF($B1636="","",IF(AND(OR(ABSENSI!$H$10="",$F1636=ABSENSI!$H$10),OR(ABSENSI!$H$11="",$G1636=ABSENSI!$H$11),OR(ABSENSI!$H$12="",$P1636=ABSENSI!$H$12)),MAX($AD$3:AD1635)+1,""))</f>
        <v/>
      </c>
      <c r="AE1636" s="40" t="str">
        <f aca="false">IF($B1636="","",IF(AND(OR(KARTU!$K$6="",$F1636=KARTU!$K$6),OR(KARTU!$K$7="",$G1636=KARTU!$K$7),OR(KARTU!$K$8="",$P1636=KARTU!$K$8)),MAX($AE$3:AE1635)+1,""))</f>
        <v/>
      </c>
    </row>
    <row r="1637" customFormat="false" ht="15" hidden="false" customHeight="false" outlineLevel="0" collapsed="false">
      <c r="A1637" s="35" t="str">
        <f aca="false">IF($B1637="","",COUNTA($B$4:$B1637))</f>
        <v/>
      </c>
      <c r="B1637" s="36"/>
      <c r="C1637" s="37"/>
      <c r="D1637" s="37"/>
      <c r="E1637" s="38"/>
      <c r="F1637" s="36"/>
      <c r="G1637" s="39"/>
      <c r="H1637" s="39"/>
      <c r="I1637" s="36"/>
      <c r="J1637" s="36"/>
      <c r="K1637" s="36"/>
      <c r="L1637" s="36"/>
      <c r="M1637" s="40" t="str">
        <f aca="false">IF($F1637="","",$F1637&amp;IF($G1637="",""," - RT "&amp;$G1637&amp;IF($H1637="","","/"&amp;$H1637)))</f>
        <v/>
      </c>
      <c r="N1637" s="36"/>
      <c r="O1637" s="37"/>
      <c r="P1637" s="39"/>
      <c r="Q1637" s="41"/>
      <c r="R1637" s="35" t="str">
        <f aca="true">IF(OR($B1637="",$Q1637=""),"",DATEDIF($Q1637,TODAY(),"Y"))</f>
        <v/>
      </c>
      <c r="S1637" s="40" t="str">
        <f aca="false">IF($R1637="","",INDEX(usia_label,MATCH($R1637,usia_min,1)))</f>
        <v/>
      </c>
      <c r="T1637" s="36"/>
      <c r="U1637" s="41"/>
      <c r="V1637" s="36"/>
      <c r="W1637" s="36"/>
      <c r="X1637" s="40" t="str">
        <f aca="false">IF($M1637="","",$M1637&amp;"#"&amp;COUNTIF($M$4:$M1637,$M1637))</f>
        <v/>
      </c>
      <c r="Y1637" s="40" t="str">
        <f aca="false">IF($B1637="","",IF($C1637="","NIK kosong",IF(LEN($C1637)&lt;&gt;16,"NIK bukan 16 digit",IF(COUNTIF($C$4:$C$2003,$C1637&amp;"*")&gt;1,"NIK ganda",IF(AND($D1637&lt;&gt;"",LEN($D1637)&lt;&gt;16),"No. KK bukan 16 digit",IF(AND($F1637="",$I1637=""),"Alamat kosong",IF($N1637="","Jabatan kosong",IF($O1637="","No. HP kosong",IF(AND($R1637&lt;&gt;"",$R1637&lt;17),"Usia di bawah 17","")))))))))</f>
        <v/>
      </c>
      <c r="Z1637" s="40" t="str">
        <f aca="false">IF($B1637="","",IF(AND(OR(CARI!$C$5="",ISNUMBER(SEARCH(CARI!$C$5,$B1637&amp;" "&amp;$C1637&amp;" "&amp;$D1637&amp;" "&amp;$O1637&amp;" "&amp;$I1637&amp;" "&amp;$F1637&amp;" "&amp;$J1637&amp;" "&amp;$K1637&amp;" "&amp;$L1637&amp;" "&amp;$V1637))),OR(CARI!$C$6="",$F1637=CARI!$C$6),OR(CARI!$C$7="",$G1637=CARI!$C$7),OR(CARI!$C$8="",$T1637=CARI!$C$8)),MAX($Z$3:Z1636)+1,""))</f>
        <v/>
      </c>
      <c r="AA1637" s="40" t="str">
        <f aca="false">IF($Y1637="","",MAX($AA$3:AA1636)+1)</f>
        <v/>
      </c>
      <c r="AB1637" s="40" t="str">
        <f aca="false">IF($F1637="","",$F1637&amp;"#"&amp;COUNTIF($F$4:$F1637,$F1637))</f>
        <v/>
      </c>
      <c r="AC1637" s="40" t="str">
        <f aca="false">IF($B1637="","",IF(AND(OR(CETAK!$J$10="",$F1637=CETAK!$J$10),OR(CETAK!$J$11="",$G1637=CETAK!$J$11),OR(CETAK!$J$12="",$P1637=CETAK!$J$12),OR(CETAK!$J$13="",$N1637=CETAK!$J$13),OR(CETAK!$J$14="",$T1637=CETAK!$J$14)),MAX($AC$3:AC1636)+1,""))</f>
        <v/>
      </c>
      <c r="AD1637" s="40" t="str">
        <f aca="false">IF($B1637="","",IF(AND(OR(ABSENSI!$H$10="",$F1637=ABSENSI!$H$10),OR(ABSENSI!$H$11="",$G1637=ABSENSI!$H$11),OR(ABSENSI!$H$12="",$P1637=ABSENSI!$H$12)),MAX($AD$3:AD1636)+1,""))</f>
        <v/>
      </c>
      <c r="AE1637" s="40" t="str">
        <f aca="false">IF($B1637="","",IF(AND(OR(KARTU!$K$6="",$F1637=KARTU!$K$6),OR(KARTU!$K$7="",$G1637=KARTU!$K$7),OR(KARTU!$K$8="",$P1637=KARTU!$K$8)),MAX($AE$3:AE1636)+1,""))</f>
        <v/>
      </c>
    </row>
    <row r="1638" customFormat="false" ht="15" hidden="false" customHeight="false" outlineLevel="0" collapsed="false">
      <c r="A1638" s="35" t="str">
        <f aca="false">IF($B1638="","",COUNTA($B$4:$B1638))</f>
        <v/>
      </c>
      <c r="B1638" s="36"/>
      <c r="C1638" s="37"/>
      <c r="D1638" s="37"/>
      <c r="E1638" s="38"/>
      <c r="F1638" s="36"/>
      <c r="G1638" s="39"/>
      <c r="H1638" s="39"/>
      <c r="I1638" s="36"/>
      <c r="J1638" s="36"/>
      <c r="K1638" s="36"/>
      <c r="L1638" s="36"/>
      <c r="M1638" s="40" t="str">
        <f aca="false">IF($F1638="","",$F1638&amp;IF($G1638="",""," - RT "&amp;$G1638&amp;IF($H1638="","","/"&amp;$H1638)))</f>
        <v/>
      </c>
      <c r="N1638" s="36"/>
      <c r="O1638" s="37"/>
      <c r="P1638" s="39"/>
      <c r="Q1638" s="41"/>
      <c r="R1638" s="35" t="str">
        <f aca="true">IF(OR($B1638="",$Q1638=""),"",DATEDIF($Q1638,TODAY(),"Y"))</f>
        <v/>
      </c>
      <c r="S1638" s="40" t="str">
        <f aca="false">IF($R1638="","",INDEX(usia_label,MATCH($R1638,usia_min,1)))</f>
        <v/>
      </c>
      <c r="T1638" s="36"/>
      <c r="U1638" s="41"/>
      <c r="V1638" s="36"/>
      <c r="W1638" s="36"/>
      <c r="X1638" s="40" t="str">
        <f aca="false">IF($M1638="","",$M1638&amp;"#"&amp;COUNTIF($M$4:$M1638,$M1638))</f>
        <v/>
      </c>
      <c r="Y1638" s="40" t="str">
        <f aca="false">IF($B1638="","",IF($C1638="","NIK kosong",IF(LEN($C1638)&lt;&gt;16,"NIK bukan 16 digit",IF(COUNTIF($C$4:$C$2003,$C1638&amp;"*")&gt;1,"NIK ganda",IF(AND($D1638&lt;&gt;"",LEN($D1638)&lt;&gt;16),"No. KK bukan 16 digit",IF(AND($F1638="",$I1638=""),"Alamat kosong",IF($N1638="","Jabatan kosong",IF($O1638="","No. HP kosong",IF(AND($R1638&lt;&gt;"",$R1638&lt;17),"Usia di bawah 17","")))))))))</f>
        <v/>
      </c>
      <c r="Z1638" s="40" t="str">
        <f aca="false">IF($B1638="","",IF(AND(OR(CARI!$C$5="",ISNUMBER(SEARCH(CARI!$C$5,$B1638&amp;" "&amp;$C1638&amp;" "&amp;$D1638&amp;" "&amp;$O1638&amp;" "&amp;$I1638&amp;" "&amp;$F1638&amp;" "&amp;$J1638&amp;" "&amp;$K1638&amp;" "&amp;$L1638&amp;" "&amp;$V1638))),OR(CARI!$C$6="",$F1638=CARI!$C$6),OR(CARI!$C$7="",$G1638=CARI!$C$7),OR(CARI!$C$8="",$T1638=CARI!$C$8)),MAX($Z$3:Z1637)+1,""))</f>
        <v/>
      </c>
      <c r="AA1638" s="40" t="str">
        <f aca="false">IF($Y1638="","",MAX($AA$3:AA1637)+1)</f>
        <v/>
      </c>
      <c r="AB1638" s="40" t="str">
        <f aca="false">IF($F1638="","",$F1638&amp;"#"&amp;COUNTIF($F$4:$F1638,$F1638))</f>
        <v/>
      </c>
      <c r="AC1638" s="40" t="str">
        <f aca="false">IF($B1638="","",IF(AND(OR(CETAK!$J$10="",$F1638=CETAK!$J$10),OR(CETAK!$J$11="",$G1638=CETAK!$J$11),OR(CETAK!$J$12="",$P1638=CETAK!$J$12),OR(CETAK!$J$13="",$N1638=CETAK!$J$13),OR(CETAK!$J$14="",$T1638=CETAK!$J$14)),MAX($AC$3:AC1637)+1,""))</f>
        <v/>
      </c>
      <c r="AD1638" s="40" t="str">
        <f aca="false">IF($B1638="","",IF(AND(OR(ABSENSI!$H$10="",$F1638=ABSENSI!$H$10),OR(ABSENSI!$H$11="",$G1638=ABSENSI!$H$11),OR(ABSENSI!$H$12="",$P1638=ABSENSI!$H$12)),MAX($AD$3:AD1637)+1,""))</f>
        <v/>
      </c>
      <c r="AE1638" s="40" t="str">
        <f aca="false">IF($B1638="","",IF(AND(OR(KARTU!$K$6="",$F1638=KARTU!$K$6),OR(KARTU!$K$7="",$G1638=KARTU!$K$7),OR(KARTU!$K$8="",$P1638=KARTU!$K$8)),MAX($AE$3:AE1637)+1,""))</f>
        <v/>
      </c>
    </row>
    <row r="1639" customFormat="false" ht="15" hidden="false" customHeight="false" outlineLevel="0" collapsed="false">
      <c r="A1639" s="35" t="str">
        <f aca="false">IF($B1639="","",COUNTA($B$4:$B1639))</f>
        <v/>
      </c>
      <c r="B1639" s="36"/>
      <c r="C1639" s="37"/>
      <c r="D1639" s="37"/>
      <c r="E1639" s="38"/>
      <c r="F1639" s="36"/>
      <c r="G1639" s="39"/>
      <c r="H1639" s="39"/>
      <c r="I1639" s="36"/>
      <c r="J1639" s="36"/>
      <c r="K1639" s="36"/>
      <c r="L1639" s="36"/>
      <c r="M1639" s="40" t="str">
        <f aca="false">IF($F1639="","",$F1639&amp;IF($G1639="",""," - RT "&amp;$G1639&amp;IF($H1639="","","/"&amp;$H1639)))</f>
        <v/>
      </c>
      <c r="N1639" s="36"/>
      <c r="O1639" s="37"/>
      <c r="P1639" s="39"/>
      <c r="Q1639" s="41"/>
      <c r="R1639" s="35" t="str">
        <f aca="true">IF(OR($B1639="",$Q1639=""),"",DATEDIF($Q1639,TODAY(),"Y"))</f>
        <v/>
      </c>
      <c r="S1639" s="40" t="str">
        <f aca="false">IF($R1639="","",INDEX(usia_label,MATCH($R1639,usia_min,1)))</f>
        <v/>
      </c>
      <c r="T1639" s="36"/>
      <c r="U1639" s="41"/>
      <c r="V1639" s="36"/>
      <c r="W1639" s="36"/>
      <c r="X1639" s="40" t="str">
        <f aca="false">IF($M1639="","",$M1639&amp;"#"&amp;COUNTIF($M$4:$M1639,$M1639))</f>
        <v/>
      </c>
      <c r="Y1639" s="40" t="str">
        <f aca="false">IF($B1639="","",IF($C1639="","NIK kosong",IF(LEN($C1639)&lt;&gt;16,"NIK bukan 16 digit",IF(COUNTIF($C$4:$C$2003,$C1639&amp;"*")&gt;1,"NIK ganda",IF(AND($D1639&lt;&gt;"",LEN($D1639)&lt;&gt;16),"No. KK bukan 16 digit",IF(AND($F1639="",$I1639=""),"Alamat kosong",IF($N1639="","Jabatan kosong",IF($O1639="","No. HP kosong",IF(AND($R1639&lt;&gt;"",$R1639&lt;17),"Usia di bawah 17","")))))))))</f>
        <v/>
      </c>
      <c r="Z1639" s="40" t="str">
        <f aca="false">IF($B1639="","",IF(AND(OR(CARI!$C$5="",ISNUMBER(SEARCH(CARI!$C$5,$B1639&amp;" "&amp;$C1639&amp;" "&amp;$D1639&amp;" "&amp;$O1639&amp;" "&amp;$I1639&amp;" "&amp;$F1639&amp;" "&amp;$J1639&amp;" "&amp;$K1639&amp;" "&amp;$L1639&amp;" "&amp;$V1639))),OR(CARI!$C$6="",$F1639=CARI!$C$6),OR(CARI!$C$7="",$G1639=CARI!$C$7),OR(CARI!$C$8="",$T1639=CARI!$C$8)),MAX($Z$3:Z1638)+1,""))</f>
        <v/>
      </c>
      <c r="AA1639" s="40" t="str">
        <f aca="false">IF($Y1639="","",MAX($AA$3:AA1638)+1)</f>
        <v/>
      </c>
      <c r="AB1639" s="40" t="str">
        <f aca="false">IF($F1639="","",$F1639&amp;"#"&amp;COUNTIF($F$4:$F1639,$F1639))</f>
        <v/>
      </c>
      <c r="AC1639" s="40" t="str">
        <f aca="false">IF($B1639="","",IF(AND(OR(CETAK!$J$10="",$F1639=CETAK!$J$10),OR(CETAK!$J$11="",$G1639=CETAK!$J$11),OR(CETAK!$J$12="",$P1639=CETAK!$J$12),OR(CETAK!$J$13="",$N1639=CETAK!$J$13),OR(CETAK!$J$14="",$T1639=CETAK!$J$14)),MAX($AC$3:AC1638)+1,""))</f>
        <v/>
      </c>
      <c r="AD1639" s="40" t="str">
        <f aca="false">IF($B1639="","",IF(AND(OR(ABSENSI!$H$10="",$F1639=ABSENSI!$H$10),OR(ABSENSI!$H$11="",$G1639=ABSENSI!$H$11),OR(ABSENSI!$H$12="",$P1639=ABSENSI!$H$12)),MAX($AD$3:AD1638)+1,""))</f>
        <v/>
      </c>
      <c r="AE1639" s="40" t="str">
        <f aca="false">IF($B1639="","",IF(AND(OR(KARTU!$K$6="",$F1639=KARTU!$K$6),OR(KARTU!$K$7="",$G1639=KARTU!$K$7),OR(KARTU!$K$8="",$P1639=KARTU!$K$8)),MAX($AE$3:AE1638)+1,""))</f>
        <v/>
      </c>
    </row>
    <row r="1640" customFormat="false" ht="15" hidden="false" customHeight="false" outlineLevel="0" collapsed="false">
      <c r="A1640" s="35" t="str">
        <f aca="false">IF($B1640="","",COUNTA($B$4:$B1640))</f>
        <v/>
      </c>
      <c r="B1640" s="36"/>
      <c r="C1640" s="37"/>
      <c r="D1640" s="37"/>
      <c r="E1640" s="38"/>
      <c r="F1640" s="36"/>
      <c r="G1640" s="39"/>
      <c r="H1640" s="39"/>
      <c r="I1640" s="36"/>
      <c r="J1640" s="36"/>
      <c r="K1640" s="36"/>
      <c r="L1640" s="36"/>
      <c r="M1640" s="40" t="str">
        <f aca="false">IF($F1640="","",$F1640&amp;IF($G1640="",""," - RT "&amp;$G1640&amp;IF($H1640="","","/"&amp;$H1640)))</f>
        <v/>
      </c>
      <c r="N1640" s="36"/>
      <c r="O1640" s="37"/>
      <c r="P1640" s="39"/>
      <c r="Q1640" s="41"/>
      <c r="R1640" s="35" t="str">
        <f aca="true">IF(OR($B1640="",$Q1640=""),"",DATEDIF($Q1640,TODAY(),"Y"))</f>
        <v/>
      </c>
      <c r="S1640" s="40" t="str">
        <f aca="false">IF($R1640="","",INDEX(usia_label,MATCH($R1640,usia_min,1)))</f>
        <v/>
      </c>
      <c r="T1640" s="36"/>
      <c r="U1640" s="41"/>
      <c r="V1640" s="36"/>
      <c r="W1640" s="36"/>
      <c r="X1640" s="40" t="str">
        <f aca="false">IF($M1640="","",$M1640&amp;"#"&amp;COUNTIF($M$4:$M1640,$M1640))</f>
        <v/>
      </c>
      <c r="Y1640" s="40" t="str">
        <f aca="false">IF($B1640="","",IF($C1640="","NIK kosong",IF(LEN($C1640)&lt;&gt;16,"NIK bukan 16 digit",IF(COUNTIF($C$4:$C$2003,$C1640&amp;"*")&gt;1,"NIK ganda",IF(AND($D1640&lt;&gt;"",LEN($D1640)&lt;&gt;16),"No. KK bukan 16 digit",IF(AND($F1640="",$I1640=""),"Alamat kosong",IF($N1640="","Jabatan kosong",IF($O1640="","No. HP kosong",IF(AND($R1640&lt;&gt;"",$R1640&lt;17),"Usia di bawah 17","")))))))))</f>
        <v/>
      </c>
      <c r="Z1640" s="40" t="str">
        <f aca="false">IF($B1640="","",IF(AND(OR(CARI!$C$5="",ISNUMBER(SEARCH(CARI!$C$5,$B1640&amp;" "&amp;$C1640&amp;" "&amp;$D1640&amp;" "&amp;$O1640&amp;" "&amp;$I1640&amp;" "&amp;$F1640&amp;" "&amp;$J1640&amp;" "&amp;$K1640&amp;" "&amp;$L1640&amp;" "&amp;$V1640))),OR(CARI!$C$6="",$F1640=CARI!$C$6),OR(CARI!$C$7="",$G1640=CARI!$C$7),OR(CARI!$C$8="",$T1640=CARI!$C$8)),MAX($Z$3:Z1639)+1,""))</f>
        <v/>
      </c>
      <c r="AA1640" s="40" t="str">
        <f aca="false">IF($Y1640="","",MAX($AA$3:AA1639)+1)</f>
        <v/>
      </c>
      <c r="AB1640" s="40" t="str">
        <f aca="false">IF($F1640="","",$F1640&amp;"#"&amp;COUNTIF($F$4:$F1640,$F1640))</f>
        <v/>
      </c>
      <c r="AC1640" s="40" t="str">
        <f aca="false">IF($B1640="","",IF(AND(OR(CETAK!$J$10="",$F1640=CETAK!$J$10),OR(CETAK!$J$11="",$G1640=CETAK!$J$11),OR(CETAK!$J$12="",$P1640=CETAK!$J$12),OR(CETAK!$J$13="",$N1640=CETAK!$J$13),OR(CETAK!$J$14="",$T1640=CETAK!$J$14)),MAX($AC$3:AC1639)+1,""))</f>
        <v/>
      </c>
      <c r="AD1640" s="40" t="str">
        <f aca="false">IF($B1640="","",IF(AND(OR(ABSENSI!$H$10="",$F1640=ABSENSI!$H$10),OR(ABSENSI!$H$11="",$G1640=ABSENSI!$H$11),OR(ABSENSI!$H$12="",$P1640=ABSENSI!$H$12)),MAX($AD$3:AD1639)+1,""))</f>
        <v/>
      </c>
      <c r="AE1640" s="40" t="str">
        <f aca="false">IF($B1640="","",IF(AND(OR(KARTU!$K$6="",$F1640=KARTU!$K$6),OR(KARTU!$K$7="",$G1640=KARTU!$K$7),OR(KARTU!$K$8="",$P1640=KARTU!$K$8)),MAX($AE$3:AE1639)+1,""))</f>
        <v/>
      </c>
    </row>
    <row r="1641" customFormat="false" ht="15" hidden="false" customHeight="false" outlineLevel="0" collapsed="false">
      <c r="A1641" s="35" t="str">
        <f aca="false">IF($B1641="","",COUNTA($B$4:$B1641))</f>
        <v/>
      </c>
      <c r="B1641" s="36"/>
      <c r="C1641" s="37"/>
      <c r="D1641" s="37"/>
      <c r="E1641" s="38"/>
      <c r="F1641" s="36"/>
      <c r="G1641" s="39"/>
      <c r="H1641" s="39"/>
      <c r="I1641" s="36"/>
      <c r="J1641" s="36"/>
      <c r="K1641" s="36"/>
      <c r="L1641" s="36"/>
      <c r="M1641" s="40" t="str">
        <f aca="false">IF($F1641="","",$F1641&amp;IF($G1641="",""," - RT "&amp;$G1641&amp;IF($H1641="","","/"&amp;$H1641)))</f>
        <v/>
      </c>
      <c r="N1641" s="36"/>
      <c r="O1641" s="37"/>
      <c r="P1641" s="39"/>
      <c r="Q1641" s="41"/>
      <c r="R1641" s="35" t="str">
        <f aca="true">IF(OR($B1641="",$Q1641=""),"",DATEDIF($Q1641,TODAY(),"Y"))</f>
        <v/>
      </c>
      <c r="S1641" s="40" t="str">
        <f aca="false">IF($R1641="","",INDEX(usia_label,MATCH($R1641,usia_min,1)))</f>
        <v/>
      </c>
      <c r="T1641" s="36"/>
      <c r="U1641" s="41"/>
      <c r="V1641" s="36"/>
      <c r="W1641" s="36"/>
      <c r="X1641" s="40" t="str">
        <f aca="false">IF($M1641="","",$M1641&amp;"#"&amp;COUNTIF($M$4:$M1641,$M1641))</f>
        <v/>
      </c>
      <c r="Y1641" s="40" t="str">
        <f aca="false">IF($B1641="","",IF($C1641="","NIK kosong",IF(LEN($C1641)&lt;&gt;16,"NIK bukan 16 digit",IF(COUNTIF($C$4:$C$2003,$C1641&amp;"*")&gt;1,"NIK ganda",IF(AND($D1641&lt;&gt;"",LEN($D1641)&lt;&gt;16),"No. KK bukan 16 digit",IF(AND($F1641="",$I1641=""),"Alamat kosong",IF($N1641="","Jabatan kosong",IF($O1641="","No. HP kosong",IF(AND($R1641&lt;&gt;"",$R1641&lt;17),"Usia di bawah 17","")))))))))</f>
        <v/>
      </c>
      <c r="Z1641" s="40" t="str">
        <f aca="false">IF($B1641="","",IF(AND(OR(CARI!$C$5="",ISNUMBER(SEARCH(CARI!$C$5,$B1641&amp;" "&amp;$C1641&amp;" "&amp;$D1641&amp;" "&amp;$O1641&amp;" "&amp;$I1641&amp;" "&amp;$F1641&amp;" "&amp;$J1641&amp;" "&amp;$K1641&amp;" "&amp;$L1641&amp;" "&amp;$V1641))),OR(CARI!$C$6="",$F1641=CARI!$C$6),OR(CARI!$C$7="",$G1641=CARI!$C$7),OR(CARI!$C$8="",$T1641=CARI!$C$8)),MAX($Z$3:Z1640)+1,""))</f>
        <v/>
      </c>
      <c r="AA1641" s="40" t="str">
        <f aca="false">IF($Y1641="","",MAX($AA$3:AA1640)+1)</f>
        <v/>
      </c>
      <c r="AB1641" s="40" t="str">
        <f aca="false">IF($F1641="","",$F1641&amp;"#"&amp;COUNTIF($F$4:$F1641,$F1641))</f>
        <v/>
      </c>
      <c r="AC1641" s="40" t="str">
        <f aca="false">IF($B1641="","",IF(AND(OR(CETAK!$J$10="",$F1641=CETAK!$J$10),OR(CETAK!$J$11="",$G1641=CETAK!$J$11),OR(CETAK!$J$12="",$P1641=CETAK!$J$12),OR(CETAK!$J$13="",$N1641=CETAK!$J$13),OR(CETAK!$J$14="",$T1641=CETAK!$J$14)),MAX($AC$3:AC1640)+1,""))</f>
        <v/>
      </c>
      <c r="AD1641" s="40" t="str">
        <f aca="false">IF($B1641="","",IF(AND(OR(ABSENSI!$H$10="",$F1641=ABSENSI!$H$10),OR(ABSENSI!$H$11="",$G1641=ABSENSI!$H$11),OR(ABSENSI!$H$12="",$P1641=ABSENSI!$H$12)),MAX($AD$3:AD1640)+1,""))</f>
        <v/>
      </c>
      <c r="AE1641" s="40" t="str">
        <f aca="false">IF($B1641="","",IF(AND(OR(KARTU!$K$6="",$F1641=KARTU!$K$6),OR(KARTU!$K$7="",$G1641=KARTU!$K$7),OR(KARTU!$K$8="",$P1641=KARTU!$K$8)),MAX($AE$3:AE1640)+1,""))</f>
        <v/>
      </c>
    </row>
    <row r="1642" customFormat="false" ht="15" hidden="false" customHeight="false" outlineLevel="0" collapsed="false">
      <c r="A1642" s="35" t="str">
        <f aca="false">IF($B1642="","",COUNTA($B$4:$B1642))</f>
        <v/>
      </c>
      <c r="B1642" s="36"/>
      <c r="C1642" s="37"/>
      <c r="D1642" s="37"/>
      <c r="E1642" s="38"/>
      <c r="F1642" s="36"/>
      <c r="G1642" s="39"/>
      <c r="H1642" s="39"/>
      <c r="I1642" s="36"/>
      <c r="J1642" s="36"/>
      <c r="K1642" s="36"/>
      <c r="L1642" s="36"/>
      <c r="M1642" s="40" t="str">
        <f aca="false">IF($F1642="","",$F1642&amp;IF($G1642="",""," - RT "&amp;$G1642&amp;IF($H1642="","","/"&amp;$H1642)))</f>
        <v/>
      </c>
      <c r="N1642" s="36"/>
      <c r="O1642" s="37"/>
      <c r="P1642" s="39"/>
      <c r="Q1642" s="41"/>
      <c r="R1642" s="35" t="str">
        <f aca="true">IF(OR($B1642="",$Q1642=""),"",DATEDIF($Q1642,TODAY(),"Y"))</f>
        <v/>
      </c>
      <c r="S1642" s="40" t="str">
        <f aca="false">IF($R1642="","",INDEX(usia_label,MATCH($R1642,usia_min,1)))</f>
        <v/>
      </c>
      <c r="T1642" s="36"/>
      <c r="U1642" s="41"/>
      <c r="V1642" s="36"/>
      <c r="W1642" s="36"/>
      <c r="X1642" s="40" t="str">
        <f aca="false">IF($M1642="","",$M1642&amp;"#"&amp;COUNTIF($M$4:$M1642,$M1642))</f>
        <v/>
      </c>
      <c r="Y1642" s="40" t="str">
        <f aca="false">IF($B1642="","",IF($C1642="","NIK kosong",IF(LEN($C1642)&lt;&gt;16,"NIK bukan 16 digit",IF(COUNTIF($C$4:$C$2003,$C1642&amp;"*")&gt;1,"NIK ganda",IF(AND($D1642&lt;&gt;"",LEN($D1642)&lt;&gt;16),"No. KK bukan 16 digit",IF(AND($F1642="",$I1642=""),"Alamat kosong",IF($N1642="","Jabatan kosong",IF($O1642="","No. HP kosong",IF(AND($R1642&lt;&gt;"",$R1642&lt;17),"Usia di bawah 17","")))))))))</f>
        <v/>
      </c>
      <c r="Z1642" s="40" t="str">
        <f aca="false">IF($B1642="","",IF(AND(OR(CARI!$C$5="",ISNUMBER(SEARCH(CARI!$C$5,$B1642&amp;" "&amp;$C1642&amp;" "&amp;$D1642&amp;" "&amp;$O1642&amp;" "&amp;$I1642&amp;" "&amp;$F1642&amp;" "&amp;$J1642&amp;" "&amp;$K1642&amp;" "&amp;$L1642&amp;" "&amp;$V1642))),OR(CARI!$C$6="",$F1642=CARI!$C$6),OR(CARI!$C$7="",$G1642=CARI!$C$7),OR(CARI!$C$8="",$T1642=CARI!$C$8)),MAX($Z$3:Z1641)+1,""))</f>
        <v/>
      </c>
      <c r="AA1642" s="40" t="str">
        <f aca="false">IF($Y1642="","",MAX($AA$3:AA1641)+1)</f>
        <v/>
      </c>
      <c r="AB1642" s="40" t="str">
        <f aca="false">IF($F1642="","",$F1642&amp;"#"&amp;COUNTIF($F$4:$F1642,$F1642))</f>
        <v/>
      </c>
      <c r="AC1642" s="40" t="str">
        <f aca="false">IF($B1642="","",IF(AND(OR(CETAK!$J$10="",$F1642=CETAK!$J$10),OR(CETAK!$J$11="",$G1642=CETAK!$J$11),OR(CETAK!$J$12="",$P1642=CETAK!$J$12),OR(CETAK!$J$13="",$N1642=CETAK!$J$13),OR(CETAK!$J$14="",$T1642=CETAK!$J$14)),MAX($AC$3:AC1641)+1,""))</f>
        <v/>
      </c>
      <c r="AD1642" s="40" t="str">
        <f aca="false">IF($B1642="","",IF(AND(OR(ABSENSI!$H$10="",$F1642=ABSENSI!$H$10),OR(ABSENSI!$H$11="",$G1642=ABSENSI!$H$11),OR(ABSENSI!$H$12="",$P1642=ABSENSI!$H$12)),MAX($AD$3:AD1641)+1,""))</f>
        <v/>
      </c>
      <c r="AE1642" s="40" t="str">
        <f aca="false">IF($B1642="","",IF(AND(OR(KARTU!$K$6="",$F1642=KARTU!$K$6),OR(KARTU!$K$7="",$G1642=KARTU!$K$7),OR(KARTU!$K$8="",$P1642=KARTU!$K$8)),MAX($AE$3:AE1641)+1,""))</f>
        <v/>
      </c>
    </row>
    <row r="1643" customFormat="false" ht="15" hidden="false" customHeight="false" outlineLevel="0" collapsed="false">
      <c r="A1643" s="35" t="str">
        <f aca="false">IF($B1643="","",COUNTA($B$4:$B1643))</f>
        <v/>
      </c>
      <c r="B1643" s="36"/>
      <c r="C1643" s="37"/>
      <c r="D1643" s="37"/>
      <c r="E1643" s="38"/>
      <c r="F1643" s="36"/>
      <c r="G1643" s="39"/>
      <c r="H1643" s="39"/>
      <c r="I1643" s="36"/>
      <c r="J1643" s="36"/>
      <c r="K1643" s="36"/>
      <c r="L1643" s="36"/>
      <c r="M1643" s="40" t="str">
        <f aca="false">IF($F1643="","",$F1643&amp;IF($G1643="",""," - RT "&amp;$G1643&amp;IF($H1643="","","/"&amp;$H1643)))</f>
        <v/>
      </c>
      <c r="N1643" s="36"/>
      <c r="O1643" s="37"/>
      <c r="P1643" s="39"/>
      <c r="Q1643" s="41"/>
      <c r="R1643" s="35" t="str">
        <f aca="true">IF(OR($B1643="",$Q1643=""),"",DATEDIF($Q1643,TODAY(),"Y"))</f>
        <v/>
      </c>
      <c r="S1643" s="40" t="str">
        <f aca="false">IF($R1643="","",INDEX(usia_label,MATCH($R1643,usia_min,1)))</f>
        <v/>
      </c>
      <c r="T1643" s="36"/>
      <c r="U1643" s="41"/>
      <c r="V1643" s="36"/>
      <c r="W1643" s="36"/>
      <c r="X1643" s="40" t="str">
        <f aca="false">IF($M1643="","",$M1643&amp;"#"&amp;COUNTIF($M$4:$M1643,$M1643))</f>
        <v/>
      </c>
      <c r="Y1643" s="40" t="str">
        <f aca="false">IF($B1643="","",IF($C1643="","NIK kosong",IF(LEN($C1643)&lt;&gt;16,"NIK bukan 16 digit",IF(COUNTIF($C$4:$C$2003,$C1643&amp;"*")&gt;1,"NIK ganda",IF(AND($D1643&lt;&gt;"",LEN($D1643)&lt;&gt;16),"No. KK bukan 16 digit",IF(AND($F1643="",$I1643=""),"Alamat kosong",IF($N1643="","Jabatan kosong",IF($O1643="","No. HP kosong",IF(AND($R1643&lt;&gt;"",$R1643&lt;17),"Usia di bawah 17","")))))))))</f>
        <v/>
      </c>
      <c r="Z1643" s="40" t="str">
        <f aca="false">IF($B1643="","",IF(AND(OR(CARI!$C$5="",ISNUMBER(SEARCH(CARI!$C$5,$B1643&amp;" "&amp;$C1643&amp;" "&amp;$D1643&amp;" "&amp;$O1643&amp;" "&amp;$I1643&amp;" "&amp;$F1643&amp;" "&amp;$J1643&amp;" "&amp;$K1643&amp;" "&amp;$L1643&amp;" "&amp;$V1643))),OR(CARI!$C$6="",$F1643=CARI!$C$6),OR(CARI!$C$7="",$G1643=CARI!$C$7),OR(CARI!$C$8="",$T1643=CARI!$C$8)),MAX($Z$3:Z1642)+1,""))</f>
        <v/>
      </c>
      <c r="AA1643" s="40" t="str">
        <f aca="false">IF($Y1643="","",MAX($AA$3:AA1642)+1)</f>
        <v/>
      </c>
      <c r="AB1643" s="40" t="str">
        <f aca="false">IF($F1643="","",$F1643&amp;"#"&amp;COUNTIF($F$4:$F1643,$F1643))</f>
        <v/>
      </c>
      <c r="AC1643" s="40" t="str">
        <f aca="false">IF($B1643="","",IF(AND(OR(CETAK!$J$10="",$F1643=CETAK!$J$10),OR(CETAK!$J$11="",$G1643=CETAK!$J$11),OR(CETAK!$J$12="",$P1643=CETAK!$J$12),OR(CETAK!$J$13="",$N1643=CETAK!$J$13),OR(CETAK!$J$14="",$T1643=CETAK!$J$14)),MAX($AC$3:AC1642)+1,""))</f>
        <v/>
      </c>
      <c r="AD1643" s="40" t="str">
        <f aca="false">IF($B1643="","",IF(AND(OR(ABSENSI!$H$10="",$F1643=ABSENSI!$H$10),OR(ABSENSI!$H$11="",$G1643=ABSENSI!$H$11),OR(ABSENSI!$H$12="",$P1643=ABSENSI!$H$12)),MAX($AD$3:AD1642)+1,""))</f>
        <v/>
      </c>
      <c r="AE1643" s="40" t="str">
        <f aca="false">IF($B1643="","",IF(AND(OR(KARTU!$K$6="",$F1643=KARTU!$K$6),OR(KARTU!$K$7="",$G1643=KARTU!$K$7),OR(KARTU!$K$8="",$P1643=KARTU!$K$8)),MAX($AE$3:AE1642)+1,""))</f>
        <v/>
      </c>
    </row>
    <row r="1644" customFormat="false" ht="15" hidden="false" customHeight="false" outlineLevel="0" collapsed="false">
      <c r="A1644" s="35" t="str">
        <f aca="false">IF($B1644="","",COUNTA($B$4:$B1644))</f>
        <v/>
      </c>
      <c r="B1644" s="36"/>
      <c r="C1644" s="37"/>
      <c r="D1644" s="37"/>
      <c r="E1644" s="38"/>
      <c r="F1644" s="36"/>
      <c r="G1644" s="39"/>
      <c r="H1644" s="39"/>
      <c r="I1644" s="36"/>
      <c r="J1644" s="36"/>
      <c r="K1644" s="36"/>
      <c r="L1644" s="36"/>
      <c r="M1644" s="40" t="str">
        <f aca="false">IF($F1644="","",$F1644&amp;IF($G1644="",""," - RT "&amp;$G1644&amp;IF($H1644="","","/"&amp;$H1644)))</f>
        <v/>
      </c>
      <c r="N1644" s="36"/>
      <c r="O1644" s="37"/>
      <c r="P1644" s="39"/>
      <c r="Q1644" s="41"/>
      <c r="R1644" s="35" t="str">
        <f aca="true">IF(OR($B1644="",$Q1644=""),"",DATEDIF($Q1644,TODAY(),"Y"))</f>
        <v/>
      </c>
      <c r="S1644" s="40" t="str">
        <f aca="false">IF($R1644="","",INDEX(usia_label,MATCH($R1644,usia_min,1)))</f>
        <v/>
      </c>
      <c r="T1644" s="36"/>
      <c r="U1644" s="41"/>
      <c r="V1644" s="36"/>
      <c r="W1644" s="36"/>
      <c r="X1644" s="40" t="str">
        <f aca="false">IF($M1644="","",$M1644&amp;"#"&amp;COUNTIF($M$4:$M1644,$M1644))</f>
        <v/>
      </c>
      <c r="Y1644" s="40" t="str">
        <f aca="false">IF($B1644="","",IF($C1644="","NIK kosong",IF(LEN($C1644)&lt;&gt;16,"NIK bukan 16 digit",IF(COUNTIF($C$4:$C$2003,$C1644&amp;"*")&gt;1,"NIK ganda",IF(AND($D1644&lt;&gt;"",LEN($D1644)&lt;&gt;16),"No. KK bukan 16 digit",IF(AND($F1644="",$I1644=""),"Alamat kosong",IF($N1644="","Jabatan kosong",IF($O1644="","No. HP kosong",IF(AND($R1644&lt;&gt;"",$R1644&lt;17),"Usia di bawah 17","")))))))))</f>
        <v/>
      </c>
      <c r="Z1644" s="40" t="str">
        <f aca="false">IF($B1644="","",IF(AND(OR(CARI!$C$5="",ISNUMBER(SEARCH(CARI!$C$5,$B1644&amp;" "&amp;$C1644&amp;" "&amp;$D1644&amp;" "&amp;$O1644&amp;" "&amp;$I1644&amp;" "&amp;$F1644&amp;" "&amp;$J1644&amp;" "&amp;$K1644&amp;" "&amp;$L1644&amp;" "&amp;$V1644))),OR(CARI!$C$6="",$F1644=CARI!$C$6),OR(CARI!$C$7="",$G1644=CARI!$C$7),OR(CARI!$C$8="",$T1644=CARI!$C$8)),MAX($Z$3:Z1643)+1,""))</f>
        <v/>
      </c>
      <c r="AA1644" s="40" t="str">
        <f aca="false">IF($Y1644="","",MAX($AA$3:AA1643)+1)</f>
        <v/>
      </c>
      <c r="AB1644" s="40" t="str">
        <f aca="false">IF($F1644="","",$F1644&amp;"#"&amp;COUNTIF($F$4:$F1644,$F1644))</f>
        <v/>
      </c>
      <c r="AC1644" s="40" t="str">
        <f aca="false">IF($B1644="","",IF(AND(OR(CETAK!$J$10="",$F1644=CETAK!$J$10),OR(CETAK!$J$11="",$G1644=CETAK!$J$11),OR(CETAK!$J$12="",$P1644=CETAK!$J$12),OR(CETAK!$J$13="",$N1644=CETAK!$J$13),OR(CETAK!$J$14="",$T1644=CETAK!$J$14)),MAX($AC$3:AC1643)+1,""))</f>
        <v/>
      </c>
      <c r="AD1644" s="40" t="str">
        <f aca="false">IF($B1644="","",IF(AND(OR(ABSENSI!$H$10="",$F1644=ABSENSI!$H$10),OR(ABSENSI!$H$11="",$G1644=ABSENSI!$H$11),OR(ABSENSI!$H$12="",$P1644=ABSENSI!$H$12)),MAX($AD$3:AD1643)+1,""))</f>
        <v/>
      </c>
      <c r="AE1644" s="40" t="str">
        <f aca="false">IF($B1644="","",IF(AND(OR(KARTU!$K$6="",$F1644=KARTU!$K$6),OR(KARTU!$K$7="",$G1644=KARTU!$K$7),OR(KARTU!$K$8="",$P1644=KARTU!$K$8)),MAX($AE$3:AE1643)+1,""))</f>
        <v/>
      </c>
    </row>
    <row r="1645" customFormat="false" ht="15" hidden="false" customHeight="false" outlineLevel="0" collapsed="false">
      <c r="A1645" s="35" t="str">
        <f aca="false">IF($B1645="","",COUNTA($B$4:$B1645))</f>
        <v/>
      </c>
      <c r="B1645" s="36"/>
      <c r="C1645" s="37"/>
      <c r="D1645" s="37"/>
      <c r="E1645" s="38"/>
      <c r="F1645" s="36"/>
      <c r="G1645" s="39"/>
      <c r="H1645" s="39"/>
      <c r="I1645" s="36"/>
      <c r="J1645" s="36"/>
      <c r="K1645" s="36"/>
      <c r="L1645" s="36"/>
      <c r="M1645" s="40" t="str">
        <f aca="false">IF($F1645="","",$F1645&amp;IF($G1645="",""," - RT "&amp;$G1645&amp;IF($H1645="","","/"&amp;$H1645)))</f>
        <v/>
      </c>
      <c r="N1645" s="36"/>
      <c r="O1645" s="37"/>
      <c r="P1645" s="39"/>
      <c r="Q1645" s="41"/>
      <c r="R1645" s="35" t="str">
        <f aca="true">IF(OR($B1645="",$Q1645=""),"",DATEDIF($Q1645,TODAY(),"Y"))</f>
        <v/>
      </c>
      <c r="S1645" s="40" t="str">
        <f aca="false">IF($R1645="","",INDEX(usia_label,MATCH($R1645,usia_min,1)))</f>
        <v/>
      </c>
      <c r="T1645" s="36"/>
      <c r="U1645" s="41"/>
      <c r="V1645" s="36"/>
      <c r="W1645" s="36"/>
      <c r="X1645" s="40" t="str">
        <f aca="false">IF($M1645="","",$M1645&amp;"#"&amp;COUNTIF($M$4:$M1645,$M1645))</f>
        <v/>
      </c>
      <c r="Y1645" s="40" t="str">
        <f aca="false">IF($B1645="","",IF($C1645="","NIK kosong",IF(LEN($C1645)&lt;&gt;16,"NIK bukan 16 digit",IF(COUNTIF($C$4:$C$2003,$C1645&amp;"*")&gt;1,"NIK ganda",IF(AND($D1645&lt;&gt;"",LEN($D1645)&lt;&gt;16),"No. KK bukan 16 digit",IF(AND($F1645="",$I1645=""),"Alamat kosong",IF($N1645="","Jabatan kosong",IF($O1645="","No. HP kosong",IF(AND($R1645&lt;&gt;"",$R1645&lt;17),"Usia di bawah 17","")))))))))</f>
        <v/>
      </c>
      <c r="Z1645" s="40" t="str">
        <f aca="false">IF($B1645="","",IF(AND(OR(CARI!$C$5="",ISNUMBER(SEARCH(CARI!$C$5,$B1645&amp;" "&amp;$C1645&amp;" "&amp;$D1645&amp;" "&amp;$O1645&amp;" "&amp;$I1645&amp;" "&amp;$F1645&amp;" "&amp;$J1645&amp;" "&amp;$K1645&amp;" "&amp;$L1645&amp;" "&amp;$V1645))),OR(CARI!$C$6="",$F1645=CARI!$C$6),OR(CARI!$C$7="",$G1645=CARI!$C$7),OR(CARI!$C$8="",$T1645=CARI!$C$8)),MAX($Z$3:Z1644)+1,""))</f>
        <v/>
      </c>
      <c r="AA1645" s="40" t="str">
        <f aca="false">IF($Y1645="","",MAX($AA$3:AA1644)+1)</f>
        <v/>
      </c>
      <c r="AB1645" s="40" t="str">
        <f aca="false">IF($F1645="","",$F1645&amp;"#"&amp;COUNTIF($F$4:$F1645,$F1645))</f>
        <v/>
      </c>
      <c r="AC1645" s="40" t="str">
        <f aca="false">IF($B1645="","",IF(AND(OR(CETAK!$J$10="",$F1645=CETAK!$J$10),OR(CETAK!$J$11="",$G1645=CETAK!$J$11),OR(CETAK!$J$12="",$P1645=CETAK!$J$12),OR(CETAK!$J$13="",$N1645=CETAK!$J$13),OR(CETAK!$J$14="",$T1645=CETAK!$J$14)),MAX($AC$3:AC1644)+1,""))</f>
        <v/>
      </c>
      <c r="AD1645" s="40" t="str">
        <f aca="false">IF($B1645="","",IF(AND(OR(ABSENSI!$H$10="",$F1645=ABSENSI!$H$10),OR(ABSENSI!$H$11="",$G1645=ABSENSI!$H$11),OR(ABSENSI!$H$12="",$P1645=ABSENSI!$H$12)),MAX($AD$3:AD1644)+1,""))</f>
        <v/>
      </c>
      <c r="AE1645" s="40" t="str">
        <f aca="false">IF($B1645="","",IF(AND(OR(KARTU!$K$6="",$F1645=KARTU!$K$6),OR(KARTU!$K$7="",$G1645=KARTU!$K$7),OR(KARTU!$K$8="",$P1645=KARTU!$K$8)),MAX($AE$3:AE1644)+1,""))</f>
        <v/>
      </c>
    </row>
    <row r="1646" customFormat="false" ht="15" hidden="false" customHeight="false" outlineLevel="0" collapsed="false">
      <c r="A1646" s="35" t="str">
        <f aca="false">IF($B1646="","",COUNTA($B$4:$B1646))</f>
        <v/>
      </c>
      <c r="B1646" s="36"/>
      <c r="C1646" s="37"/>
      <c r="D1646" s="37"/>
      <c r="E1646" s="38"/>
      <c r="F1646" s="36"/>
      <c r="G1646" s="39"/>
      <c r="H1646" s="39"/>
      <c r="I1646" s="36"/>
      <c r="J1646" s="36"/>
      <c r="K1646" s="36"/>
      <c r="L1646" s="36"/>
      <c r="M1646" s="40" t="str">
        <f aca="false">IF($F1646="","",$F1646&amp;IF($G1646="",""," - RT "&amp;$G1646&amp;IF($H1646="","","/"&amp;$H1646)))</f>
        <v/>
      </c>
      <c r="N1646" s="36"/>
      <c r="O1646" s="37"/>
      <c r="P1646" s="39"/>
      <c r="Q1646" s="41"/>
      <c r="R1646" s="35" t="str">
        <f aca="true">IF(OR($B1646="",$Q1646=""),"",DATEDIF($Q1646,TODAY(),"Y"))</f>
        <v/>
      </c>
      <c r="S1646" s="40" t="str">
        <f aca="false">IF($R1646="","",INDEX(usia_label,MATCH($R1646,usia_min,1)))</f>
        <v/>
      </c>
      <c r="T1646" s="36"/>
      <c r="U1646" s="41"/>
      <c r="V1646" s="36"/>
      <c r="W1646" s="36"/>
      <c r="X1646" s="40" t="str">
        <f aca="false">IF($M1646="","",$M1646&amp;"#"&amp;COUNTIF($M$4:$M1646,$M1646))</f>
        <v/>
      </c>
      <c r="Y1646" s="40" t="str">
        <f aca="false">IF($B1646="","",IF($C1646="","NIK kosong",IF(LEN($C1646)&lt;&gt;16,"NIK bukan 16 digit",IF(COUNTIF($C$4:$C$2003,$C1646&amp;"*")&gt;1,"NIK ganda",IF(AND($D1646&lt;&gt;"",LEN($D1646)&lt;&gt;16),"No. KK bukan 16 digit",IF(AND($F1646="",$I1646=""),"Alamat kosong",IF($N1646="","Jabatan kosong",IF($O1646="","No. HP kosong",IF(AND($R1646&lt;&gt;"",$R1646&lt;17),"Usia di bawah 17","")))))))))</f>
        <v/>
      </c>
      <c r="Z1646" s="40" t="str">
        <f aca="false">IF($B1646="","",IF(AND(OR(CARI!$C$5="",ISNUMBER(SEARCH(CARI!$C$5,$B1646&amp;" "&amp;$C1646&amp;" "&amp;$D1646&amp;" "&amp;$O1646&amp;" "&amp;$I1646&amp;" "&amp;$F1646&amp;" "&amp;$J1646&amp;" "&amp;$K1646&amp;" "&amp;$L1646&amp;" "&amp;$V1646))),OR(CARI!$C$6="",$F1646=CARI!$C$6),OR(CARI!$C$7="",$G1646=CARI!$C$7),OR(CARI!$C$8="",$T1646=CARI!$C$8)),MAX($Z$3:Z1645)+1,""))</f>
        <v/>
      </c>
      <c r="AA1646" s="40" t="str">
        <f aca="false">IF($Y1646="","",MAX($AA$3:AA1645)+1)</f>
        <v/>
      </c>
      <c r="AB1646" s="40" t="str">
        <f aca="false">IF($F1646="","",$F1646&amp;"#"&amp;COUNTIF($F$4:$F1646,$F1646))</f>
        <v/>
      </c>
      <c r="AC1646" s="40" t="str">
        <f aca="false">IF($B1646="","",IF(AND(OR(CETAK!$J$10="",$F1646=CETAK!$J$10),OR(CETAK!$J$11="",$G1646=CETAK!$J$11),OR(CETAK!$J$12="",$P1646=CETAK!$J$12),OR(CETAK!$J$13="",$N1646=CETAK!$J$13),OR(CETAK!$J$14="",$T1646=CETAK!$J$14)),MAX($AC$3:AC1645)+1,""))</f>
        <v/>
      </c>
      <c r="AD1646" s="40" t="str">
        <f aca="false">IF($B1646="","",IF(AND(OR(ABSENSI!$H$10="",$F1646=ABSENSI!$H$10),OR(ABSENSI!$H$11="",$G1646=ABSENSI!$H$11),OR(ABSENSI!$H$12="",$P1646=ABSENSI!$H$12)),MAX($AD$3:AD1645)+1,""))</f>
        <v/>
      </c>
      <c r="AE1646" s="40" t="str">
        <f aca="false">IF($B1646="","",IF(AND(OR(KARTU!$K$6="",$F1646=KARTU!$K$6),OR(KARTU!$K$7="",$G1646=KARTU!$K$7),OR(KARTU!$K$8="",$P1646=KARTU!$K$8)),MAX($AE$3:AE1645)+1,""))</f>
        <v/>
      </c>
    </row>
    <row r="1647" customFormat="false" ht="15" hidden="false" customHeight="false" outlineLevel="0" collapsed="false">
      <c r="A1647" s="35" t="str">
        <f aca="false">IF($B1647="","",COUNTA($B$4:$B1647))</f>
        <v/>
      </c>
      <c r="B1647" s="36"/>
      <c r="C1647" s="37"/>
      <c r="D1647" s="37"/>
      <c r="E1647" s="38"/>
      <c r="F1647" s="36"/>
      <c r="G1647" s="39"/>
      <c r="H1647" s="39"/>
      <c r="I1647" s="36"/>
      <c r="J1647" s="36"/>
      <c r="K1647" s="36"/>
      <c r="L1647" s="36"/>
      <c r="M1647" s="40" t="str">
        <f aca="false">IF($F1647="","",$F1647&amp;IF($G1647="",""," - RT "&amp;$G1647&amp;IF($H1647="","","/"&amp;$H1647)))</f>
        <v/>
      </c>
      <c r="N1647" s="36"/>
      <c r="O1647" s="37"/>
      <c r="P1647" s="39"/>
      <c r="Q1647" s="41"/>
      <c r="R1647" s="35" t="str">
        <f aca="true">IF(OR($B1647="",$Q1647=""),"",DATEDIF($Q1647,TODAY(),"Y"))</f>
        <v/>
      </c>
      <c r="S1647" s="40" t="str">
        <f aca="false">IF($R1647="","",INDEX(usia_label,MATCH($R1647,usia_min,1)))</f>
        <v/>
      </c>
      <c r="T1647" s="36"/>
      <c r="U1647" s="41"/>
      <c r="V1647" s="36"/>
      <c r="W1647" s="36"/>
      <c r="X1647" s="40" t="str">
        <f aca="false">IF($M1647="","",$M1647&amp;"#"&amp;COUNTIF($M$4:$M1647,$M1647))</f>
        <v/>
      </c>
      <c r="Y1647" s="40" t="str">
        <f aca="false">IF($B1647="","",IF($C1647="","NIK kosong",IF(LEN($C1647)&lt;&gt;16,"NIK bukan 16 digit",IF(COUNTIF($C$4:$C$2003,$C1647&amp;"*")&gt;1,"NIK ganda",IF(AND($D1647&lt;&gt;"",LEN($D1647)&lt;&gt;16),"No. KK bukan 16 digit",IF(AND($F1647="",$I1647=""),"Alamat kosong",IF($N1647="","Jabatan kosong",IF($O1647="","No. HP kosong",IF(AND($R1647&lt;&gt;"",$R1647&lt;17),"Usia di bawah 17","")))))))))</f>
        <v/>
      </c>
      <c r="Z1647" s="40" t="str">
        <f aca="false">IF($B1647="","",IF(AND(OR(CARI!$C$5="",ISNUMBER(SEARCH(CARI!$C$5,$B1647&amp;" "&amp;$C1647&amp;" "&amp;$D1647&amp;" "&amp;$O1647&amp;" "&amp;$I1647&amp;" "&amp;$F1647&amp;" "&amp;$J1647&amp;" "&amp;$K1647&amp;" "&amp;$L1647&amp;" "&amp;$V1647))),OR(CARI!$C$6="",$F1647=CARI!$C$6),OR(CARI!$C$7="",$G1647=CARI!$C$7),OR(CARI!$C$8="",$T1647=CARI!$C$8)),MAX($Z$3:Z1646)+1,""))</f>
        <v/>
      </c>
      <c r="AA1647" s="40" t="str">
        <f aca="false">IF($Y1647="","",MAX($AA$3:AA1646)+1)</f>
        <v/>
      </c>
      <c r="AB1647" s="40" t="str">
        <f aca="false">IF($F1647="","",$F1647&amp;"#"&amp;COUNTIF($F$4:$F1647,$F1647))</f>
        <v/>
      </c>
      <c r="AC1647" s="40" t="str">
        <f aca="false">IF($B1647="","",IF(AND(OR(CETAK!$J$10="",$F1647=CETAK!$J$10),OR(CETAK!$J$11="",$G1647=CETAK!$J$11),OR(CETAK!$J$12="",$P1647=CETAK!$J$12),OR(CETAK!$J$13="",$N1647=CETAK!$J$13),OR(CETAK!$J$14="",$T1647=CETAK!$J$14)),MAX($AC$3:AC1646)+1,""))</f>
        <v/>
      </c>
      <c r="AD1647" s="40" t="str">
        <f aca="false">IF($B1647="","",IF(AND(OR(ABSENSI!$H$10="",$F1647=ABSENSI!$H$10),OR(ABSENSI!$H$11="",$G1647=ABSENSI!$H$11),OR(ABSENSI!$H$12="",$P1647=ABSENSI!$H$12)),MAX($AD$3:AD1646)+1,""))</f>
        <v/>
      </c>
      <c r="AE1647" s="40" t="str">
        <f aca="false">IF($B1647="","",IF(AND(OR(KARTU!$K$6="",$F1647=KARTU!$K$6),OR(KARTU!$K$7="",$G1647=KARTU!$K$7),OR(KARTU!$K$8="",$P1647=KARTU!$K$8)),MAX($AE$3:AE1646)+1,""))</f>
        <v/>
      </c>
    </row>
    <row r="1648" customFormat="false" ht="15" hidden="false" customHeight="false" outlineLevel="0" collapsed="false">
      <c r="A1648" s="35" t="str">
        <f aca="false">IF($B1648="","",COUNTA($B$4:$B1648))</f>
        <v/>
      </c>
      <c r="B1648" s="36"/>
      <c r="C1648" s="37"/>
      <c r="D1648" s="37"/>
      <c r="E1648" s="38"/>
      <c r="F1648" s="36"/>
      <c r="G1648" s="39"/>
      <c r="H1648" s="39"/>
      <c r="I1648" s="36"/>
      <c r="J1648" s="36"/>
      <c r="K1648" s="36"/>
      <c r="L1648" s="36"/>
      <c r="M1648" s="40" t="str">
        <f aca="false">IF($F1648="","",$F1648&amp;IF($G1648="",""," - RT "&amp;$G1648&amp;IF($H1648="","","/"&amp;$H1648)))</f>
        <v/>
      </c>
      <c r="N1648" s="36"/>
      <c r="O1648" s="37"/>
      <c r="P1648" s="39"/>
      <c r="Q1648" s="41"/>
      <c r="R1648" s="35" t="str">
        <f aca="true">IF(OR($B1648="",$Q1648=""),"",DATEDIF($Q1648,TODAY(),"Y"))</f>
        <v/>
      </c>
      <c r="S1648" s="40" t="str">
        <f aca="false">IF($R1648="","",INDEX(usia_label,MATCH($R1648,usia_min,1)))</f>
        <v/>
      </c>
      <c r="T1648" s="36"/>
      <c r="U1648" s="41"/>
      <c r="V1648" s="36"/>
      <c r="W1648" s="36"/>
      <c r="X1648" s="40" t="str">
        <f aca="false">IF($M1648="","",$M1648&amp;"#"&amp;COUNTIF($M$4:$M1648,$M1648))</f>
        <v/>
      </c>
      <c r="Y1648" s="40" t="str">
        <f aca="false">IF($B1648="","",IF($C1648="","NIK kosong",IF(LEN($C1648)&lt;&gt;16,"NIK bukan 16 digit",IF(COUNTIF($C$4:$C$2003,$C1648&amp;"*")&gt;1,"NIK ganda",IF(AND($D1648&lt;&gt;"",LEN($D1648)&lt;&gt;16),"No. KK bukan 16 digit",IF(AND($F1648="",$I1648=""),"Alamat kosong",IF($N1648="","Jabatan kosong",IF($O1648="","No. HP kosong",IF(AND($R1648&lt;&gt;"",$R1648&lt;17),"Usia di bawah 17","")))))))))</f>
        <v/>
      </c>
      <c r="Z1648" s="40" t="str">
        <f aca="false">IF($B1648="","",IF(AND(OR(CARI!$C$5="",ISNUMBER(SEARCH(CARI!$C$5,$B1648&amp;" "&amp;$C1648&amp;" "&amp;$D1648&amp;" "&amp;$O1648&amp;" "&amp;$I1648&amp;" "&amp;$F1648&amp;" "&amp;$J1648&amp;" "&amp;$K1648&amp;" "&amp;$L1648&amp;" "&amp;$V1648))),OR(CARI!$C$6="",$F1648=CARI!$C$6),OR(CARI!$C$7="",$G1648=CARI!$C$7),OR(CARI!$C$8="",$T1648=CARI!$C$8)),MAX($Z$3:Z1647)+1,""))</f>
        <v/>
      </c>
      <c r="AA1648" s="40" t="str">
        <f aca="false">IF($Y1648="","",MAX($AA$3:AA1647)+1)</f>
        <v/>
      </c>
      <c r="AB1648" s="40" t="str">
        <f aca="false">IF($F1648="","",$F1648&amp;"#"&amp;COUNTIF($F$4:$F1648,$F1648))</f>
        <v/>
      </c>
      <c r="AC1648" s="40" t="str">
        <f aca="false">IF($B1648="","",IF(AND(OR(CETAK!$J$10="",$F1648=CETAK!$J$10),OR(CETAK!$J$11="",$G1648=CETAK!$J$11),OR(CETAK!$J$12="",$P1648=CETAK!$J$12),OR(CETAK!$J$13="",$N1648=CETAK!$J$13),OR(CETAK!$J$14="",$T1648=CETAK!$J$14)),MAX($AC$3:AC1647)+1,""))</f>
        <v/>
      </c>
      <c r="AD1648" s="40" t="str">
        <f aca="false">IF($B1648="","",IF(AND(OR(ABSENSI!$H$10="",$F1648=ABSENSI!$H$10),OR(ABSENSI!$H$11="",$G1648=ABSENSI!$H$11),OR(ABSENSI!$H$12="",$P1648=ABSENSI!$H$12)),MAX($AD$3:AD1647)+1,""))</f>
        <v/>
      </c>
      <c r="AE1648" s="40" t="str">
        <f aca="false">IF($B1648="","",IF(AND(OR(KARTU!$K$6="",$F1648=KARTU!$K$6),OR(KARTU!$K$7="",$G1648=KARTU!$K$7),OR(KARTU!$K$8="",$P1648=KARTU!$K$8)),MAX($AE$3:AE1647)+1,""))</f>
        <v/>
      </c>
    </row>
    <row r="1649" customFormat="false" ht="15" hidden="false" customHeight="false" outlineLevel="0" collapsed="false">
      <c r="A1649" s="35" t="str">
        <f aca="false">IF($B1649="","",COUNTA($B$4:$B1649))</f>
        <v/>
      </c>
      <c r="B1649" s="36"/>
      <c r="C1649" s="37"/>
      <c r="D1649" s="37"/>
      <c r="E1649" s="38"/>
      <c r="F1649" s="36"/>
      <c r="G1649" s="39"/>
      <c r="H1649" s="39"/>
      <c r="I1649" s="36"/>
      <c r="J1649" s="36"/>
      <c r="K1649" s="36"/>
      <c r="L1649" s="36"/>
      <c r="M1649" s="40" t="str">
        <f aca="false">IF($F1649="","",$F1649&amp;IF($G1649="",""," - RT "&amp;$G1649&amp;IF($H1649="","","/"&amp;$H1649)))</f>
        <v/>
      </c>
      <c r="N1649" s="36"/>
      <c r="O1649" s="37"/>
      <c r="P1649" s="39"/>
      <c r="Q1649" s="41"/>
      <c r="R1649" s="35" t="str">
        <f aca="true">IF(OR($B1649="",$Q1649=""),"",DATEDIF($Q1649,TODAY(),"Y"))</f>
        <v/>
      </c>
      <c r="S1649" s="40" t="str">
        <f aca="false">IF($R1649="","",INDEX(usia_label,MATCH($R1649,usia_min,1)))</f>
        <v/>
      </c>
      <c r="T1649" s="36"/>
      <c r="U1649" s="41"/>
      <c r="V1649" s="36"/>
      <c r="W1649" s="36"/>
      <c r="X1649" s="40" t="str">
        <f aca="false">IF($M1649="","",$M1649&amp;"#"&amp;COUNTIF($M$4:$M1649,$M1649))</f>
        <v/>
      </c>
      <c r="Y1649" s="40" t="str">
        <f aca="false">IF($B1649="","",IF($C1649="","NIK kosong",IF(LEN($C1649)&lt;&gt;16,"NIK bukan 16 digit",IF(COUNTIF($C$4:$C$2003,$C1649&amp;"*")&gt;1,"NIK ganda",IF(AND($D1649&lt;&gt;"",LEN($D1649)&lt;&gt;16),"No. KK bukan 16 digit",IF(AND($F1649="",$I1649=""),"Alamat kosong",IF($N1649="","Jabatan kosong",IF($O1649="","No. HP kosong",IF(AND($R1649&lt;&gt;"",$R1649&lt;17),"Usia di bawah 17","")))))))))</f>
        <v/>
      </c>
      <c r="Z1649" s="40" t="str">
        <f aca="false">IF($B1649="","",IF(AND(OR(CARI!$C$5="",ISNUMBER(SEARCH(CARI!$C$5,$B1649&amp;" "&amp;$C1649&amp;" "&amp;$D1649&amp;" "&amp;$O1649&amp;" "&amp;$I1649&amp;" "&amp;$F1649&amp;" "&amp;$J1649&amp;" "&amp;$K1649&amp;" "&amp;$L1649&amp;" "&amp;$V1649))),OR(CARI!$C$6="",$F1649=CARI!$C$6),OR(CARI!$C$7="",$G1649=CARI!$C$7),OR(CARI!$C$8="",$T1649=CARI!$C$8)),MAX($Z$3:Z1648)+1,""))</f>
        <v/>
      </c>
      <c r="AA1649" s="40" t="str">
        <f aca="false">IF($Y1649="","",MAX($AA$3:AA1648)+1)</f>
        <v/>
      </c>
      <c r="AB1649" s="40" t="str">
        <f aca="false">IF($F1649="","",$F1649&amp;"#"&amp;COUNTIF($F$4:$F1649,$F1649))</f>
        <v/>
      </c>
      <c r="AC1649" s="40" t="str">
        <f aca="false">IF($B1649="","",IF(AND(OR(CETAK!$J$10="",$F1649=CETAK!$J$10),OR(CETAK!$J$11="",$G1649=CETAK!$J$11),OR(CETAK!$J$12="",$P1649=CETAK!$J$12),OR(CETAK!$J$13="",$N1649=CETAK!$J$13),OR(CETAK!$J$14="",$T1649=CETAK!$J$14)),MAX($AC$3:AC1648)+1,""))</f>
        <v/>
      </c>
      <c r="AD1649" s="40" t="str">
        <f aca="false">IF($B1649="","",IF(AND(OR(ABSENSI!$H$10="",$F1649=ABSENSI!$H$10),OR(ABSENSI!$H$11="",$G1649=ABSENSI!$H$11),OR(ABSENSI!$H$12="",$P1649=ABSENSI!$H$12)),MAX($AD$3:AD1648)+1,""))</f>
        <v/>
      </c>
      <c r="AE1649" s="40" t="str">
        <f aca="false">IF($B1649="","",IF(AND(OR(KARTU!$K$6="",$F1649=KARTU!$K$6),OR(KARTU!$K$7="",$G1649=KARTU!$K$7),OR(KARTU!$K$8="",$P1649=KARTU!$K$8)),MAX($AE$3:AE1648)+1,""))</f>
        <v/>
      </c>
    </row>
    <row r="1650" customFormat="false" ht="15" hidden="false" customHeight="false" outlineLevel="0" collapsed="false">
      <c r="A1650" s="35" t="str">
        <f aca="false">IF($B1650="","",COUNTA($B$4:$B1650))</f>
        <v/>
      </c>
      <c r="B1650" s="36"/>
      <c r="C1650" s="37"/>
      <c r="D1650" s="37"/>
      <c r="E1650" s="38"/>
      <c r="F1650" s="36"/>
      <c r="G1650" s="39"/>
      <c r="H1650" s="39"/>
      <c r="I1650" s="36"/>
      <c r="J1650" s="36"/>
      <c r="K1650" s="36"/>
      <c r="L1650" s="36"/>
      <c r="M1650" s="40" t="str">
        <f aca="false">IF($F1650="","",$F1650&amp;IF($G1650="",""," - RT "&amp;$G1650&amp;IF($H1650="","","/"&amp;$H1650)))</f>
        <v/>
      </c>
      <c r="N1650" s="36"/>
      <c r="O1650" s="37"/>
      <c r="P1650" s="39"/>
      <c r="Q1650" s="41"/>
      <c r="R1650" s="35" t="str">
        <f aca="true">IF(OR($B1650="",$Q1650=""),"",DATEDIF($Q1650,TODAY(),"Y"))</f>
        <v/>
      </c>
      <c r="S1650" s="40" t="str">
        <f aca="false">IF($R1650="","",INDEX(usia_label,MATCH($R1650,usia_min,1)))</f>
        <v/>
      </c>
      <c r="T1650" s="36"/>
      <c r="U1650" s="41"/>
      <c r="V1650" s="36"/>
      <c r="W1650" s="36"/>
      <c r="X1650" s="40" t="str">
        <f aca="false">IF($M1650="","",$M1650&amp;"#"&amp;COUNTIF($M$4:$M1650,$M1650))</f>
        <v/>
      </c>
      <c r="Y1650" s="40" t="str">
        <f aca="false">IF($B1650="","",IF($C1650="","NIK kosong",IF(LEN($C1650)&lt;&gt;16,"NIK bukan 16 digit",IF(COUNTIF($C$4:$C$2003,$C1650&amp;"*")&gt;1,"NIK ganda",IF(AND($D1650&lt;&gt;"",LEN($D1650)&lt;&gt;16),"No. KK bukan 16 digit",IF(AND($F1650="",$I1650=""),"Alamat kosong",IF($N1650="","Jabatan kosong",IF($O1650="","No. HP kosong",IF(AND($R1650&lt;&gt;"",$R1650&lt;17),"Usia di bawah 17","")))))))))</f>
        <v/>
      </c>
      <c r="Z1650" s="40" t="str">
        <f aca="false">IF($B1650="","",IF(AND(OR(CARI!$C$5="",ISNUMBER(SEARCH(CARI!$C$5,$B1650&amp;" "&amp;$C1650&amp;" "&amp;$D1650&amp;" "&amp;$O1650&amp;" "&amp;$I1650&amp;" "&amp;$F1650&amp;" "&amp;$J1650&amp;" "&amp;$K1650&amp;" "&amp;$L1650&amp;" "&amp;$V1650))),OR(CARI!$C$6="",$F1650=CARI!$C$6),OR(CARI!$C$7="",$G1650=CARI!$C$7),OR(CARI!$C$8="",$T1650=CARI!$C$8)),MAX($Z$3:Z1649)+1,""))</f>
        <v/>
      </c>
      <c r="AA1650" s="40" t="str">
        <f aca="false">IF($Y1650="","",MAX($AA$3:AA1649)+1)</f>
        <v/>
      </c>
      <c r="AB1650" s="40" t="str">
        <f aca="false">IF($F1650="","",$F1650&amp;"#"&amp;COUNTIF($F$4:$F1650,$F1650))</f>
        <v/>
      </c>
      <c r="AC1650" s="40" t="str">
        <f aca="false">IF($B1650="","",IF(AND(OR(CETAK!$J$10="",$F1650=CETAK!$J$10),OR(CETAK!$J$11="",$G1650=CETAK!$J$11),OR(CETAK!$J$12="",$P1650=CETAK!$J$12),OR(CETAK!$J$13="",$N1650=CETAK!$J$13),OR(CETAK!$J$14="",$T1650=CETAK!$J$14)),MAX($AC$3:AC1649)+1,""))</f>
        <v/>
      </c>
      <c r="AD1650" s="40" t="str">
        <f aca="false">IF($B1650="","",IF(AND(OR(ABSENSI!$H$10="",$F1650=ABSENSI!$H$10),OR(ABSENSI!$H$11="",$G1650=ABSENSI!$H$11),OR(ABSENSI!$H$12="",$P1650=ABSENSI!$H$12)),MAX($AD$3:AD1649)+1,""))</f>
        <v/>
      </c>
      <c r="AE1650" s="40" t="str">
        <f aca="false">IF($B1650="","",IF(AND(OR(KARTU!$K$6="",$F1650=KARTU!$K$6),OR(KARTU!$K$7="",$G1650=KARTU!$K$7),OR(KARTU!$K$8="",$P1650=KARTU!$K$8)),MAX($AE$3:AE1649)+1,""))</f>
        <v/>
      </c>
    </row>
    <row r="1651" customFormat="false" ht="15" hidden="false" customHeight="false" outlineLevel="0" collapsed="false">
      <c r="A1651" s="35" t="str">
        <f aca="false">IF($B1651="","",COUNTA($B$4:$B1651))</f>
        <v/>
      </c>
      <c r="B1651" s="36"/>
      <c r="C1651" s="37"/>
      <c r="D1651" s="37"/>
      <c r="E1651" s="38"/>
      <c r="F1651" s="36"/>
      <c r="G1651" s="39"/>
      <c r="H1651" s="39"/>
      <c r="I1651" s="36"/>
      <c r="J1651" s="36"/>
      <c r="K1651" s="36"/>
      <c r="L1651" s="36"/>
      <c r="M1651" s="40" t="str">
        <f aca="false">IF($F1651="","",$F1651&amp;IF($G1651="",""," - RT "&amp;$G1651&amp;IF($H1651="","","/"&amp;$H1651)))</f>
        <v/>
      </c>
      <c r="N1651" s="36"/>
      <c r="O1651" s="37"/>
      <c r="P1651" s="39"/>
      <c r="Q1651" s="41"/>
      <c r="R1651" s="35" t="str">
        <f aca="true">IF(OR($B1651="",$Q1651=""),"",DATEDIF($Q1651,TODAY(),"Y"))</f>
        <v/>
      </c>
      <c r="S1651" s="40" t="str">
        <f aca="false">IF($R1651="","",INDEX(usia_label,MATCH($R1651,usia_min,1)))</f>
        <v/>
      </c>
      <c r="T1651" s="36"/>
      <c r="U1651" s="41"/>
      <c r="V1651" s="36"/>
      <c r="W1651" s="36"/>
      <c r="X1651" s="40" t="str">
        <f aca="false">IF($M1651="","",$M1651&amp;"#"&amp;COUNTIF($M$4:$M1651,$M1651))</f>
        <v/>
      </c>
      <c r="Y1651" s="40" t="str">
        <f aca="false">IF($B1651="","",IF($C1651="","NIK kosong",IF(LEN($C1651)&lt;&gt;16,"NIK bukan 16 digit",IF(COUNTIF($C$4:$C$2003,$C1651&amp;"*")&gt;1,"NIK ganda",IF(AND($D1651&lt;&gt;"",LEN($D1651)&lt;&gt;16),"No. KK bukan 16 digit",IF(AND($F1651="",$I1651=""),"Alamat kosong",IF($N1651="","Jabatan kosong",IF($O1651="","No. HP kosong",IF(AND($R1651&lt;&gt;"",$R1651&lt;17),"Usia di bawah 17","")))))))))</f>
        <v/>
      </c>
      <c r="Z1651" s="40" t="str">
        <f aca="false">IF($B1651="","",IF(AND(OR(CARI!$C$5="",ISNUMBER(SEARCH(CARI!$C$5,$B1651&amp;" "&amp;$C1651&amp;" "&amp;$D1651&amp;" "&amp;$O1651&amp;" "&amp;$I1651&amp;" "&amp;$F1651&amp;" "&amp;$J1651&amp;" "&amp;$K1651&amp;" "&amp;$L1651&amp;" "&amp;$V1651))),OR(CARI!$C$6="",$F1651=CARI!$C$6),OR(CARI!$C$7="",$G1651=CARI!$C$7),OR(CARI!$C$8="",$T1651=CARI!$C$8)),MAX($Z$3:Z1650)+1,""))</f>
        <v/>
      </c>
      <c r="AA1651" s="40" t="str">
        <f aca="false">IF($Y1651="","",MAX($AA$3:AA1650)+1)</f>
        <v/>
      </c>
      <c r="AB1651" s="40" t="str">
        <f aca="false">IF($F1651="","",$F1651&amp;"#"&amp;COUNTIF($F$4:$F1651,$F1651))</f>
        <v/>
      </c>
      <c r="AC1651" s="40" t="str">
        <f aca="false">IF($B1651="","",IF(AND(OR(CETAK!$J$10="",$F1651=CETAK!$J$10),OR(CETAK!$J$11="",$G1651=CETAK!$J$11),OR(CETAK!$J$12="",$P1651=CETAK!$J$12),OR(CETAK!$J$13="",$N1651=CETAK!$J$13),OR(CETAK!$J$14="",$T1651=CETAK!$J$14)),MAX($AC$3:AC1650)+1,""))</f>
        <v/>
      </c>
      <c r="AD1651" s="40" t="str">
        <f aca="false">IF($B1651="","",IF(AND(OR(ABSENSI!$H$10="",$F1651=ABSENSI!$H$10),OR(ABSENSI!$H$11="",$G1651=ABSENSI!$H$11),OR(ABSENSI!$H$12="",$P1651=ABSENSI!$H$12)),MAX($AD$3:AD1650)+1,""))</f>
        <v/>
      </c>
      <c r="AE1651" s="40" t="str">
        <f aca="false">IF($B1651="","",IF(AND(OR(KARTU!$K$6="",$F1651=KARTU!$K$6),OR(KARTU!$K$7="",$G1651=KARTU!$K$7),OR(KARTU!$K$8="",$P1651=KARTU!$K$8)),MAX($AE$3:AE1650)+1,""))</f>
        <v/>
      </c>
    </row>
    <row r="1652" customFormat="false" ht="15" hidden="false" customHeight="false" outlineLevel="0" collapsed="false">
      <c r="A1652" s="35" t="str">
        <f aca="false">IF($B1652="","",COUNTA($B$4:$B1652))</f>
        <v/>
      </c>
      <c r="B1652" s="36"/>
      <c r="C1652" s="37"/>
      <c r="D1652" s="37"/>
      <c r="E1652" s="38"/>
      <c r="F1652" s="36"/>
      <c r="G1652" s="39"/>
      <c r="H1652" s="39"/>
      <c r="I1652" s="36"/>
      <c r="J1652" s="36"/>
      <c r="K1652" s="36"/>
      <c r="L1652" s="36"/>
      <c r="M1652" s="40" t="str">
        <f aca="false">IF($F1652="","",$F1652&amp;IF($G1652="",""," - RT "&amp;$G1652&amp;IF($H1652="","","/"&amp;$H1652)))</f>
        <v/>
      </c>
      <c r="N1652" s="36"/>
      <c r="O1652" s="37"/>
      <c r="P1652" s="39"/>
      <c r="Q1652" s="41"/>
      <c r="R1652" s="35" t="str">
        <f aca="true">IF(OR($B1652="",$Q1652=""),"",DATEDIF($Q1652,TODAY(),"Y"))</f>
        <v/>
      </c>
      <c r="S1652" s="40" t="str">
        <f aca="false">IF($R1652="","",INDEX(usia_label,MATCH($R1652,usia_min,1)))</f>
        <v/>
      </c>
      <c r="T1652" s="36"/>
      <c r="U1652" s="41"/>
      <c r="V1652" s="36"/>
      <c r="W1652" s="36"/>
      <c r="X1652" s="40" t="str">
        <f aca="false">IF($M1652="","",$M1652&amp;"#"&amp;COUNTIF($M$4:$M1652,$M1652))</f>
        <v/>
      </c>
      <c r="Y1652" s="40" t="str">
        <f aca="false">IF($B1652="","",IF($C1652="","NIK kosong",IF(LEN($C1652)&lt;&gt;16,"NIK bukan 16 digit",IF(COUNTIF($C$4:$C$2003,$C1652&amp;"*")&gt;1,"NIK ganda",IF(AND($D1652&lt;&gt;"",LEN($D1652)&lt;&gt;16),"No. KK bukan 16 digit",IF(AND($F1652="",$I1652=""),"Alamat kosong",IF($N1652="","Jabatan kosong",IF($O1652="","No. HP kosong",IF(AND($R1652&lt;&gt;"",$R1652&lt;17),"Usia di bawah 17","")))))))))</f>
        <v/>
      </c>
      <c r="Z1652" s="40" t="str">
        <f aca="false">IF($B1652="","",IF(AND(OR(CARI!$C$5="",ISNUMBER(SEARCH(CARI!$C$5,$B1652&amp;" "&amp;$C1652&amp;" "&amp;$D1652&amp;" "&amp;$O1652&amp;" "&amp;$I1652&amp;" "&amp;$F1652&amp;" "&amp;$J1652&amp;" "&amp;$K1652&amp;" "&amp;$L1652&amp;" "&amp;$V1652))),OR(CARI!$C$6="",$F1652=CARI!$C$6),OR(CARI!$C$7="",$G1652=CARI!$C$7),OR(CARI!$C$8="",$T1652=CARI!$C$8)),MAX($Z$3:Z1651)+1,""))</f>
        <v/>
      </c>
      <c r="AA1652" s="40" t="str">
        <f aca="false">IF($Y1652="","",MAX($AA$3:AA1651)+1)</f>
        <v/>
      </c>
      <c r="AB1652" s="40" t="str">
        <f aca="false">IF($F1652="","",$F1652&amp;"#"&amp;COUNTIF($F$4:$F1652,$F1652))</f>
        <v/>
      </c>
      <c r="AC1652" s="40" t="str">
        <f aca="false">IF($B1652="","",IF(AND(OR(CETAK!$J$10="",$F1652=CETAK!$J$10),OR(CETAK!$J$11="",$G1652=CETAK!$J$11),OR(CETAK!$J$12="",$P1652=CETAK!$J$12),OR(CETAK!$J$13="",$N1652=CETAK!$J$13),OR(CETAK!$J$14="",$T1652=CETAK!$J$14)),MAX($AC$3:AC1651)+1,""))</f>
        <v/>
      </c>
      <c r="AD1652" s="40" t="str">
        <f aca="false">IF($B1652="","",IF(AND(OR(ABSENSI!$H$10="",$F1652=ABSENSI!$H$10),OR(ABSENSI!$H$11="",$G1652=ABSENSI!$H$11),OR(ABSENSI!$H$12="",$P1652=ABSENSI!$H$12)),MAX($AD$3:AD1651)+1,""))</f>
        <v/>
      </c>
      <c r="AE1652" s="40" t="str">
        <f aca="false">IF($B1652="","",IF(AND(OR(KARTU!$K$6="",$F1652=KARTU!$K$6),OR(KARTU!$K$7="",$G1652=KARTU!$K$7),OR(KARTU!$K$8="",$P1652=KARTU!$K$8)),MAX($AE$3:AE1651)+1,""))</f>
        <v/>
      </c>
    </row>
    <row r="1653" customFormat="false" ht="15" hidden="false" customHeight="false" outlineLevel="0" collapsed="false">
      <c r="A1653" s="35" t="str">
        <f aca="false">IF($B1653="","",COUNTA($B$4:$B1653))</f>
        <v/>
      </c>
      <c r="B1653" s="36"/>
      <c r="C1653" s="37"/>
      <c r="D1653" s="37"/>
      <c r="E1653" s="38"/>
      <c r="F1653" s="36"/>
      <c r="G1653" s="39"/>
      <c r="H1653" s="39"/>
      <c r="I1653" s="36"/>
      <c r="J1653" s="36"/>
      <c r="K1653" s="36"/>
      <c r="L1653" s="36"/>
      <c r="M1653" s="40" t="str">
        <f aca="false">IF($F1653="","",$F1653&amp;IF($G1653="",""," - RT "&amp;$G1653&amp;IF($H1653="","","/"&amp;$H1653)))</f>
        <v/>
      </c>
      <c r="N1653" s="36"/>
      <c r="O1653" s="37"/>
      <c r="P1653" s="39"/>
      <c r="Q1653" s="41"/>
      <c r="R1653" s="35" t="str">
        <f aca="true">IF(OR($B1653="",$Q1653=""),"",DATEDIF($Q1653,TODAY(),"Y"))</f>
        <v/>
      </c>
      <c r="S1653" s="40" t="str">
        <f aca="false">IF($R1653="","",INDEX(usia_label,MATCH($R1653,usia_min,1)))</f>
        <v/>
      </c>
      <c r="T1653" s="36"/>
      <c r="U1653" s="41"/>
      <c r="V1653" s="36"/>
      <c r="W1653" s="36"/>
      <c r="X1653" s="40" t="str">
        <f aca="false">IF($M1653="","",$M1653&amp;"#"&amp;COUNTIF($M$4:$M1653,$M1653))</f>
        <v/>
      </c>
      <c r="Y1653" s="40" t="str">
        <f aca="false">IF($B1653="","",IF($C1653="","NIK kosong",IF(LEN($C1653)&lt;&gt;16,"NIK bukan 16 digit",IF(COUNTIF($C$4:$C$2003,$C1653&amp;"*")&gt;1,"NIK ganda",IF(AND($D1653&lt;&gt;"",LEN($D1653)&lt;&gt;16),"No. KK bukan 16 digit",IF(AND($F1653="",$I1653=""),"Alamat kosong",IF($N1653="","Jabatan kosong",IF($O1653="","No. HP kosong",IF(AND($R1653&lt;&gt;"",$R1653&lt;17),"Usia di bawah 17","")))))))))</f>
        <v/>
      </c>
      <c r="Z1653" s="40" t="str">
        <f aca="false">IF($B1653="","",IF(AND(OR(CARI!$C$5="",ISNUMBER(SEARCH(CARI!$C$5,$B1653&amp;" "&amp;$C1653&amp;" "&amp;$D1653&amp;" "&amp;$O1653&amp;" "&amp;$I1653&amp;" "&amp;$F1653&amp;" "&amp;$J1653&amp;" "&amp;$K1653&amp;" "&amp;$L1653&amp;" "&amp;$V1653))),OR(CARI!$C$6="",$F1653=CARI!$C$6),OR(CARI!$C$7="",$G1653=CARI!$C$7),OR(CARI!$C$8="",$T1653=CARI!$C$8)),MAX($Z$3:Z1652)+1,""))</f>
        <v/>
      </c>
      <c r="AA1653" s="40" t="str">
        <f aca="false">IF($Y1653="","",MAX($AA$3:AA1652)+1)</f>
        <v/>
      </c>
      <c r="AB1653" s="40" t="str">
        <f aca="false">IF($F1653="","",$F1653&amp;"#"&amp;COUNTIF($F$4:$F1653,$F1653))</f>
        <v/>
      </c>
      <c r="AC1653" s="40" t="str">
        <f aca="false">IF($B1653="","",IF(AND(OR(CETAK!$J$10="",$F1653=CETAK!$J$10),OR(CETAK!$J$11="",$G1653=CETAK!$J$11),OR(CETAK!$J$12="",$P1653=CETAK!$J$12),OR(CETAK!$J$13="",$N1653=CETAK!$J$13),OR(CETAK!$J$14="",$T1653=CETAK!$J$14)),MAX($AC$3:AC1652)+1,""))</f>
        <v/>
      </c>
      <c r="AD1653" s="40" t="str">
        <f aca="false">IF($B1653="","",IF(AND(OR(ABSENSI!$H$10="",$F1653=ABSENSI!$H$10),OR(ABSENSI!$H$11="",$G1653=ABSENSI!$H$11),OR(ABSENSI!$H$12="",$P1653=ABSENSI!$H$12)),MAX($AD$3:AD1652)+1,""))</f>
        <v/>
      </c>
      <c r="AE1653" s="40" t="str">
        <f aca="false">IF($B1653="","",IF(AND(OR(KARTU!$K$6="",$F1653=KARTU!$K$6),OR(KARTU!$K$7="",$G1653=KARTU!$K$7),OR(KARTU!$K$8="",$P1653=KARTU!$K$8)),MAX($AE$3:AE1652)+1,""))</f>
        <v/>
      </c>
    </row>
    <row r="1654" customFormat="false" ht="15" hidden="false" customHeight="false" outlineLevel="0" collapsed="false">
      <c r="A1654" s="35" t="str">
        <f aca="false">IF($B1654="","",COUNTA($B$4:$B1654))</f>
        <v/>
      </c>
      <c r="B1654" s="36"/>
      <c r="C1654" s="37"/>
      <c r="D1654" s="37"/>
      <c r="E1654" s="38"/>
      <c r="F1654" s="36"/>
      <c r="G1654" s="39"/>
      <c r="H1654" s="39"/>
      <c r="I1654" s="36"/>
      <c r="J1654" s="36"/>
      <c r="K1654" s="36"/>
      <c r="L1654" s="36"/>
      <c r="M1654" s="40" t="str">
        <f aca="false">IF($F1654="","",$F1654&amp;IF($G1654="",""," - RT "&amp;$G1654&amp;IF($H1654="","","/"&amp;$H1654)))</f>
        <v/>
      </c>
      <c r="N1654" s="36"/>
      <c r="O1654" s="37"/>
      <c r="P1654" s="39"/>
      <c r="Q1654" s="41"/>
      <c r="R1654" s="35" t="str">
        <f aca="true">IF(OR($B1654="",$Q1654=""),"",DATEDIF($Q1654,TODAY(),"Y"))</f>
        <v/>
      </c>
      <c r="S1654" s="40" t="str">
        <f aca="false">IF($R1654="","",INDEX(usia_label,MATCH($R1654,usia_min,1)))</f>
        <v/>
      </c>
      <c r="T1654" s="36"/>
      <c r="U1654" s="41"/>
      <c r="V1654" s="36"/>
      <c r="W1654" s="36"/>
      <c r="X1654" s="40" t="str">
        <f aca="false">IF($M1654="","",$M1654&amp;"#"&amp;COUNTIF($M$4:$M1654,$M1654))</f>
        <v/>
      </c>
      <c r="Y1654" s="40" t="str">
        <f aca="false">IF($B1654="","",IF($C1654="","NIK kosong",IF(LEN($C1654)&lt;&gt;16,"NIK bukan 16 digit",IF(COUNTIF($C$4:$C$2003,$C1654&amp;"*")&gt;1,"NIK ganda",IF(AND($D1654&lt;&gt;"",LEN($D1654)&lt;&gt;16),"No. KK bukan 16 digit",IF(AND($F1654="",$I1654=""),"Alamat kosong",IF($N1654="","Jabatan kosong",IF($O1654="","No. HP kosong",IF(AND($R1654&lt;&gt;"",$R1654&lt;17),"Usia di bawah 17","")))))))))</f>
        <v/>
      </c>
      <c r="Z1654" s="40" t="str">
        <f aca="false">IF($B1654="","",IF(AND(OR(CARI!$C$5="",ISNUMBER(SEARCH(CARI!$C$5,$B1654&amp;" "&amp;$C1654&amp;" "&amp;$D1654&amp;" "&amp;$O1654&amp;" "&amp;$I1654&amp;" "&amp;$F1654&amp;" "&amp;$J1654&amp;" "&amp;$K1654&amp;" "&amp;$L1654&amp;" "&amp;$V1654))),OR(CARI!$C$6="",$F1654=CARI!$C$6),OR(CARI!$C$7="",$G1654=CARI!$C$7),OR(CARI!$C$8="",$T1654=CARI!$C$8)),MAX($Z$3:Z1653)+1,""))</f>
        <v/>
      </c>
      <c r="AA1654" s="40" t="str">
        <f aca="false">IF($Y1654="","",MAX($AA$3:AA1653)+1)</f>
        <v/>
      </c>
      <c r="AB1654" s="40" t="str">
        <f aca="false">IF($F1654="","",$F1654&amp;"#"&amp;COUNTIF($F$4:$F1654,$F1654))</f>
        <v/>
      </c>
      <c r="AC1654" s="40" t="str">
        <f aca="false">IF($B1654="","",IF(AND(OR(CETAK!$J$10="",$F1654=CETAK!$J$10),OR(CETAK!$J$11="",$G1654=CETAK!$J$11),OR(CETAK!$J$12="",$P1654=CETAK!$J$12),OR(CETAK!$J$13="",$N1654=CETAK!$J$13),OR(CETAK!$J$14="",$T1654=CETAK!$J$14)),MAX($AC$3:AC1653)+1,""))</f>
        <v/>
      </c>
      <c r="AD1654" s="40" t="str">
        <f aca="false">IF($B1654="","",IF(AND(OR(ABSENSI!$H$10="",$F1654=ABSENSI!$H$10),OR(ABSENSI!$H$11="",$G1654=ABSENSI!$H$11),OR(ABSENSI!$H$12="",$P1654=ABSENSI!$H$12)),MAX($AD$3:AD1653)+1,""))</f>
        <v/>
      </c>
      <c r="AE1654" s="40" t="str">
        <f aca="false">IF($B1654="","",IF(AND(OR(KARTU!$K$6="",$F1654=KARTU!$K$6),OR(KARTU!$K$7="",$G1654=KARTU!$K$7),OR(KARTU!$K$8="",$P1654=KARTU!$K$8)),MAX($AE$3:AE1653)+1,""))</f>
        <v/>
      </c>
    </row>
    <row r="1655" customFormat="false" ht="15" hidden="false" customHeight="false" outlineLevel="0" collapsed="false">
      <c r="A1655" s="35" t="str">
        <f aca="false">IF($B1655="","",COUNTA($B$4:$B1655))</f>
        <v/>
      </c>
      <c r="B1655" s="36"/>
      <c r="C1655" s="37"/>
      <c r="D1655" s="37"/>
      <c r="E1655" s="38"/>
      <c r="F1655" s="36"/>
      <c r="G1655" s="39"/>
      <c r="H1655" s="39"/>
      <c r="I1655" s="36"/>
      <c r="J1655" s="36"/>
      <c r="K1655" s="36"/>
      <c r="L1655" s="36"/>
      <c r="M1655" s="40" t="str">
        <f aca="false">IF($F1655="","",$F1655&amp;IF($G1655="",""," - RT "&amp;$G1655&amp;IF($H1655="","","/"&amp;$H1655)))</f>
        <v/>
      </c>
      <c r="N1655" s="36"/>
      <c r="O1655" s="37"/>
      <c r="P1655" s="39"/>
      <c r="Q1655" s="41"/>
      <c r="R1655" s="35" t="str">
        <f aca="true">IF(OR($B1655="",$Q1655=""),"",DATEDIF($Q1655,TODAY(),"Y"))</f>
        <v/>
      </c>
      <c r="S1655" s="40" t="str">
        <f aca="false">IF($R1655="","",INDEX(usia_label,MATCH($R1655,usia_min,1)))</f>
        <v/>
      </c>
      <c r="T1655" s="36"/>
      <c r="U1655" s="41"/>
      <c r="V1655" s="36"/>
      <c r="W1655" s="36"/>
      <c r="X1655" s="40" t="str">
        <f aca="false">IF($M1655="","",$M1655&amp;"#"&amp;COUNTIF($M$4:$M1655,$M1655))</f>
        <v/>
      </c>
      <c r="Y1655" s="40" t="str">
        <f aca="false">IF($B1655="","",IF($C1655="","NIK kosong",IF(LEN($C1655)&lt;&gt;16,"NIK bukan 16 digit",IF(COUNTIF($C$4:$C$2003,$C1655&amp;"*")&gt;1,"NIK ganda",IF(AND($D1655&lt;&gt;"",LEN($D1655)&lt;&gt;16),"No. KK bukan 16 digit",IF(AND($F1655="",$I1655=""),"Alamat kosong",IF($N1655="","Jabatan kosong",IF($O1655="","No. HP kosong",IF(AND($R1655&lt;&gt;"",$R1655&lt;17),"Usia di bawah 17","")))))))))</f>
        <v/>
      </c>
      <c r="Z1655" s="40" t="str">
        <f aca="false">IF($B1655="","",IF(AND(OR(CARI!$C$5="",ISNUMBER(SEARCH(CARI!$C$5,$B1655&amp;" "&amp;$C1655&amp;" "&amp;$D1655&amp;" "&amp;$O1655&amp;" "&amp;$I1655&amp;" "&amp;$F1655&amp;" "&amp;$J1655&amp;" "&amp;$K1655&amp;" "&amp;$L1655&amp;" "&amp;$V1655))),OR(CARI!$C$6="",$F1655=CARI!$C$6),OR(CARI!$C$7="",$G1655=CARI!$C$7),OR(CARI!$C$8="",$T1655=CARI!$C$8)),MAX($Z$3:Z1654)+1,""))</f>
        <v/>
      </c>
      <c r="AA1655" s="40" t="str">
        <f aca="false">IF($Y1655="","",MAX($AA$3:AA1654)+1)</f>
        <v/>
      </c>
      <c r="AB1655" s="40" t="str">
        <f aca="false">IF($F1655="","",$F1655&amp;"#"&amp;COUNTIF($F$4:$F1655,$F1655))</f>
        <v/>
      </c>
      <c r="AC1655" s="40" t="str">
        <f aca="false">IF($B1655="","",IF(AND(OR(CETAK!$J$10="",$F1655=CETAK!$J$10),OR(CETAK!$J$11="",$G1655=CETAK!$J$11),OR(CETAK!$J$12="",$P1655=CETAK!$J$12),OR(CETAK!$J$13="",$N1655=CETAK!$J$13),OR(CETAK!$J$14="",$T1655=CETAK!$J$14)),MAX($AC$3:AC1654)+1,""))</f>
        <v/>
      </c>
      <c r="AD1655" s="40" t="str">
        <f aca="false">IF($B1655="","",IF(AND(OR(ABSENSI!$H$10="",$F1655=ABSENSI!$H$10),OR(ABSENSI!$H$11="",$G1655=ABSENSI!$H$11),OR(ABSENSI!$H$12="",$P1655=ABSENSI!$H$12)),MAX($AD$3:AD1654)+1,""))</f>
        <v/>
      </c>
      <c r="AE1655" s="40" t="str">
        <f aca="false">IF($B1655="","",IF(AND(OR(KARTU!$K$6="",$F1655=KARTU!$K$6),OR(KARTU!$K$7="",$G1655=KARTU!$K$7),OR(KARTU!$K$8="",$P1655=KARTU!$K$8)),MAX($AE$3:AE1654)+1,""))</f>
        <v/>
      </c>
    </row>
    <row r="1656" customFormat="false" ht="15" hidden="false" customHeight="false" outlineLevel="0" collapsed="false">
      <c r="A1656" s="35" t="str">
        <f aca="false">IF($B1656="","",COUNTA($B$4:$B1656))</f>
        <v/>
      </c>
      <c r="B1656" s="36"/>
      <c r="C1656" s="37"/>
      <c r="D1656" s="37"/>
      <c r="E1656" s="38"/>
      <c r="F1656" s="36"/>
      <c r="G1656" s="39"/>
      <c r="H1656" s="39"/>
      <c r="I1656" s="36"/>
      <c r="J1656" s="36"/>
      <c r="K1656" s="36"/>
      <c r="L1656" s="36"/>
      <c r="M1656" s="40" t="str">
        <f aca="false">IF($F1656="","",$F1656&amp;IF($G1656="",""," - RT "&amp;$G1656&amp;IF($H1656="","","/"&amp;$H1656)))</f>
        <v/>
      </c>
      <c r="N1656" s="36"/>
      <c r="O1656" s="37"/>
      <c r="P1656" s="39"/>
      <c r="Q1656" s="41"/>
      <c r="R1656" s="35" t="str">
        <f aca="true">IF(OR($B1656="",$Q1656=""),"",DATEDIF($Q1656,TODAY(),"Y"))</f>
        <v/>
      </c>
      <c r="S1656" s="40" t="str">
        <f aca="false">IF($R1656="","",INDEX(usia_label,MATCH($R1656,usia_min,1)))</f>
        <v/>
      </c>
      <c r="T1656" s="36"/>
      <c r="U1656" s="41"/>
      <c r="V1656" s="36"/>
      <c r="W1656" s="36"/>
      <c r="X1656" s="40" t="str">
        <f aca="false">IF($M1656="","",$M1656&amp;"#"&amp;COUNTIF($M$4:$M1656,$M1656))</f>
        <v/>
      </c>
      <c r="Y1656" s="40" t="str">
        <f aca="false">IF($B1656="","",IF($C1656="","NIK kosong",IF(LEN($C1656)&lt;&gt;16,"NIK bukan 16 digit",IF(COUNTIF($C$4:$C$2003,$C1656&amp;"*")&gt;1,"NIK ganda",IF(AND($D1656&lt;&gt;"",LEN($D1656)&lt;&gt;16),"No. KK bukan 16 digit",IF(AND($F1656="",$I1656=""),"Alamat kosong",IF($N1656="","Jabatan kosong",IF($O1656="","No. HP kosong",IF(AND($R1656&lt;&gt;"",$R1656&lt;17),"Usia di bawah 17","")))))))))</f>
        <v/>
      </c>
      <c r="Z1656" s="40" t="str">
        <f aca="false">IF($B1656="","",IF(AND(OR(CARI!$C$5="",ISNUMBER(SEARCH(CARI!$C$5,$B1656&amp;" "&amp;$C1656&amp;" "&amp;$D1656&amp;" "&amp;$O1656&amp;" "&amp;$I1656&amp;" "&amp;$F1656&amp;" "&amp;$J1656&amp;" "&amp;$K1656&amp;" "&amp;$L1656&amp;" "&amp;$V1656))),OR(CARI!$C$6="",$F1656=CARI!$C$6),OR(CARI!$C$7="",$G1656=CARI!$C$7),OR(CARI!$C$8="",$T1656=CARI!$C$8)),MAX($Z$3:Z1655)+1,""))</f>
        <v/>
      </c>
      <c r="AA1656" s="40" t="str">
        <f aca="false">IF($Y1656="","",MAX($AA$3:AA1655)+1)</f>
        <v/>
      </c>
      <c r="AB1656" s="40" t="str">
        <f aca="false">IF($F1656="","",$F1656&amp;"#"&amp;COUNTIF($F$4:$F1656,$F1656))</f>
        <v/>
      </c>
      <c r="AC1656" s="40" t="str">
        <f aca="false">IF($B1656="","",IF(AND(OR(CETAK!$J$10="",$F1656=CETAK!$J$10),OR(CETAK!$J$11="",$G1656=CETAK!$J$11),OR(CETAK!$J$12="",$P1656=CETAK!$J$12),OR(CETAK!$J$13="",$N1656=CETAK!$J$13),OR(CETAK!$J$14="",$T1656=CETAK!$J$14)),MAX($AC$3:AC1655)+1,""))</f>
        <v/>
      </c>
      <c r="AD1656" s="40" t="str">
        <f aca="false">IF($B1656="","",IF(AND(OR(ABSENSI!$H$10="",$F1656=ABSENSI!$H$10),OR(ABSENSI!$H$11="",$G1656=ABSENSI!$H$11),OR(ABSENSI!$H$12="",$P1656=ABSENSI!$H$12)),MAX($AD$3:AD1655)+1,""))</f>
        <v/>
      </c>
      <c r="AE1656" s="40" t="str">
        <f aca="false">IF($B1656="","",IF(AND(OR(KARTU!$K$6="",$F1656=KARTU!$K$6),OR(KARTU!$K$7="",$G1656=KARTU!$K$7),OR(KARTU!$K$8="",$P1656=KARTU!$K$8)),MAX($AE$3:AE1655)+1,""))</f>
        <v/>
      </c>
    </row>
    <row r="1657" customFormat="false" ht="15" hidden="false" customHeight="false" outlineLevel="0" collapsed="false">
      <c r="A1657" s="35" t="str">
        <f aca="false">IF($B1657="","",COUNTA($B$4:$B1657))</f>
        <v/>
      </c>
      <c r="B1657" s="36"/>
      <c r="C1657" s="37"/>
      <c r="D1657" s="37"/>
      <c r="E1657" s="38"/>
      <c r="F1657" s="36"/>
      <c r="G1657" s="39"/>
      <c r="H1657" s="39"/>
      <c r="I1657" s="36"/>
      <c r="J1657" s="36"/>
      <c r="K1657" s="36"/>
      <c r="L1657" s="36"/>
      <c r="M1657" s="40" t="str">
        <f aca="false">IF($F1657="","",$F1657&amp;IF($G1657="",""," - RT "&amp;$G1657&amp;IF($H1657="","","/"&amp;$H1657)))</f>
        <v/>
      </c>
      <c r="N1657" s="36"/>
      <c r="O1657" s="37"/>
      <c r="P1657" s="39"/>
      <c r="Q1657" s="41"/>
      <c r="R1657" s="35" t="str">
        <f aca="true">IF(OR($B1657="",$Q1657=""),"",DATEDIF($Q1657,TODAY(),"Y"))</f>
        <v/>
      </c>
      <c r="S1657" s="40" t="str">
        <f aca="false">IF($R1657="","",INDEX(usia_label,MATCH($R1657,usia_min,1)))</f>
        <v/>
      </c>
      <c r="T1657" s="36"/>
      <c r="U1657" s="41"/>
      <c r="V1657" s="36"/>
      <c r="W1657" s="36"/>
      <c r="X1657" s="40" t="str">
        <f aca="false">IF($M1657="","",$M1657&amp;"#"&amp;COUNTIF($M$4:$M1657,$M1657))</f>
        <v/>
      </c>
      <c r="Y1657" s="40" t="str">
        <f aca="false">IF($B1657="","",IF($C1657="","NIK kosong",IF(LEN($C1657)&lt;&gt;16,"NIK bukan 16 digit",IF(COUNTIF($C$4:$C$2003,$C1657&amp;"*")&gt;1,"NIK ganda",IF(AND($D1657&lt;&gt;"",LEN($D1657)&lt;&gt;16),"No. KK bukan 16 digit",IF(AND($F1657="",$I1657=""),"Alamat kosong",IF($N1657="","Jabatan kosong",IF($O1657="","No. HP kosong",IF(AND($R1657&lt;&gt;"",$R1657&lt;17),"Usia di bawah 17","")))))))))</f>
        <v/>
      </c>
      <c r="Z1657" s="40" t="str">
        <f aca="false">IF($B1657="","",IF(AND(OR(CARI!$C$5="",ISNUMBER(SEARCH(CARI!$C$5,$B1657&amp;" "&amp;$C1657&amp;" "&amp;$D1657&amp;" "&amp;$O1657&amp;" "&amp;$I1657&amp;" "&amp;$F1657&amp;" "&amp;$J1657&amp;" "&amp;$K1657&amp;" "&amp;$L1657&amp;" "&amp;$V1657))),OR(CARI!$C$6="",$F1657=CARI!$C$6),OR(CARI!$C$7="",$G1657=CARI!$C$7),OR(CARI!$C$8="",$T1657=CARI!$C$8)),MAX($Z$3:Z1656)+1,""))</f>
        <v/>
      </c>
      <c r="AA1657" s="40" t="str">
        <f aca="false">IF($Y1657="","",MAX($AA$3:AA1656)+1)</f>
        <v/>
      </c>
      <c r="AB1657" s="40" t="str">
        <f aca="false">IF($F1657="","",$F1657&amp;"#"&amp;COUNTIF($F$4:$F1657,$F1657))</f>
        <v/>
      </c>
      <c r="AC1657" s="40" t="str">
        <f aca="false">IF($B1657="","",IF(AND(OR(CETAK!$J$10="",$F1657=CETAK!$J$10),OR(CETAK!$J$11="",$G1657=CETAK!$J$11),OR(CETAK!$J$12="",$P1657=CETAK!$J$12),OR(CETAK!$J$13="",$N1657=CETAK!$J$13),OR(CETAK!$J$14="",$T1657=CETAK!$J$14)),MAX($AC$3:AC1656)+1,""))</f>
        <v/>
      </c>
      <c r="AD1657" s="40" t="str">
        <f aca="false">IF($B1657="","",IF(AND(OR(ABSENSI!$H$10="",$F1657=ABSENSI!$H$10),OR(ABSENSI!$H$11="",$G1657=ABSENSI!$H$11),OR(ABSENSI!$H$12="",$P1657=ABSENSI!$H$12)),MAX($AD$3:AD1656)+1,""))</f>
        <v/>
      </c>
      <c r="AE1657" s="40" t="str">
        <f aca="false">IF($B1657="","",IF(AND(OR(KARTU!$K$6="",$F1657=KARTU!$K$6),OR(KARTU!$K$7="",$G1657=KARTU!$K$7),OR(KARTU!$K$8="",$P1657=KARTU!$K$8)),MAX($AE$3:AE1656)+1,""))</f>
        <v/>
      </c>
    </row>
    <row r="1658" customFormat="false" ht="15" hidden="false" customHeight="false" outlineLevel="0" collapsed="false">
      <c r="A1658" s="35" t="str">
        <f aca="false">IF($B1658="","",COUNTA($B$4:$B1658))</f>
        <v/>
      </c>
      <c r="B1658" s="36"/>
      <c r="C1658" s="37"/>
      <c r="D1658" s="37"/>
      <c r="E1658" s="38"/>
      <c r="F1658" s="36"/>
      <c r="G1658" s="39"/>
      <c r="H1658" s="39"/>
      <c r="I1658" s="36"/>
      <c r="J1658" s="36"/>
      <c r="K1658" s="36"/>
      <c r="L1658" s="36"/>
      <c r="M1658" s="40" t="str">
        <f aca="false">IF($F1658="","",$F1658&amp;IF($G1658="",""," - RT "&amp;$G1658&amp;IF($H1658="","","/"&amp;$H1658)))</f>
        <v/>
      </c>
      <c r="N1658" s="36"/>
      <c r="O1658" s="37"/>
      <c r="P1658" s="39"/>
      <c r="Q1658" s="41"/>
      <c r="R1658" s="35" t="str">
        <f aca="true">IF(OR($B1658="",$Q1658=""),"",DATEDIF($Q1658,TODAY(),"Y"))</f>
        <v/>
      </c>
      <c r="S1658" s="40" t="str">
        <f aca="false">IF($R1658="","",INDEX(usia_label,MATCH($R1658,usia_min,1)))</f>
        <v/>
      </c>
      <c r="T1658" s="36"/>
      <c r="U1658" s="41"/>
      <c r="V1658" s="36"/>
      <c r="W1658" s="36"/>
      <c r="X1658" s="40" t="str">
        <f aca="false">IF($M1658="","",$M1658&amp;"#"&amp;COUNTIF($M$4:$M1658,$M1658))</f>
        <v/>
      </c>
      <c r="Y1658" s="40" t="str">
        <f aca="false">IF($B1658="","",IF($C1658="","NIK kosong",IF(LEN($C1658)&lt;&gt;16,"NIK bukan 16 digit",IF(COUNTIF($C$4:$C$2003,$C1658&amp;"*")&gt;1,"NIK ganda",IF(AND($D1658&lt;&gt;"",LEN($D1658)&lt;&gt;16),"No. KK bukan 16 digit",IF(AND($F1658="",$I1658=""),"Alamat kosong",IF($N1658="","Jabatan kosong",IF($O1658="","No. HP kosong",IF(AND($R1658&lt;&gt;"",$R1658&lt;17),"Usia di bawah 17","")))))))))</f>
        <v/>
      </c>
      <c r="Z1658" s="40" t="str">
        <f aca="false">IF($B1658="","",IF(AND(OR(CARI!$C$5="",ISNUMBER(SEARCH(CARI!$C$5,$B1658&amp;" "&amp;$C1658&amp;" "&amp;$D1658&amp;" "&amp;$O1658&amp;" "&amp;$I1658&amp;" "&amp;$F1658&amp;" "&amp;$J1658&amp;" "&amp;$K1658&amp;" "&amp;$L1658&amp;" "&amp;$V1658))),OR(CARI!$C$6="",$F1658=CARI!$C$6),OR(CARI!$C$7="",$G1658=CARI!$C$7),OR(CARI!$C$8="",$T1658=CARI!$C$8)),MAX($Z$3:Z1657)+1,""))</f>
        <v/>
      </c>
      <c r="AA1658" s="40" t="str">
        <f aca="false">IF($Y1658="","",MAX($AA$3:AA1657)+1)</f>
        <v/>
      </c>
      <c r="AB1658" s="40" t="str">
        <f aca="false">IF($F1658="","",$F1658&amp;"#"&amp;COUNTIF($F$4:$F1658,$F1658))</f>
        <v/>
      </c>
      <c r="AC1658" s="40" t="str">
        <f aca="false">IF($B1658="","",IF(AND(OR(CETAK!$J$10="",$F1658=CETAK!$J$10),OR(CETAK!$J$11="",$G1658=CETAK!$J$11),OR(CETAK!$J$12="",$P1658=CETAK!$J$12),OR(CETAK!$J$13="",$N1658=CETAK!$J$13),OR(CETAK!$J$14="",$T1658=CETAK!$J$14)),MAX($AC$3:AC1657)+1,""))</f>
        <v/>
      </c>
      <c r="AD1658" s="40" t="str">
        <f aca="false">IF($B1658="","",IF(AND(OR(ABSENSI!$H$10="",$F1658=ABSENSI!$H$10),OR(ABSENSI!$H$11="",$G1658=ABSENSI!$H$11),OR(ABSENSI!$H$12="",$P1658=ABSENSI!$H$12)),MAX($AD$3:AD1657)+1,""))</f>
        <v/>
      </c>
      <c r="AE1658" s="40" t="str">
        <f aca="false">IF($B1658="","",IF(AND(OR(KARTU!$K$6="",$F1658=KARTU!$K$6),OR(KARTU!$K$7="",$G1658=KARTU!$K$7),OR(KARTU!$K$8="",$P1658=KARTU!$K$8)),MAX($AE$3:AE1657)+1,""))</f>
        <v/>
      </c>
    </row>
    <row r="1659" customFormat="false" ht="15" hidden="false" customHeight="false" outlineLevel="0" collapsed="false">
      <c r="A1659" s="35" t="str">
        <f aca="false">IF($B1659="","",COUNTA($B$4:$B1659))</f>
        <v/>
      </c>
      <c r="B1659" s="36"/>
      <c r="C1659" s="37"/>
      <c r="D1659" s="37"/>
      <c r="E1659" s="38"/>
      <c r="F1659" s="36"/>
      <c r="G1659" s="39"/>
      <c r="H1659" s="39"/>
      <c r="I1659" s="36"/>
      <c r="J1659" s="36"/>
      <c r="K1659" s="36"/>
      <c r="L1659" s="36"/>
      <c r="M1659" s="40" t="str">
        <f aca="false">IF($F1659="","",$F1659&amp;IF($G1659="",""," - RT "&amp;$G1659&amp;IF($H1659="","","/"&amp;$H1659)))</f>
        <v/>
      </c>
      <c r="N1659" s="36"/>
      <c r="O1659" s="37"/>
      <c r="P1659" s="39"/>
      <c r="Q1659" s="41"/>
      <c r="R1659" s="35" t="str">
        <f aca="true">IF(OR($B1659="",$Q1659=""),"",DATEDIF($Q1659,TODAY(),"Y"))</f>
        <v/>
      </c>
      <c r="S1659" s="40" t="str">
        <f aca="false">IF($R1659="","",INDEX(usia_label,MATCH($R1659,usia_min,1)))</f>
        <v/>
      </c>
      <c r="T1659" s="36"/>
      <c r="U1659" s="41"/>
      <c r="V1659" s="36"/>
      <c r="W1659" s="36"/>
      <c r="X1659" s="40" t="str">
        <f aca="false">IF($M1659="","",$M1659&amp;"#"&amp;COUNTIF($M$4:$M1659,$M1659))</f>
        <v/>
      </c>
      <c r="Y1659" s="40" t="str">
        <f aca="false">IF($B1659="","",IF($C1659="","NIK kosong",IF(LEN($C1659)&lt;&gt;16,"NIK bukan 16 digit",IF(COUNTIF($C$4:$C$2003,$C1659&amp;"*")&gt;1,"NIK ganda",IF(AND($D1659&lt;&gt;"",LEN($D1659)&lt;&gt;16),"No. KK bukan 16 digit",IF(AND($F1659="",$I1659=""),"Alamat kosong",IF($N1659="","Jabatan kosong",IF($O1659="","No. HP kosong",IF(AND($R1659&lt;&gt;"",$R1659&lt;17),"Usia di bawah 17","")))))))))</f>
        <v/>
      </c>
      <c r="Z1659" s="40" t="str">
        <f aca="false">IF($B1659="","",IF(AND(OR(CARI!$C$5="",ISNUMBER(SEARCH(CARI!$C$5,$B1659&amp;" "&amp;$C1659&amp;" "&amp;$D1659&amp;" "&amp;$O1659&amp;" "&amp;$I1659&amp;" "&amp;$F1659&amp;" "&amp;$J1659&amp;" "&amp;$K1659&amp;" "&amp;$L1659&amp;" "&amp;$V1659))),OR(CARI!$C$6="",$F1659=CARI!$C$6),OR(CARI!$C$7="",$G1659=CARI!$C$7),OR(CARI!$C$8="",$T1659=CARI!$C$8)),MAX($Z$3:Z1658)+1,""))</f>
        <v/>
      </c>
      <c r="AA1659" s="40" t="str">
        <f aca="false">IF($Y1659="","",MAX($AA$3:AA1658)+1)</f>
        <v/>
      </c>
      <c r="AB1659" s="40" t="str">
        <f aca="false">IF($F1659="","",$F1659&amp;"#"&amp;COUNTIF($F$4:$F1659,$F1659))</f>
        <v/>
      </c>
      <c r="AC1659" s="40" t="str">
        <f aca="false">IF($B1659="","",IF(AND(OR(CETAK!$J$10="",$F1659=CETAK!$J$10),OR(CETAK!$J$11="",$G1659=CETAK!$J$11),OR(CETAK!$J$12="",$P1659=CETAK!$J$12),OR(CETAK!$J$13="",$N1659=CETAK!$J$13),OR(CETAK!$J$14="",$T1659=CETAK!$J$14)),MAX($AC$3:AC1658)+1,""))</f>
        <v/>
      </c>
      <c r="AD1659" s="40" t="str">
        <f aca="false">IF($B1659="","",IF(AND(OR(ABSENSI!$H$10="",$F1659=ABSENSI!$H$10),OR(ABSENSI!$H$11="",$G1659=ABSENSI!$H$11),OR(ABSENSI!$H$12="",$P1659=ABSENSI!$H$12)),MAX($AD$3:AD1658)+1,""))</f>
        <v/>
      </c>
      <c r="AE1659" s="40" t="str">
        <f aca="false">IF($B1659="","",IF(AND(OR(KARTU!$K$6="",$F1659=KARTU!$K$6),OR(KARTU!$K$7="",$G1659=KARTU!$K$7),OR(KARTU!$K$8="",$P1659=KARTU!$K$8)),MAX($AE$3:AE1658)+1,""))</f>
        <v/>
      </c>
    </row>
    <row r="1660" customFormat="false" ht="15" hidden="false" customHeight="false" outlineLevel="0" collapsed="false">
      <c r="A1660" s="35" t="str">
        <f aca="false">IF($B1660="","",COUNTA($B$4:$B1660))</f>
        <v/>
      </c>
      <c r="B1660" s="36"/>
      <c r="C1660" s="37"/>
      <c r="D1660" s="37"/>
      <c r="E1660" s="38"/>
      <c r="F1660" s="36"/>
      <c r="G1660" s="39"/>
      <c r="H1660" s="39"/>
      <c r="I1660" s="36"/>
      <c r="J1660" s="36"/>
      <c r="K1660" s="36"/>
      <c r="L1660" s="36"/>
      <c r="M1660" s="40" t="str">
        <f aca="false">IF($F1660="","",$F1660&amp;IF($G1660="",""," - RT "&amp;$G1660&amp;IF($H1660="","","/"&amp;$H1660)))</f>
        <v/>
      </c>
      <c r="N1660" s="36"/>
      <c r="O1660" s="37"/>
      <c r="P1660" s="39"/>
      <c r="Q1660" s="41"/>
      <c r="R1660" s="35" t="str">
        <f aca="true">IF(OR($B1660="",$Q1660=""),"",DATEDIF($Q1660,TODAY(),"Y"))</f>
        <v/>
      </c>
      <c r="S1660" s="40" t="str">
        <f aca="false">IF($R1660="","",INDEX(usia_label,MATCH($R1660,usia_min,1)))</f>
        <v/>
      </c>
      <c r="T1660" s="36"/>
      <c r="U1660" s="41"/>
      <c r="V1660" s="36"/>
      <c r="W1660" s="36"/>
      <c r="X1660" s="40" t="str">
        <f aca="false">IF($M1660="","",$M1660&amp;"#"&amp;COUNTIF($M$4:$M1660,$M1660))</f>
        <v/>
      </c>
      <c r="Y1660" s="40" t="str">
        <f aca="false">IF($B1660="","",IF($C1660="","NIK kosong",IF(LEN($C1660)&lt;&gt;16,"NIK bukan 16 digit",IF(COUNTIF($C$4:$C$2003,$C1660&amp;"*")&gt;1,"NIK ganda",IF(AND($D1660&lt;&gt;"",LEN($D1660)&lt;&gt;16),"No. KK bukan 16 digit",IF(AND($F1660="",$I1660=""),"Alamat kosong",IF($N1660="","Jabatan kosong",IF($O1660="","No. HP kosong",IF(AND($R1660&lt;&gt;"",$R1660&lt;17),"Usia di bawah 17","")))))))))</f>
        <v/>
      </c>
      <c r="Z1660" s="40" t="str">
        <f aca="false">IF($B1660="","",IF(AND(OR(CARI!$C$5="",ISNUMBER(SEARCH(CARI!$C$5,$B1660&amp;" "&amp;$C1660&amp;" "&amp;$D1660&amp;" "&amp;$O1660&amp;" "&amp;$I1660&amp;" "&amp;$F1660&amp;" "&amp;$J1660&amp;" "&amp;$K1660&amp;" "&amp;$L1660&amp;" "&amp;$V1660))),OR(CARI!$C$6="",$F1660=CARI!$C$6),OR(CARI!$C$7="",$G1660=CARI!$C$7),OR(CARI!$C$8="",$T1660=CARI!$C$8)),MAX($Z$3:Z1659)+1,""))</f>
        <v/>
      </c>
      <c r="AA1660" s="40" t="str">
        <f aca="false">IF($Y1660="","",MAX($AA$3:AA1659)+1)</f>
        <v/>
      </c>
      <c r="AB1660" s="40" t="str">
        <f aca="false">IF($F1660="","",$F1660&amp;"#"&amp;COUNTIF($F$4:$F1660,$F1660))</f>
        <v/>
      </c>
      <c r="AC1660" s="40" t="str">
        <f aca="false">IF($B1660="","",IF(AND(OR(CETAK!$J$10="",$F1660=CETAK!$J$10),OR(CETAK!$J$11="",$G1660=CETAK!$J$11),OR(CETAK!$J$12="",$P1660=CETAK!$J$12),OR(CETAK!$J$13="",$N1660=CETAK!$J$13),OR(CETAK!$J$14="",$T1660=CETAK!$J$14)),MAX($AC$3:AC1659)+1,""))</f>
        <v/>
      </c>
      <c r="AD1660" s="40" t="str">
        <f aca="false">IF($B1660="","",IF(AND(OR(ABSENSI!$H$10="",$F1660=ABSENSI!$H$10),OR(ABSENSI!$H$11="",$G1660=ABSENSI!$H$11),OR(ABSENSI!$H$12="",$P1660=ABSENSI!$H$12)),MAX($AD$3:AD1659)+1,""))</f>
        <v/>
      </c>
      <c r="AE1660" s="40" t="str">
        <f aca="false">IF($B1660="","",IF(AND(OR(KARTU!$K$6="",$F1660=KARTU!$K$6),OR(KARTU!$K$7="",$G1660=KARTU!$K$7),OR(KARTU!$K$8="",$P1660=KARTU!$K$8)),MAX($AE$3:AE1659)+1,""))</f>
        <v/>
      </c>
    </row>
    <row r="1661" customFormat="false" ht="15" hidden="false" customHeight="false" outlineLevel="0" collapsed="false">
      <c r="A1661" s="35" t="str">
        <f aca="false">IF($B1661="","",COUNTA($B$4:$B1661))</f>
        <v/>
      </c>
      <c r="B1661" s="36"/>
      <c r="C1661" s="37"/>
      <c r="D1661" s="37"/>
      <c r="E1661" s="38"/>
      <c r="F1661" s="36"/>
      <c r="G1661" s="39"/>
      <c r="H1661" s="39"/>
      <c r="I1661" s="36"/>
      <c r="J1661" s="36"/>
      <c r="K1661" s="36"/>
      <c r="L1661" s="36"/>
      <c r="M1661" s="40" t="str">
        <f aca="false">IF($F1661="","",$F1661&amp;IF($G1661="",""," - RT "&amp;$G1661&amp;IF($H1661="","","/"&amp;$H1661)))</f>
        <v/>
      </c>
      <c r="N1661" s="36"/>
      <c r="O1661" s="37"/>
      <c r="P1661" s="39"/>
      <c r="Q1661" s="41"/>
      <c r="R1661" s="35" t="str">
        <f aca="true">IF(OR($B1661="",$Q1661=""),"",DATEDIF($Q1661,TODAY(),"Y"))</f>
        <v/>
      </c>
      <c r="S1661" s="40" t="str">
        <f aca="false">IF($R1661="","",INDEX(usia_label,MATCH($R1661,usia_min,1)))</f>
        <v/>
      </c>
      <c r="T1661" s="36"/>
      <c r="U1661" s="41"/>
      <c r="V1661" s="36"/>
      <c r="W1661" s="36"/>
      <c r="X1661" s="40" t="str">
        <f aca="false">IF($M1661="","",$M1661&amp;"#"&amp;COUNTIF($M$4:$M1661,$M1661))</f>
        <v/>
      </c>
      <c r="Y1661" s="40" t="str">
        <f aca="false">IF($B1661="","",IF($C1661="","NIK kosong",IF(LEN($C1661)&lt;&gt;16,"NIK bukan 16 digit",IF(COUNTIF($C$4:$C$2003,$C1661&amp;"*")&gt;1,"NIK ganda",IF(AND($D1661&lt;&gt;"",LEN($D1661)&lt;&gt;16),"No. KK bukan 16 digit",IF(AND($F1661="",$I1661=""),"Alamat kosong",IF($N1661="","Jabatan kosong",IF($O1661="","No. HP kosong",IF(AND($R1661&lt;&gt;"",$R1661&lt;17),"Usia di bawah 17","")))))))))</f>
        <v/>
      </c>
      <c r="Z1661" s="40" t="str">
        <f aca="false">IF($B1661="","",IF(AND(OR(CARI!$C$5="",ISNUMBER(SEARCH(CARI!$C$5,$B1661&amp;" "&amp;$C1661&amp;" "&amp;$D1661&amp;" "&amp;$O1661&amp;" "&amp;$I1661&amp;" "&amp;$F1661&amp;" "&amp;$J1661&amp;" "&amp;$K1661&amp;" "&amp;$L1661&amp;" "&amp;$V1661))),OR(CARI!$C$6="",$F1661=CARI!$C$6),OR(CARI!$C$7="",$G1661=CARI!$C$7),OR(CARI!$C$8="",$T1661=CARI!$C$8)),MAX($Z$3:Z1660)+1,""))</f>
        <v/>
      </c>
      <c r="AA1661" s="40" t="str">
        <f aca="false">IF($Y1661="","",MAX($AA$3:AA1660)+1)</f>
        <v/>
      </c>
      <c r="AB1661" s="40" t="str">
        <f aca="false">IF($F1661="","",$F1661&amp;"#"&amp;COUNTIF($F$4:$F1661,$F1661))</f>
        <v/>
      </c>
      <c r="AC1661" s="40" t="str">
        <f aca="false">IF($B1661="","",IF(AND(OR(CETAK!$J$10="",$F1661=CETAK!$J$10),OR(CETAK!$J$11="",$G1661=CETAK!$J$11),OR(CETAK!$J$12="",$P1661=CETAK!$J$12),OR(CETAK!$J$13="",$N1661=CETAK!$J$13),OR(CETAK!$J$14="",$T1661=CETAK!$J$14)),MAX($AC$3:AC1660)+1,""))</f>
        <v/>
      </c>
      <c r="AD1661" s="40" t="str">
        <f aca="false">IF($B1661="","",IF(AND(OR(ABSENSI!$H$10="",$F1661=ABSENSI!$H$10),OR(ABSENSI!$H$11="",$G1661=ABSENSI!$H$11),OR(ABSENSI!$H$12="",$P1661=ABSENSI!$H$12)),MAX($AD$3:AD1660)+1,""))</f>
        <v/>
      </c>
      <c r="AE1661" s="40" t="str">
        <f aca="false">IF($B1661="","",IF(AND(OR(KARTU!$K$6="",$F1661=KARTU!$K$6),OR(KARTU!$K$7="",$G1661=KARTU!$K$7),OR(KARTU!$K$8="",$P1661=KARTU!$K$8)),MAX($AE$3:AE1660)+1,""))</f>
        <v/>
      </c>
    </row>
    <row r="1662" customFormat="false" ht="15" hidden="false" customHeight="false" outlineLevel="0" collapsed="false">
      <c r="A1662" s="35" t="str">
        <f aca="false">IF($B1662="","",COUNTA($B$4:$B1662))</f>
        <v/>
      </c>
      <c r="B1662" s="36"/>
      <c r="C1662" s="37"/>
      <c r="D1662" s="37"/>
      <c r="E1662" s="38"/>
      <c r="F1662" s="36"/>
      <c r="G1662" s="39"/>
      <c r="H1662" s="39"/>
      <c r="I1662" s="36"/>
      <c r="J1662" s="36"/>
      <c r="K1662" s="36"/>
      <c r="L1662" s="36"/>
      <c r="M1662" s="40" t="str">
        <f aca="false">IF($F1662="","",$F1662&amp;IF($G1662="",""," - RT "&amp;$G1662&amp;IF($H1662="","","/"&amp;$H1662)))</f>
        <v/>
      </c>
      <c r="N1662" s="36"/>
      <c r="O1662" s="37"/>
      <c r="P1662" s="39"/>
      <c r="Q1662" s="41"/>
      <c r="R1662" s="35" t="str">
        <f aca="true">IF(OR($B1662="",$Q1662=""),"",DATEDIF($Q1662,TODAY(),"Y"))</f>
        <v/>
      </c>
      <c r="S1662" s="40" t="str">
        <f aca="false">IF($R1662="","",INDEX(usia_label,MATCH($R1662,usia_min,1)))</f>
        <v/>
      </c>
      <c r="T1662" s="36"/>
      <c r="U1662" s="41"/>
      <c r="V1662" s="36"/>
      <c r="W1662" s="36"/>
      <c r="X1662" s="40" t="str">
        <f aca="false">IF($M1662="","",$M1662&amp;"#"&amp;COUNTIF($M$4:$M1662,$M1662))</f>
        <v/>
      </c>
      <c r="Y1662" s="40" t="str">
        <f aca="false">IF($B1662="","",IF($C1662="","NIK kosong",IF(LEN($C1662)&lt;&gt;16,"NIK bukan 16 digit",IF(COUNTIF($C$4:$C$2003,$C1662&amp;"*")&gt;1,"NIK ganda",IF(AND($D1662&lt;&gt;"",LEN($D1662)&lt;&gt;16),"No. KK bukan 16 digit",IF(AND($F1662="",$I1662=""),"Alamat kosong",IF($N1662="","Jabatan kosong",IF($O1662="","No. HP kosong",IF(AND($R1662&lt;&gt;"",$R1662&lt;17),"Usia di bawah 17","")))))))))</f>
        <v/>
      </c>
      <c r="Z1662" s="40" t="str">
        <f aca="false">IF($B1662="","",IF(AND(OR(CARI!$C$5="",ISNUMBER(SEARCH(CARI!$C$5,$B1662&amp;" "&amp;$C1662&amp;" "&amp;$D1662&amp;" "&amp;$O1662&amp;" "&amp;$I1662&amp;" "&amp;$F1662&amp;" "&amp;$J1662&amp;" "&amp;$K1662&amp;" "&amp;$L1662&amp;" "&amp;$V1662))),OR(CARI!$C$6="",$F1662=CARI!$C$6),OR(CARI!$C$7="",$G1662=CARI!$C$7),OR(CARI!$C$8="",$T1662=CARI!$C$8)),MAX($Z$3:Z1661)+1,""))</f>
        <v/>
      </c>
      <c r="AA1662" s="40" t="str">
        <f aca="false">IF($Y1662="","",MAX($AA$3:AA1661)+1)</f>
        <v/>
      </c>
      <c r="AB1662" s="40" t="str">
        <f aca="false">IF($F1662="","",$F1662&amp;"#"&amp;COUNTIF($F$4:$F1662,$F1662))</f>
        <v/>
      </c>
      <c r="AC1662" s="40" t="str">
        <f aca="false">IF($B1662="","",IF(AND(OR(CETAK!$J$10="",$F1662=CETAK!$J$10),OR(CETAK!$J$11="",$G1662=CETAK!$J$11),OR(CETAK!$J$12="",$P1662=CETAK!$J$12),OR(CETAK!$J$13="",$N1662=CETAK!$J$13),OR(CETAK!$J$14="",$T1662=CETAK!$J$14)),MAX($AC$3:AC1661)+1,""))</f>
        <v/>
      </c>
      <c r="AD1662" s="40" t="str">
        <f aca="false">IF($B1662="","",IF(AND(OR(ABSENSI!$H$10="",$F1662=ABSENSI!$H$10),OR(ABSENSI!$H$11="",$G1662=ABSENSI!$H$11),OR(ABSENSI!$H$12="",$P1662=ABSENSI!$H$12)),MAX($AD$3:AD1661)+1,""))</f>
        <v/>
      </c>
      <c r="AE1662" s="40" t="str">
        <f aca="false">IF($B1662="","",IF(AND(OR(KARTU!$K$6="",$F1662=KARTU!$K$6),OR(KARTU!$K$7="",$G1662=KARTU!$K$7),OR(KARTU!$K$8="",$P1662=KARTU!$K$8)),MAX($AE$3:AE1661)+1,""))</f>
        <v/>
      </c>
    </row>
    <row r="1663" customFormat="false" ht="15" hidden="false" customHeight="false" outlineLevel="0" collapsed="false">
      <c r="A1663" s="35" t="str">
        <f aca="false">IF($B1663="","",COUNTA($B$4:$B1663))</f>
        <v/>
      </c>
      <c r="B1663" s="36"/>
      <c r="C1663" s="37"/>
      <c r="D1663" s="37"/>
      <c r="E1663" s="38"/>
      <c r="F1663" s="36"/>
      <c r="G1663" s="39"/>
      <c r="H1663" s="39"/>
      <c r="I1663" s="36"/>
      <c r="J1663" s="36"/>
      <c r="K1663" s="36"/>
      <c r="L1663" s="36"/>
      <c r="M1663" s="40" t="str">
        <f aca="false">IF($F1663="","",$F1663&amp;IF($G1663="",""," - RT "&amp;$G1663&amp;IF($H1663="","","/"&amp;$H1663)))</f>
        <v/>
      </c>
      <c r="N1663" s="36"/>
      <c r="O1663" s="37"/>
      <c r="P1663" s="39"/>
      <c r="Q1663" s="41"/>
      <c r="R1663" s="35" t="str">
        <f aca="true">IF(OR($B1663="",$Q1663=""),"",DATEDIF($Q1663,TODAY(),"Y"))</f>
        <v/>
      </c>
      <c r="S1663" s="40" t="str">
        <f aca="false">IF($R1663="","",INDEX(usia_label,MATCH($R1663,usia_min,1)))</f>
        <v/>
      </c>
      <c r="T1663" s="36"/>
      <c r="U1663" s="41"/>
      <c r="V1663" s="36"/>
      <c r="W1663" s="36"/>
      <c r="X1663" s="40" t="str">
        <f aca="false">IF($M1663="","",$M1663&amp;"#"&amp;COUNTIF($M$4:$M1663,$M1663))</f>
        <v/>
      </c>
      <c r="Y1663" s="40" t="str">
        <f aca="false">IF($B1663="","",IF($C1663="","NIK kosong",IF(LEN($C1663)&lt;&gt;16,"NIK bukan 16 digit",IF(COUNTIF($C$4:$C$2003,$C1663&amp;"*")&gt;1,"NIK ganda",IF(AND($D1663&lt;&gt;"",LEN($D1663)&lt;&gt;16),"No. KK bukan 16 digit",IF(AND($F1663="",$I1663=""),"Alamat kosong",IF($N1663="","Jabatan kosong",IF($O1663="","No. HP kosong",IF(AND($R1663&lt;&gt;"",$R1663&lt;17),"Usia di bawah 17","")))))))))</f>
        <v/>
      </c>
      <c r="Z1663" s="40" t="str">
        <f aca="false">IF($B1663="","",IF(AND(OR(CARI!$C$5="",ISNUMBER(SEARCH(CARI!$C$5,$B1663&amp;" "&amp;$C1663&amp;" "&amp;$D1663&amp;" "&amp;$O1663&amp;" "&amp;$I1663&amp;" "&amp;$F1663&amp;" "&amp;$J1663&amp;" "&amp;$K1663&amp;" "&amp;$L1663&amp;" "&amp;$V1663))),OR(CARI!$C$6="",$F1663=CARI!$C$6),OR(CARI!$C$7="",$G1663=CARI!$C$7),OR(CARI!$C$8="",$T1663=CARI!$C$8)),MAX($Z$3:Z1662)+1,""))</f>
        <v/>
      </c>
      <c r="AA1663" s="40" t="str">
        <f aca="false">IF($Y1663="","",MAX($AA$3:AA1662)+1)</f>
        <v/>
      </c>
      <c r="AB1663" s="40" t="str">
        <f aca="false">IF($F1663="","",$F1663&amp;"#"&amp;COUNTIF($F$4:$F1663,$F1663))</f>
        <v/>
      </c>
      <c r="AC1663" s="40" t="str">
        <f aca="false">IF($B1663="","",IF(AND(OR(CETAK!$J$10="",$F1663=CETAK!$J$10),OR(CETAK!$J$11="",$G1663=CETAK!$J$11),OR(CETAK!$J$12="",$P1663=CETAK!$J$12),OR(CETAK!$J$13="",$N1663=CETAK!$J$13),OR(CETAK!$J$14="",$T1663=CETAK!$J$14)),MAX($AC$3:AC1662)+1,""))</f>
        <v/>
      </c>
      <c r="AD1663" s="40" t="str">
        <f aca="false">IF($B1663="","",IF(AND(OR(ABSENSI!$H$10="",$F1663=ABSENSI!$H$10),OR(ABSENSI!$H$11="",$G1663=ABSENSI!$H$11),OR(ABSENSI!$H$12="",$P1663=ABSENSI!$H$12)),MAX($AD$3:AD1662)+1,""))</f>
        <v/>
      </c>
      <c r="AE1663" s="40" t="str">
        <f aca="false">IF($B1663="","",IF(AND(OR(KARTU!$K$6="",$F1663=KARTU!$K$6),OR(KARTU!$K$7="",$G1663=KARTU!$K$7),OR(KARTU!$K$8="",$P1663=KARTU!$K$8)),MAX($AE$3:AE1662)+1,""))</f>
        <v/>
      </c>
    </row>
    <row r="1664" customFormat="false" ht="15" hidden="false" customHeight="false" outlineLevel="0" collapsed="false">
      <c r="A1664" s="35" t="str">
        <f aca="false">IF($B1664="","",COUNTA($B$4:$B1664))</f>
        <v/>
      </c>
      <c r="B1664" s="36"/>
      <c r="C1664" s="37"/>
      <c r="D1664" s="37"/>
      <c r="E1664" s="38"/>
      <c r="F1664" s="36"/>
      <c r="G1664" s="39"/>
      <c r="H1664" s="39"/>
      <c r="I1664" s="36"/>
      <c r="J1664" s="36"/>
      <c r="K1664" s="36"/>
      <c r="L1664" s="36"/>
      <c r="M1664" s="40" t="str">
        <f aca="false">IF($F1664="","",$F1664&amp;IF($G1664="",""," - RT "&amp;$G1664&amp;IF($H1664="","","/"&amp;$H1664)))</f>
        <v/>
      </c>
      <c r="N1664" s="36"/>
      <c r="O1664" s="37"/>
      <c r="P1664" s="39"/>
      <c r="Q1664" s="41"/>
      <c r="R1664" s="35" t="str">
        <f aca="true">IF(OR($B1664="",$Q1664=""),"",DATEDIF($Q1664,TODAY(),"Y"))</f>
        <v/>
      </c>
      <c r="S1664" s="40" t="str">
        <f aca="false">IF($R1664="","",INDEX(usia_label,MATCH($R1664,usia_min,1)))</f>
        <v/>
      </c>
      <c r="T1664" s="36"/>
      <c r="U1664" s="41"/>
      <c r="V1664" s="36"/>
      <c r="W1664" s="36"/>
      <c r="X1664" s="40" t="str">
        <f aca="false">IF($M1664="","",$M1664&amp;"#"&amp;COUNTIF($M$4:$M1664,$M1664))</f>
        <v/>
      </c>
      <c r="Y1664" s="40" t="str">
        <f aca="false">IF($B1664="","",IF($C1664="","NIK kosong",IF(LEN($C1664)&lt;&gt;16,"NIK bukan 16 digit",IF(COUNTIF($C$4:$C$2003,$C1664&amp;"*")&gt;1,"NIK ganda",IF(AND($D1664&lt;&gt;"",LEN($D1664)&lt;&gt;16),"No. KK bukan 16 digit",IF(AND($F1664="",$I1664=""),"Alamat kosong",IF($N1664="","Jabatan kosong",IF($O1664="","No. HP kosong",IF(AND($R1664&lt;&gt;"",$R1664&lt;17),"Usia di bawah 17","")))))))))</f>
        <v/>
      </c>
      <c r="Z1664" s="40" t="str">
        <f aca="false">IF($B1664="","",IF(AND(OR(CARI!$C$5="",ISNUMBER(SEARCH(CARI!$C$5,$B1664&amp;" "&amp;$C1664&amp;" "&amp;$D1664&amp;" "&amp;$O1664&amp;" "&amp;$I1664&amp;" "&amp;$F1664&amp;" "&amp;$J1664&amp;" "&amp;$K1664&amp;" "&amp;$L1664&amp;" "&amp;$V1664))),OR(CARI!$C$6="",$F1664=CARI!$C$6),OR(CARI!$C$7="",$G1664=CARI!$C$7),OR(CARI!$C$8="",$T1664=CARI!$C$8)),MAX($Z$3:Z1663)+1,""))</f>
        <v/>
      </c>
      <c r="AA1664" s="40" t="str">
        <f aca="false">IF($Y1664="","",MAX($AA$3:AA1663)+1)</f>
        <v/>
      </c>
      <c r="AB1664" s="40" t="str">
        <f aca="false">IF($F1664="","",$F1664&amp;"#"&amp;COUNTIF($F$4:$F1664,$F1664))</f>
        <v/>
      </c>
      <c r="AC1664" s="40" t="str">
        <f aca="false">IF($B1664="","",IF(AND(OR(CETAK!$J$10="",$F1664=CETAK!$J$10),OR(CETAK!$J$11="",$G1664=CETAK!$J$11),OR(CETAK!$J$12="",$P1664=CETAK!$J$12),OR(CETAK!$J$13="",$N1664=CETAK!$J$13),OR(CETAK!$J$14="",$T1664=CETAK!$J$14)),MAX($AC$3:AC1663)+1,""))</f>
        <v/>
      </c>
      <c r="AD1664" s="40" t="str">
        <f aca="false">IF($B1664="","",IF(AND(OR(ABSENSI!$H$10="",$F1664=ABSENSI!$H$10),OR(ABSENSI!$H$11="",$G1664=ABSENSI!$H$11),OR(ABSENSI!$H$12="",$P1664=ABSENSI!$H$12)),MAX($AD$3:AD1663)+1,""))</f>
        <v/>
      </c>
      <c r="AE1664" s="40" t="str">
        <f aca="false">IF($B1664="","",IF(AND(OR(KARTU!$K$6="",$F1664=KARTU!$K$6),OR(KARTU!$K$7="",$G1664=KARTU!$K$7),OR(KARTU!$K$8="",$P1664=KARTU!$K$8)),MAX($AE$3:AE1663)+1,""))</f>
        <v/>
      </c>
    </row>
    <row r="1665" customFormat="false" ht="15" hidden="false" customHeight="false" outlineLevel="0" collapsed="false">
      <c r="A1665" s="35" t="str">
        <f aca="false">IF($B1665="","",COUNTA($B$4:$B1665))</f>
        <v/>
      </c>
      <c r="B1665" s="36"/>
      <c r="C1665" s="37"/>
      <c r="D1665" s="37"/>
      <c r="E1665" s="38"/>
      <c r="F1665" s="36"/>
      <c r="G1665" s="39"/>
      <c r="H1665" s="39"/>
      <c r="I1665" s="36"/>
      <c r="J1665" s="36"/>
      <c r="K1665" s="36"/>
      <c r="L1665" s="36"/>
      <c r="M1665" s="40" t="str">
        <f aca="false">IF($F1665="","",$F1665&amp;IF($G1665="",""," - RT "&amp;$G1665&amp;IF($H1665="","","/"&amp;$H1665)))</f>
        <v/>
      </c>
      <c r="N1665" s="36"/>
      <c r="O1665" s="37"/>
      <c r="P1665" s="39"/>
      <c r="Q1665" s="41"/>
      <c r="R1665" s="35" t="str">
        <f aca="true">IF(OR($B1665="",$Q1665=""),"",DATEDIF($Q1665,TODAY(),"Y"))</f>
        <v/>
      </c>
      <c r="S1665" s="40" t="str">
        <f aca="false">IF($R1665="","",INDEX(usia_label,MATCH($R1665,usia_min,1)))</f>
        <v/>
      </c>
      <c r="T1665" s="36"/>
      <c r="U1665" s="41"/>
      <c r="V1665" s="36"/>
      <c r="W1665" s="36"/>
      <c r="X1665" s="40" t="str">
        <f aca="false">IF($M1665="","",$M1665&amp;"#"&amp;COUNTIF($M$4:$M1665,$M1665))</f>
        <v/>
      </c>
      <c r="Y1665" s="40" t="str">
        <f aca="false">IF($B1665="","",IF($C1665="","NIK kosong",IF(LEN($C1665)&lt;&gt;16,"NIK bukan 16 digit",IF(COUNTIF($C$4:$C$2003,$C1665&amp;"*")&gt;1,"NIK ganda",IF(AND($D1665&lt;&gt;"",LEN($D1665)&lt;&gt;16),"No. KK bukan 16 digit",IF(AND($F1665="",$I1665=""),"Alamat kosong",IF($N1665="","Jabatan kosong",IF($O1665="","No. HP kosong",IF(AND($R1665&lt;&gt;"",$R1665&lt;17),"Usia di bawah 17","")))))))))</f>
        <v/>
      </c>
      <c r="Z1665" s="40" t="str">
        <f aca="false">IF($B1665="","",IF(AND(OR(CARI!$C$5="",ISNUMBER(SEARCH(CARI!$C$5,$B1665&amp;" "&amp;$C1665&amp;" "&amp;$D1665&amp;" "&amp;$O1665&amp;" "&amp;$I1665&amp;" "&amp;$F1665&amp;" "&amp;$J1665&amp;" "&amp;$K1665&amp;" "&amp;$L1665&amp;" "&amp;$V1665))),OR(CARI!$C$6="",$F1665=CARI!$C$6),OR(CARI!$C$7="",$G1665=CARI!$C$7),OR(CARI!$C$8="",$T1665=CARI!$C$8)),MAX($Z$3:Z1664)+1,""))</f>
        <v/>
      </c>
      <c r="AA1665" s="40" t="str">
        <f aca="false">IF($Y1665="","",MAX($AA$3:AA1664)+1)</f>
        <v/>
      </c>
      <c r="AB1665" s="40" t="str">
        <f aca="false">IF($F1665="","",$F1665&amp;"#"&amp;COUNTIF($F$4:$F1665,$F1665))</f>
        <v/>
      </c>
      <c r="AC1665" s="40" t="str">
        <f aca="false">IF($B1665="","",IF(AND(OR(CETAK!$J$10="",$F1665=CETAK!$J$10),OR(CETAK!$J$11="",$G1665=CETAK!$J$11),OR(CETAK!$J$12="",$P1665=CETAK!$J$12),OR(CETAK!$J$13="",$N1665=CETAK!$J$13),OR(CETAK!$J$14="",$T1665=CETAK!$J$14)),MAX($AC$3:AC1664)+1,""))</f>
        <v/>
      </c>
      <c r="AD1665" s="40" t="str">
        <f aca="false">IF($B1665="","",IF(AND(OR(ABSENSI!$H$10="",$F1665=ABSENSI!$H$10),OR(ABSENSI!$H$11="",$G1665=ABSENSI!$H$11),OR(ABSENSI!$H$12="",$P1665=ABSENSI!$H$12)),MAX($AD$3:AD1664)+1,""))</f>
        <v/>
      </c>
      <c r="AE1665" s="40" t="str">
        <f aca="false">IF($B1665="","",IF(AND(OR(KARTU!$K$6="",$F1665=KARTU!$K$6),OR(KARTU!$K$7="",$G1665=KARTU!$K$7),OR(KARTU!$K$8="",$P1665=KARTU!$K$8)),MAX($AE$3:AE1664)+1,""))</f>
        <v/>
      </c>
    </row>
    <row r="1666" customFormat="false" ht="15" hidden="false" customHeight="false" outlineLevel="0" collapsed="false">
      <c r="A1666" s="35" t="str">
        <f aca="false">IF($B1666="","",COUNTA($B$4:$B1666))</f>
        <v/>
      </c>
      <c r="B1666" s="36"/>
      <c r="C1666" s="37"/>
      <c r="D1666" s="37"/>
      <c r="E1666" s="38"/>
      <c r="F1666" s="36"/>
      <c r="G1666" s="39"/>
      <c r="H1666" s="39"/>
      <c r="I1666" s="36"/>
      <c r="J1666" s="36"/>
      <c r="K1666" s="36"/>
      <c r="L1666" s="36"/>
      <c r="M1666" s="40" t="str">
        <f aca="false">IF($F1666="","",$F1666&amp;IF($G1666="",""," - RT "&amp;$G1666&amp;IF($H1666="","","/"&amp;$H1666)))</f>
        <v/>
      </c>
      <c r="N1666" s="36"/>
      <c r="O1666" s="37"/>
      <c r="P1666" s="39"/>
      <c r="Q1666" s="41"/>
      <c r="R1666" s="35" t="str">
        <f aca="true">IF(OR($B1666="",$Q1666=""),"",DATEDIF($Q1666,TODAY(),"Y"))</f>
        <v/>
      </c>
      <c r="S1666" s="40" t="str">
        <f aca="false">IF($R1666="","",INDEX(usia_label,MATCH($R1666,usia_min,1)))</f>
        <v/>
      </c>
      <c r="T1666" s="36"/>
      <c r="U1666" s="41"/>
      <c r="V1666" s="36"/>
      <c r="W1666" s="36"/>
      <c r="X1666" s="40" t="str">
        <f aca="false">IF($M1666="","",$M1666&amp;"#"&amp;COUNTIF($M$4:$M1666,$M1666))</f>
        <v/>
      </c>
      <c r="Y1666" s="40" t="str">
        <f aca="false">IF($B1666="","",IF($C1666="","NIK kosong",IF(LEN($C1666)&lt;&gt;16,"NIK bukan 16 digit",IF(COUNTIF($C$4:$C$2003,$C1666&amp;"*")&gt;1,"NIK ganda",IF(AND($D1666&lt;&gt;"",LEN($D1666)&lt;&gt;16),"No. KK bukan 16 digit",IF(AND($F1666="",$I1666=""),"Alamat kosong",IF($N1666="","Jabatan kosong",IF($O1666="","No. HP kosong",IF(AND($R1666&lt;&gt;"",$R1666&lt;17),"Usia di bawah 17","")))))))))</f>
        <v/>
      </c>
      <c r="Z1666" s="40" t="str">
        <f aca="false">IF($B1666="","",IF(AND(OR(CARI!$C$5="",ISNUMBER(SEARCH(CARI!$C$5,$B1666&amp;" "&amp;$C1666&amp;" "&amp;$D1666&amp;" "&amp;$O1666&amp;" "&amp;$I1666&amp;" "&amp;$F1666&amp;" "&amp;$J1666&amp;" "&amp;$K1666&amp;" "&amp;$L1666&amp;" "&amp;$V1666))),OR(CARI!$C$6="",$F1666=CARI!$C$6),OR(CARI!$C$7="",$G1666=CARI!$C$7),OR(CARI!$C$8="",$T1666=CARI!$C$8)),MAX($Z$3:Z1665)+1,""))</f>
        <v/>
      </c>
      <c r="AA1666" s="40" t="str">
        <f aca="false">IF($Y1666="","",MAX($AA$3:AA1665)+1)</f>
        <v/>
      </c>
      <c r="AB1666" s="40" t="str">
        <f aca="false">IF($F1666="","",$F1666&amp;"#"&amp;COUNTIF($F$4:$F1666,$F1666))</f>
        <v/>
      </c>
      <c r="AC1666" s="40" t="str">
        <f aca="false">IF($B1666="","",IF(AND(OR(CETAK!$J$10="",$F1666=CETAK!$J$10),OR(CETAK!$J$11="",$G1666=CETAK!$J$11),OR(CETAK!$J$12="",$P1666=CETAK!$J$12),OR(CETAK!$J$13="",$N1666=CETAK!$J$13),OR(CETAK!$J$14="",$T1666=CETAK!$J$14)),MAX($AC$3:AC1665)+1,""))</f>
        <v/>
      </c>
      <c r="AD1666" s="40" t="str">
        <f aca="false">IF($B1666="","",IF(AND(OR(ABSENSI!$H$10="",$F1666=ABSENSI!$H$10),OR(ABSENSI!$H$11="",$G1666=ABSENSI!$H$11),OR(ABSENSI!$H$12="",$P1666=ABSENSI!$H$12)),MAX($AD$3:AD1665)+1,""))</f>
        <v/>
      </c>
      <c r="AE1666" s="40" t="str">
        <f aca="false">IF($B1666="","",IF(AND(OR(KARTU!$K$6="",$F1666=KARTU!$K$6),OR(KARTU!$K$7="",$G1666=KARTU!$K$7),OR(KARTU!$K$8="",$P1666=KARTU!$K$8)),MAX($AE$3:AE1665)+1,""))</f>
        <v/>
      </c>
    </row>
    <row r="1667" customFormat="false" ht="15" hidden="false" customHeight="false" outlineLevel="0" collapsed="false">
      <c r="A1667" s="35" t="str">
        <f aca="false">IF($B1667="","",COUNTA($B$4:$B1667))</f>
        <v/>
      </c>
      <c r="B1667" s="36"/>
      <c r="C1667" s="37"/>
      <c r="D1667" s="37"/>
      <c r="E1667" s="38"/>
      <c r="F1667" s="36"/>
      <c r="G1667" s="39"/>
      <c r="H1667" s="39"/>
      <c r="I1667" s="36"/>
      <c r="J1667" s="36"/>
      <c r="K1667" s="36"/>
      <c r="L1667" s="36"/>
      <c r="M1667" s="40" t="str">
        <f aca="false">IF($F1667="","",$F1667&amp;IF($G1667="",""," - RT "&amp;$G1667&amp;IF($H1667="","","/"&amp;$H1667)))</f>
        <v/>
      </c>
      <c r="N1667" s="36"/>
      <c r="O1667" s="37"/>
      <c r="P1667" s="39"/>
      <c r="Q1667" s="41"/>
      <c r="R1667" s="35" t="str">
        <f aca="true">IF(OR($B1667="",$Q1667=""),"",DATEDIF($Q1667,TODAY(),"Y"))</f>
        <v/>
      </c>
      <c r="S1667" s="40" t="str">
        <f aca="false">IF($R1667="","",INDEX(usia_label,MATCH($R1667,usia_min,1)))</f>
        <v/>
      </c>
      <c r="T1667" s="36"/>
      <c r="U1667" s="41"/>
      <c r="V1667" s="36"/>
      <c r="W1667" s="36"/>
      <c r="X1667" s="40" t="str">
        <f aca="false">IF($M1667="","",$M1667&amp;"#"&amp;COUNTIF($M$4:$M1667,$M1667))</f>
        <v/>
      </c>
      <c r="Y1667" s="40" t="str">
        <f aca="false">IF($B1667="","",IF($C1667="","NIK kosong",IF(LEN($C1667)&lt;&gt;16,"NIK bukan 16 digit",IF(COUNTIF($C$4:$C$2003,$C1667&amp;"*")&gt;1,"NIK ganda",IF(AND($D1667&lt;&gt;"",LEN($D1667)&lt;&gt;16),"No. KK bukan 16 digit",IF(AND($F1667="",$I1667=""),"Alamat kosong",IF($N1667="","Jabatan kosong",IF($O1667="","No. HP kosong",IF(AND($R1667&lt;&gt;"",$R1667&lt;17),"Usia di bawah 17","")))))))))</f>
        <v/>
      </c>
      <c r="Z1667" s="40" t="str">
        <f aca="false">IF($B1667="","",IF(AND(OR(CARI!$C$5="",ISNUMBER(SEARCH(CARI!$C$5,$B1667&amp;" "&amp;$C1667&amp;" "&amp;$D1667&amp;" "&amp;$O1667&amp;" "&amp;$I1667&amp;" "&amp;$F1667&amp;" "&amp;$J1667&amp;" "&amp;$K1667&amp;" "&amp;$L1667&amp;" "&amp;$V1667))),OR(CARI!$C$6="",$F1667=CARI!$C$6),OR(CARI!$C$7="",$G1667=CARI!$C$7),OR(CARI!$C$8="",$T1667=CARI!$C$8)),MAX($Z$3:Z1666)+1,""))</f>
        <v/>
      </c>
      <c r="AA1667" s="40" t="str">
        <f aca="false">IF($Y1667="","",MAX($AA$3:AA1666)+1)</f>
        <v/>
      </c>
      <c r="AB1667" s="40" t="str">
        <f aca="false">IF($F1667="","",$F1667&amp;"#"&amp;COUNTIF($F$4:$F1667,$F1667))</f>
        <v/>
      </c>
      <c r="AC1667" s="40" t="str">
        <f aca="false">IF($B1667="","",IF(AND(OR(CETAK!$J$10="",$F1667=CETAK!$J$10),OR(CETAK!$J$11="",$G1667=CETAK!$J$11),OR(CETAK!$J$12="",$P1667=CETAK!$J$12),OR(CETAK!$J$13="",$N1667=CETAK!$J$13),OR(CETAK!$J$14="",$T1667=CETAK!$J$14)),MAX($AC$3:AC1666)+1,""))</f>
        <v/>
      </c>
      <c r="AD1667" s="40" t="str">
        <f aca="false">IF($B1667="","",IF(AND(OR(ABSENSI!$H$10="",$F1667=ABSENSI!$H$10),OR(ABSENSI!$H$11="",$G1667=ABSENSI!$H$11),OR(ABSENSI!$H$12="",$P1667=ABSENSI!$H$12)),MAX($AD$3:AD1666)+1,""))</f>
        <v/>
      </c>
      <c r="AE1667" s="40" t="str">
        <f aca="false">IF($B1667="","",IF(AND(OR(KARTU!$K$6="",$F1667=KARTU!$K$6),OR(KARTU!$K$7="",$G1667=KARTU!$K$7),OR(KARTU!$K$8="",$P1667=KARTU!$K$8)),MAX($AE$3:AE1666)+1,""))</f>
        <v/>
      </c>
    </row>
    <row r="1668" customFormat="false" ht="15" hidden="false" customHeight="false" outlineLevel="0" collapsed="false">
      <c r="A1668" s="35" t="str">
        <f aca="false">IF($B1668="","",COUNTA($B$4:$B1668))</f>
        <v/>
      </c>
      <c r="B1668" s="36"/>
      <c r="C1668" s="37"/>
      <c r="D1668" s="37"/>
      <c r="E1668" s="38"/>
      <c r="F1668" s="36"/>
      <c r="G1668" s="39"/>
      <c r="H1668" s="39"/>
      <c r="I1668" s="36"/>
      <c r="J1668" s="36"/>
      <c r="K1668" s="36"/>
      <c r="L1668" s="36"/>
      <c r="M1668" s="40" t="str">
        <f aca="false">IF($F1668="","",$F1668&amp;IF($G1668="",""," - RT "&amp;$G1668&amp;IF($H1668="","","/"&amp;$H1668)))</f>
        <v/>
      </c>
      <c r="N1668" s="36"/>
      <c r="O1668" s="37"/>
      <c r="P1668" s="39"/>
      <c r="Q1668" s="41"/>
      <c r="R1668" s="35" t="str">
        <f aca="true">IF(OR($B1668="",$Q1668=""),"",DATEDIF($Q1668,TODAY(),"Y"))</f>
        <v/>
      </c>
      <c r="S1668" s="40" t="str">
        <f aca="false">IF($R1668="","",INDEX(usia_label,MATCH($R1668,usia_min,1)))</f>
        <v/>
      </c>
      <c r="T1668" s="36"/>
      <c r="U1668" s="41"/>
      <c r="V1668" s="36"/>
      <c r="W1668" s="36"/>
      <c r="X1668" s="40" t="str">
        <f aca="false">IF($M1668="","",$M1668&amp;"#"&amp;COUNTIF($M$4:$M1668,$M1668))</f>
        <v/>
      </c>
      <c r="Y1668" s="40" t="str">
        <f aca="false">IF($B1668="","",IF($C1668="","NIK kosong",IF(LEN($C1668)&lt;&gt;16,"NIK bukan 16 digit",IF(COUNTIF($C$4:$C$2003,$C1668&amp;"*")&gt;1,"NIK ganda",IF(AND($D1668&lt;&gt;"",LEN($D1668)&lt;&gt;16),"No. KK bukan 16 digit",IF(AND($F1668="",$I1668=""),"Alamat kosong",IF($N1668="","Jabatan kosong",IF($O1668="","No. HP kosong",IF(AND($R1668&lt;&gt;"",$R1668&lt;17),"Usia di bawah 17","")))))))))</f>
        <v/>
      </c>
      <c r="Z1668" s="40" t="str">
        <f aca="false">IF($B1668="","",IF(AND(OR(CARI!$C$5="",ISNUMBER(SEARCH(CARI!$C$5,$B1668&amp;" "&amp;$C1668&amp;" "&amp;$D1668&amp;" "&amp;$O1668&amp;" "&amp;$I1668&amp;" "&amp;$F1668&amp;" "&amp;$J1668&amp;" "&amp;$K1668&amp;" "&amp;$L1668&amp;" "&amp;$V1668))),OR(CARI!$C$6="",$F1668=CARI!$C$6),OR(CARI!$C$7="",$G1668=CARI!$C$7),OR(CARI!$C$8="",$T1668=CARI!$C$8)),MAX($Z$3:Z1667)+1,""))</f>
        <v/>
      </c>
      <c r="AA1668" s="40" t="str">
        <f aca="false">IF($Y1668="","",MAX($AA$3:AA1667)+1)</f>
        <v/>
      </c>
      <c r="AB1668" s="40" t="str">
        <f aca="false">IF($F1668="","",$F1668&amp;"#"&amp;COUNTIF($F$4:$F1668,$F1668))</f>
        <v/>
      </c>
      <c r="AC1668" s="40" t="str">
        <f aca="false">IF($B1668="","",IF(AND(OR(CETAK!$J$10="",$F1668=CETAK!$J$10),OR(CETAK!$J$11="",$G1668=CETAK!$J$11),OR(CETAK!$J$12="",$P1668=CETAK!$J$12),OR(CETAK!$J$13="",$N1668=CETAK!$J$13),OR(CETAK!$J$14="",$T1668=CETAK!$J$14)),MAX($AC$3:AC1667)+1,""))</f>
        <v/>
      </c>
      <c r="AD1668" s="40" t="str">
        <f aca="false">IF($B1668="","",IF(AND(OR(ABSENSI!$H$10="",$F1668=ABSENSI!$H$10),OR(ABSENSI!$H$11="",$G1668=ABSENSI!$H$11),OR(ABSENSI!$H$12="",$P1668=ABSENSI!$H$12)),MAX($AD$3:AD1667)+1,""))</f>
        <v/>
      </c>
      <c r="AE1668" s="40" t="str">
        <f aca="false">IF($B1668="","",IF(AND(OR(KARTU!$K$6="",$F1668=KARTU!$K$6),OR(KARTU!$K$7="",$G1668=KARTU!$K$7),OR(KARTU!$K$8="",$P1668=KARTU!$K$8)),MAX($AE$3:AE1667)+1,""))</f>
        <v/>
      </c>
    </row>
    <row r="1669" customFormat="false" ht="15" hidden="false" customHeight="false" outlineLevel="0" collapsed="false">
      <c r="A1669" s="35" t="str">
        <f aca="false">IF($B1669="","",COUNTA($B$4:$B1669))</f>
        <v/>
      </c>
      <c r="B1669" s="36"/>
      <c r="C1669" s="37"/>
      <c r="D1669" s="37"/>
      <c r="E1669" s="38"/>
      <c r="F1669" s="36"/>
      <c r="G1669" s="39"/>
      <c r="H1669" s="39"/>
      <c r="I1669" s="36"/>
      <c r="J1669" s="36"/>
      <c r="K1669" s="36"/>
      <c r="L1669" s="36"/>
      <c r="M1669" s="40" t="str">
        <f aca="false">IF($F1669="","",$F1669&amp;IF($G1669="",""," - RT "&amp;$G1669&amp;IF($H1669="","","/"&amp;$H1669)))</f>
        <v/>
      </c>
      <c r="N1669" s="36"/>
      <c r="O1669" s="37"/>
      <c r="P1669" s="39"/>
      <c r="Q1669" s="41"/>
      <c r="R1669" s="35" t="str">
        <f aca="true">IF(OR($B1669="",$Q1669=""),"",DATEDIF($Q1669,TODAY(),"Y"))</f>
        <v/>
      </c>
      <c r="S1669" s="40" t="str">
        <f aca="false">IF($R1669="","",INDEX(usia_label,MATCH($R1669,usia_min,1)))</f>
        <v/>
      </c>
      <c r="T1669" s="36"/>
      <c r="U1669" s="41"/>
      <c r="V1669" s="36"/>
      <c r="W1669" s="36"/>
      <c r="X1669" s="40" t="str">
        <f aca="false">IF($M1669="","",$M1669&amp;"#"&amp;COUNTIF($M$4:$M1669,$M1669))</f>
        <v/>
      </c>
      <c r="Y1669" s="40" t="str">
        <f aca="false">IF($B1669="","",IF($C1669="","NIK kosong",IF(LEN($C1669)&lt;&gt;16,"NIK bukan 16 digit",IF(COUNTIF($C$4:$C$2003,$C1669&amp;"*")&gt;1,"NIK ganda",IF(AND($D1669&lt;&gt;"",LEN($D1669)&lt;&gt;16),"No. KK bukan 16 digit",IF(AND($F1669="",$I1669=""),"Alamat kosong",IF($N1669="","Jabatan kosong",IF($O1669="","No. HP kosong",IF(AND($R1669&lt;&gt;"",$R1669&lt;17),"Usia di bawah 17","")))))))))</f>
        <v/>
      </c>
      <c r="Z1669" s="40" t="str">
        <f aca="false">IF($B1669="","",IF(AND(OR(CARI!$C$5="",ISNUMBER(SEARCH(CARI!$C$5,$B1669&amp;" "&amp;$C1669&amp;" "&amp;$D1669&amp;" "&amp;$O1669&amp;" "&amp;$I1669&amp;" "&amp;$F1669&amp;" "&amp;$J1669&amp;" "&amp;$K1669&amp;" "&amp;$L1669&amp;" "&amp;$V1669))),OR(CARI!$C$6="",$F1669=CARI!$C$6),OR(CARI!$C$7="",$G1669=CARI!$C$7),OR(CARI!$C$8="",$T1669=CARI!$C$8)),MAX($Z$3:Z1668)+1,""))</f>
        <v/>
      </c>
      <c r="AA1669" s="40" t="str">
        <f aca="false">IF($Y1669="","",MAX($AA$3:AA1668)+1)</f>
        <v/>
      </c>
      <c r="AB1669" s="40" t="str">
        <f aca="false">IF($F1669="","",$F1669&amp;"#"&amp;COUNTIF($F$4:$F1669,$F1669))</f>
        <v/>
      </c>
      <c r="AC1669" s="40" t="str">
        <f aca="false">IF($B1669="","",IF(AND(OR(CETAK!$J$10="",$F1669=CETAK!$J$10),OR(CETAK!$J$11="",$G1669=CETAK!$J$11),OR(CETAK!$J$12="",$P1669=CETAK!$J$12),OR(CETAK!$J$13="",$N1669=CETAK!$J$13),OR(CETAK!$J$14="",$T1669=CETAK!$J$14)),MAX($AC$3:AC1668)+1,""))</f>
        <v/>
      </c>
      <c r="AD1669" s="40" t="str">
        <f aca="false">IF($B1669="","",IF(AND(OR(ABSENSI!$H$10="",$F1669=ABSENSI!$H$10),OR(ABSENSI!$H$11="",$G1669=ABSENSI!$H$11),OR(ABSENSI!$H$12="",$P1669=ABSENSI!$H$12)),MAX($AD$3:AD1668)+1,""))</f>
        <v/>
      </c>
      <c r="AE1669" s="40" t="str">
        <f aca="false">IF($B1669="","",IF(AND(OR(KARTU!$K$6="",$F1669=KARTU!$K$6),OR(KARTU!$K$7="",$G1669=KARTU!$K$7),OR(KARTU!$K$8="",$P1669=KARTU!$K$8)),MAX($AE$3:AE1668)+1,""))</f>
        <v/>
      </c>
    </row>
    <row r="1670" customFormat="false" ht="15" hidden="false" customHeight="false" outlineLevel="0" collapsed="false">
      <c r="A1670" s="35" t="str">
        <f aca="false">IF($B1670="","",COUNTA($B$4:$B1670))</f>
        <v/>
      </c>
      <c r="B1670" s="36"/>
      <c r="C1670" s="37"/>
      <c r="D1670" s="37"/>
      <c r="E1670" s="38"/>
      <c r="F1670" s="36"/>
      <c r="G1670" s="39"/>
      <c r="H1670" s="39"/>
      <c r="I1670" s="36"/>
      <c r="J1670" s="36"/>
      <c r="K1670" s="36"/>
      <c r="L1670" s="36"/>
      <c r="M1670" s="40" t="str">
        <f aca="false">IF($F1670="","",$F1670&amp;IF($G1670="",""," - RT "&amp;$G1670&amp;IF($H1670="","","/"&amp;$H1670)))</f>
        <v/>
      </c>
      <c r="N1670" s="36"/>
      <c r="O1670" s="37"/>
      <c r="P1670" s="39"/>
      <c r="Q1670" s="41"/>
      <c r="R1670" s="35" t="str">
        <f aca="true">IF(OR($B1670="",$Q1670=""),"",DATEDIF($Q1670,TODAY(),"Y"))</f>
        <v/>
      </c>
      <c r="S1670" s="40" t="str">
        <f aca="false">IF($R1670="","",INDEX(usia_label,MATCH($R1670,usia_min,1)))</f>
        <v/>
      </c>
      <c r="T1670" s="36"/>
      <c r="U1670" s="41"/>
      <c r="V1670" s="36"/>
      <c r="W1670" s="36"/>
      <c r="X1670" s="40" t="str">
        <f aca="false">IF($M1670="","",$M1670&amp;"#"&amp;COUNTIF($M$4:$M1670,$M1670))</f>
        <v/>
      </c>
      <c r="Y1670" s="40" t="str">
        <f aca="false">IF($B1670="","",IF($C1670="","NIK kosong",IF(LEN($C1670)&lt;&gt;16,"NIK bukan 16 digit",IF(COUNTIF($C$4:$C$2003,$C1670&amp;"*")&gt;1,"NIK ganda",IF(AND($D1670&lt;&gt;"",LEN($D1670)&lt;&gt;16),"No. KK bukan 16 digit",IF(AND($F1670="",$I1670=""),"Alamat kosong",IF($N1670="","Jabatan kosong",IF($O1670="","No. HP kosong",IF(AND($R1670&lt;&gt;"",$R1670&lt;17),"Usia di bawah 17","")))))))))</f>
        <v/>
      </c>
      <c r="Z1670" s="40" t="str">
        <f aca="false">IF($B1670="","",IF(AND(OR(CARI!$C$5="",ISNUMBER(SEARCH(CARI!$C$5,$B1670&amp;" "&amp;$C1670&amp;" "&amp;$D1670&amp;" "&amp;$O1670&amp;" "&amp;$I1670&amp;" "&amp;$F1670&amp;" "&amp;$J1670&amp;" "&amp;$K1670&amp;" "&amp;$L1670&amp;" "&amp;$V1670))),OR(CARI!$C$6="",$F1670=CARI!$C$6),OR(CARI!$C$7="",$G1670=CARI!$C$7),OR(CARI!$C$8="",$T1670=CARI!$C$8)),MAX($Z$3:Z1669)+1,""))</f>
        <v/>
      </c>
      <c r="AA1670" s="40" t="str">
        <f aca="false">IF($Y1670="","",MAX($AA$3:AA1669)+1)</f>
        <v/>
      </c>
      <c r="AB1670" s="40" t="str">
        <f aca="false">IF($F1670="","",$F1670&amp;"#"&amp;COUNTIF($F$4:$F1670,$F1670))</f>
        <v/>
      </c>
      <c r="AC1670" s="40" t="str">
        <f aca="false">IF($B1670="","",IF(AND(OR(CETAK!$J$10="",$F1670=CETAK!$J$10),OR(CETAK!$J$11="",$G1670=CETAK!$J$11),OR(CETAK!$J$12="",$P1670=CETAK!$J$12),OR(CETAK!$J$13="",$N1670=CETAK!$J$13),OR(CETAK!$J$14="",$T1670=CETAK!$J$14)),MAX($AC$3:AC1669)+1,""))</f>
        <v/>
      </c>
      <c r="AD1670" s="40" t="str">
        <f aca="false">IF($B1670="","",IF(AND(OR(ABSENSI!$H$10="",$F1670=ABSENSI!$H$10),OR(ABSENSI!$H$11="",$G1670=ABSENSI!$H$11),OR(ABSENSI!$H$12="",$P1670=ABSENSI!$H$12)),MAX($AD$3:AD1669)+1,""))</f>
        <v/>
      </c>
      <c r="AE1670" s="40" t="str">
        <f aca="false">IF($B1670="","",IF(AND(OR(KARTU!$K$6="",$F1670=KARTU!$K$6),OR(KARTU!$K$7="",$G1670=KARTU!$K$7),OR(KARTU!$K$8="",$P1670=KARTU!$K$8)),MAX($AE$3:AE1669)+1,""))</f>
        <v/>
      </c>
    </row>
    <row r="1671" customFormat="false" ht="15" hidden="false" customHeight="false" outlineLevel="0" collapsed="false">
      <c r="A1671" s="35" t="str">
        <f aca="false">IF($B1671="","",COUNTA($B$4:$B1671))</f>
        <v/>
      </c>
      <c r="B1671" s="36"/>
      <c r="C1671" s="37"/>
      <c r="D1671" s="37"/>
      <c r="E1671" s="38"/>
      <c r="F1671" s="36"/>
      <c r="G1671" s="39"/>
      <c r="H1671" s="39"/>
      <c r="I1671" s="36"/>
      <c r="J1671" s="36"/>
      <c r="K1671" s="36"/>
      <c r="L1671" s="36"/>
      <c r="M1671" s="40" t="str">
        <f aca="false">IF($F1671="","",$F1671&amp;IF($G1671="",""," - RT "&amp;$G1671&amp;IF($H1671="","","/"&amp;$H1671)))</f>
        <v/>
      </c>
      <c r="N1671" s="36"/>
      <c r="O1671" s="37"/>
      <c r="P1671" s="39"/>
      <c r="Q1671" s="41"/>
      <c r="R1671" s="35" t="str">
        <f aca="true">IF(OR($B1671="",$Q1671=""),"",DATEDIF($Q1671,TODAY(),"Y"))</f>
        <v/>
      </c>
      <c r="S1671" s="40" t="str">
        <f aca="false">IF($R1671="","",INDEX(usia_label,MATCH($R1671,usia_min,1)))</f>
        <v/>
      </c>
      <c r="T1671" s="36"/>
      <c r="U1671" s="41"/>
      <c r="V1671" s="36"/>
      <c r="W1671" s="36"/>
      <c r="X1671" s="40" t="str">
        <f aca="false">IF($M1671="","",$M1671&amp;"#"&amp;COUNTIF($M$4:$M1671,$M1671))</f>
        <v/>
      </c>
      <c r="Y1671" s="40" t="str">
        <f aca="false">IF($B1671="","",IF($C1671="","NIK kosong",IF(LEN($C1671)&lt;&gt;16,"NIK bukan 16 digit",IF(COUNTIF($C$4:$C$2003,$C1671&amp;"*")&gt;1,"NIK ganda",IF(AND($D1671&lt;&gt;"",LEN($D1671)&lt;&gt;16),"No. KK bukan 16 digit",IF(AND($F1671="",$I1671=""),"Alamat kosong",IF($N1671="","Jabatan kosong",IF($O1671="","No. HP kosong",IF(AND($R1671&lt;&gt;"",$R1671&lt;17),"Usia di bawah 17","")))))))))</f>
        <v/>
      </c>
      <c r="Z1671" s="40" t="str">
        <f aca="false">IF($B1671="","",IF(AND(OR(CARI!$C$5="",ISNUMBER(SEARCH(CARI!$C$5,$B1671&amp;" "&amp;$C1671&amp;" "&amp;$D1671&amp;" "&amp;$O1671&amp;" "&amp;$I1671&amp;" "&amp;$F1671&amp;" "&amp;$J1671&amp;" "&amp;$K1671&amp;" "&amp;$L1671&amp;" "&amp;$V1671))),OR(CARI!$C$6="",$F1671=CARI!$C$6),OR(CARI!$C$7="",$G1671=CARI!$C$7),OR(CARI!$C$8="",$T1671=CARI!$C$8)),MAX($Z$3:Z1670)+1,""))</f>
        <v/>
      </c>
      <c r="AA1671" s="40" t="str">
        <f aca="false">IF($Y1671="","",MAX($AA$3:AA1670)+1)</f>
        <v/>
      </c>
      <c r="AB1671" s="40" t="str">
        <f aca="false">IF($F1671="","",$F1671&amp;"#"&amp;COUNTIF($F$4:$F1671,$F1671))</f>
        <v/>
      </c>
      <c r="AC1671" s="40" t="str">
        <f aca="false">IF($B1671="","",IF(AND(OR(CETAK!$J$10="",$F1671=CETAK!$J$10),OR(CETAK!$J$11="",$G1671=CETAK!$J$11),OR(CETAK!$J$12="",$P1671=CETAK!$J$12),OR(CETAK!$J$13="",$N1671=CETAK!$J$13),OR(CETAK!$J$14="",$T1671=CETAK!$J$14)),MAX($AC$3:AC1670)+1,""))</f>
        <v/>
      </c>
      <c r="AD1671" s="40" t="str">
        <f aca="false">IF($B1671="","",IF(AND(OR(ABSENSI!$H$10="",$F1671=ABSENSI!$H$10),OR(ABSENSI!$H$11="",$G1671=ABSENSI!$H$11),OR(ABSENSI!$H$12="",$P1671=ABSENSI!$H$12)),MAX($AD$3:AD1670)+1,""))</f>
        <v/>
      </c>
      <c r="AE1671" s="40" t="str">
        <f aca="false">IF($B1671="","",IF(AND(OR(KARTU!$K$6="",$F1671=KARTU!$K$6),OR(KARTU!$K$7="",$G1671=KARTU!$K$7),OR(KARTU!$K$8="",$P1671=KARTU!$K$8)),MAX($AE$3:AE1670)+1,""))</f>
        <v/>
      </c>
    </row>
    <row r="1672" customFormat="false" ht="15" hidden="false" customHeight="false" outlineLevel="0" collapsed="false">
      <c r="A1672" s="35" t="str">
        <f aca="false">IF($B1672="","",COUNTA($B$4:$B1672))</f>
        <v/>
      </c>
      <c r="B1672" s="36"/>
      <c r="C1672" s="37"/>
      <c r="D1672" s="37"/>
      <c r="E1672" s="38"/>
      <c r="F1672" s="36"/>
      <c r="G1672" s="39"/>
      <c r="H1672" s="39"/>
      <c r="I1672" s="36"/>
      <c r="J1672" s="36"/>
      <c r="K1672" s="36"/>
      <c r="L1672" s="36"/>
      <c r="M1672" s="40" t="str">
        <f aca="false">IF($F1672="","",$F1672&amp;IF($G1672="",""," - RT "&amp;$G1672&amp;IF($H1672="","","/"&amp;$H1672)))</f>
        <v/>
      </c>
      <c r="N1672" s="36"/>
      <c r="O1672" s="37"/>
      <c r="P1672" s="39"/>
      <c r="Q1672" s="41"/>
      <c r="R1672" s="35" t="str">
        <f aca="true">IF(OR($B1672="",$Q1672=""),"",DATEDIF($Q1672,TODAY(),"Y"))</f>
        <v/>
      </c>
      <c r="S1672" s="40" t="str">
        <f aca="false">IF($R1672="","",INDEX(usia_label,MATCH($R1672,usia_min,1)))</f>
        <v/>
      </c>
      <c r="T1672" s="36"/>
      <c r="U1672" s="41"/>
      <c r="V1672" s="36"/>
      <c r="W1672" s="36"/>
      <c r="X1672" s="40" t="str">
        <f aca="false">IF($M1672="","",$M1672&amp;"#"&amp;COUNTIF($M$4:$M1672,$M1672))</f>
        <v/>
      </c>
      <c r="Y1672" s="40" t="str">
        <f aca="false">IF($B1672="","",IF($C1672="","NIK kosong",IF(LEN($C1672)&lt;&gt;16,"NIK bukan 16 digit",IF(COUNTIF($C$4:$C$2003,$C1672&amp;"*")&gt;1,"NIK ganda",IF(AND($D1672&lt;&gt;"",LEN($D1672)&lt;&gt;16),"No. KK bukan 16 digit",IF(AND($F1672="",$I1672=""),"Alamat kosong",IF($N1672="","Jabatan kosong",IF($O1672="","No. HP kosong",IF(AND($R1672&lt;&gt;"",$R1672&lt;17),"Usia di bawah 17","")))))))))</f>
        <v/>
      </c>
      <c r="Z1672" s="40" t="str">
        <f aca="false">IF($B1672="","",IF(AND(OR(CARI!$C$5="",ISNUMBER(SEARCH(CARI!$C$5,$B1672&amp;" "&amp;$C1672&amp;" "&amp;$D1672&amp;" "&amp;$O1672&amp;" "&amp;$I1672&amp;" "&amp;$F1672&amp;" "&amp;$J1672&amp;" "&amp;$K1672&amp;" "&amp;$L1672&amp;" "&amp;$V1672))),OR(CARI!$C$6="",$F1672=CARI!$C$6),OR(CARI!$C$7="",$G1672=CARI!$C$7),OR(CARI!$C$8="",$T1672=CARI!$C$8)),MAX($Z$3:Z1671)+1,""))</f>
        <v/>
      </c>
      <c r="AA1672" s="40" t="str">
        <f aca="false">IF($Y1672="","",MAX($AA$3:AA1671)+1)</f>
        <v/>
      </c>
      <c r="AB1672" s="40" t="str">
        <f aca="false">IF($F1672="","",$F1672&amp;"#"&amp;COUNTIF($F$4:$F1672,$F1672))</f>
        <v/>
      </c>
      <c r="AC1672" s="40" t="str">
        <f aca="false">IF($B1672="","",IF(AND(OR(CETAK!$J$10="",$F1672=CETAK!$J$10),OR(CETAK!$J$11="",$G1672=CETAK!$J$11),OR(CETAK!$J$12="",$P1672=CETAK!$J$12),OR(CETAK!$J$13="",$N1672=CETAK!$J$13),OR(CETAK!$J$14="",$T1672=CETAK!$J$14)),MAX($AC$3:AC1671)+1,""))</f>
        <v/>
      </c>
      <c r="AD1672" s="40" t="str">
        <f aca="false">IF($B1672="","",IF(AND(OR(ABSENSI!$H$10="",$F1672=ABSENSI!$H$10),OR(ABSENSI!$H$11="",$G1672=ABSENSI!$H$11),OR(ABSENSI!$H$12="",$P1672=ABSENSI!$H$12)),MAX($AD$3:AD1671)+1,""))</f>
        <v/>
      </c>
      <c r="AE1672" s="40" t="str">
        <f aca="false">IF($B1672="","",IF(AND(OR(KARTU!$K$6="",$F1672=KARTU!$K$6),OR(KARTU!$K$7="",$G1672=KARTU!$K$7),OR(KARTU!$K$8="",$P1672=KARTU!$K$8)),MAX($AE$3:AE1671)+1,""))</f>
        <v/>
      </c>
    </row>
    <row r="1673" customFormat="false" ht="15" hidden="false" customHeight="false" outlineLevel="0" collapsed="false">
      <c r="A1673" s="35" t="str">
        <f aca="false">IF($B1673="","",COUNTA($B$4:$B1673))</f>
        <v/>
      </c>
      <c r="B1673" s="36"/>
      <c r="C1673" s="37"/>
      <c r="D1673" s="37"/>
      <c r="E1673" s="38"/>
      <c r="F1673" s="36"/>
      <c r="G1673" s="39"/>
      <c r="H1673" s="39"/>
      <c r="I1673" s="36"/>
      <c r="J1673" s="36"/>
      <c r="K1673" s="36"/>
      <c r="L1673" s="36"/>
      <c r="M1673" s="40" t="str">
        <f aca="false">IF($F1673="","",$F1673&amp;IF($G1673="",""," - RT "&amp;$G1673&amp;IF($H1673="","","/"&amp;$H1673)))</f>
        <v/>
      </c>
      <c r="N1673" s="36"/>
      <c r="O1673" s="37"/>
      <c r="P1673" s="39"/>
      <c r="Q1673" s="41"/>
      <c r="R1673" s="35" t="str">
        <f aca="true">IF(OR($B1673="",$Q1673=""),"",DATEDIF($Q1673,TODAY(),"Y"))</f>
        <v/>
      </c>
      <c r="S1673" s="40" t="str">
        <f aca="false">IF($R1673="","",INDEX(usia_label,MATCH($R1673,usia_min,1)))</f>
        <v/>
      </c>
      <c r="T1673" s="36"/>
      <c r="U1673" s="41"/>
      <c r="V1673" s="36"/>
      <c r="W1673" s="36"/>
      <c r="X1673" s="40" t="str">
        <f aca="false">IF($M1673="","",$M1673&amp;"#"&amp;COUNTIF($M$4:$M1673,$M1673))</f>
        <v/>
      </c>
      <c r="Y1673" s="40" t="str">
        <f aca="false">IF($B1673="","",IF($C1673="","NIK kosong",IF(LEN($C1673)&lt;&gt;16,"NIK bukan 16 digit",IF(COUNTIF($C$4:$C$2003,$C1673&amp;"*")&gt;1,"NIK ganda",IF(AND($D1673&lt;&gt;"",LEN($D1673)&lt;&gt;16),"No. KK bukan 16 digit",IF(AND($F1673="",$I1673=""),"Alamat kosong",IF($N1673="","Jabatan kosong",IF($O1673="","No. HP kosong",IF(AND($R1673&lt;&gt;"",$R1673&lt;17),"Usia di bawah 17","")))))))))</f>
        <v/>
      </c>
      <c r="Z1673" s="40" t="str">
        <f aca="false">IF($B1673="","",IF(AND(OR(CARI!$C$5="",ISNUMBER(SEARCH(CARI!$C$5,$B1673&amp;" "&amp;$C1673&amp;" "&amp;$D1673&amp;" "&amp;$O1673&amp;" "&amp;$I1673&amp;" "&amp;$F1673&amp;" "&amp;$J1673&amp;" "&amp;$K1673&amp;" "&amp;$L1673&amp;" "&amp;$V1673))),OR(CARI!$C$6="",$F1673=CARI!$C$6),OR(CARI!$C$7="",$G1673=CARI!$C$7),OR(CARI!$C$8="",$T1673=CARI!$C$8)),MAX($Z$3:Z1672)+1,""))</f>
        <v/>
      </c>
      <c r="AA1673" s="40" t="str">
        <f aca="false">IF($Y1673="","",MAX($AA$3:AA1672)+1)</f>
        <v/>
      </c>
      <c r="AB1673" s="40" t="str">
        <f aca="false">IF($F1673="","",$F1673&amp;"#"&amp;COUNTIF($F$4:$F1673,$F1673))</f>
        <v/>
      </c>
      <c r="AC1673" s="40" t="str">
        <f aca="false">IF($B1673="","",IF(AND(OR(CETAK!$J$10="",$F1673=CETAK!$J$10),OR(CETAK!$J$11="",$G1673=CETAK!$J$11),OR(CETAK!$J$12="",$P1673=CETAK!$J$12),OR(CETAK!$J$13="",$N1673=CETAK!$J$13),OR(CETAK!$J$14="",$T1673=CETAK!$J$14)),MAX($AC$3:AC1672)+1,""))</f>
        <v/>
      </c>
      <c r="AD1673" s="40" t="str">
        <f aca="false">IF($B1673="","",IF(AND(OR(ABSENSI!$H$10="",$F1673=ABSENSI!$H$10),OR(ABSENSI!$H$11="",$G1673=ABSENSI!$H$11),OR(ABSENSI!$H$12="",$P1673=ABSENSI!$H$12)),MAX($AD$3:AD1672)+1,""))</f>
        <v/>
      </c>
      <c r="AE1673" s="40" t="str">
        <f aca="false">IF($B1673="","",IF(AND(OR(KARTU!$K$6="",$F1673=KARTU!$K$6),OR(KARTU!$K$7="",$G1673=KARTU!$K$7),OR(KARTU!$K$8="",$P1673=KARTU!$K$8)),MAX($AE$3:AE1672)+1,""))</f>
        <v/>
      </c>
    </row>
    <row r="1674" customFormat="false" ht="15" hidden="false" customHeight="false" outlineLevel="0" collapsed="false">
      <c r="A1674" s="35" t="str">
        <f aca="false">IF($B1674="","",COUNTA($B$4:$B1674))</f>
        <v/>
      </c>
      <c r="B1674" s="36"/>
      <c r="C1674" s="37"/>
      <c r="D1674" s="37"/>
      <c r="E1674" s="38"/>
      <c r="F1674" s="36"/>
      <c r="G1674" s="39"/>
      <c r="H1674" s="39"/>
      <c r="I1674" s="36"/>
      <c r="J1674" s="36"/>
      <c r="K1674" s="36"/>
      <c r="L1674" s="36"/>
      <c r="M1674" s="40" t="str">
        <f aca="false">IF($F1674="","",$F1674&amp;IF($G1674="",""," - RT "&amp;$G1674&amp;IF($H1674="","","/"&amp;$H1674)))</f>
        <v/>
      </c>
      <c r="N1674" s="36"/>
      <c r="O1674" s="37"/>
      <c r="P1674" s="39"/>
      <c r="Q1674" s="41"/>
      <c r="R1674" s="35" t="str">
        <f aca="true">IF(OR($B1674="",$Q1674=""),"",DATEDIF($Q1674,TODAY(),"Y"))</f>
        <v/>
      </c>
      <c r="S1674" s="40" t="str">
        <f aca="false">IF($R1674="","",INDEX(usia_label,MATCH($R1674,usia_min,1)))</f>
        <v/>
      </c>
      <c r="T1674" s="36"/>
      <c r="U1674" s="41"/>
      <c r="V1674" s="36"/>
      <c r="W1674" s="36"/>
      <c r="X1674" s="40" t="str">
        <f aca="false">IF($M1674="","",$M1674&amp;"#"&amp;COUNTIF($M$4:$M1674,$M1674))</f>
        <v/>
      </c>
      <c r="Y1674" s="40" t="str">
        <f aca="false">IF($B1674="","",IF($C1674="","NIK kosong",IF(LEN($C1674)&lt;&gt;16,"NIK bukan 16 digit",IF(COUNTIF($C$4:$C$2003,$C1674&amp;"*")&gt;1,"NIK ganda",IF(AND($D1674&lt;&gt;"",LEN($D1674)&lt;&gt;16),"No. KK bukan 16 digit",IF(AND($F1674="",$I1674=""),"Alamat kosong",IF($N1674="","Jabatan kosong",IF($O1674="","No. HP kosong",IF(AND($R1674&lt;&gt;"",$R1674&lt;17),"Usia di bawah 17","")))))))))</f>
        <v/>
      </c>
      <c r="Z1674" s="40" t="str">
        <f aca="false">IF($B1674="","",IF(AND(OR(CARI!$C$5="",ISNUMBER(SEARCH(CARI!$C$5,$B1674&amp;" "&amp;$C1674&amp;" "&amp;$D1674&amp;" "&amp;$O1674&amp;" "&amp;$I1674&amp;" "&amp;$F1674&amp;" "&amp;$J1674&amp;" "&amp;$K1674&amp;" "&amp;$L1674&amp;" "&amp;$V1674))),OR(CARI!$C$6="",$F1674=CARI!$C$6),OR(CARI!$C$7="",$G1674=CARI!$C$7),OR(CARI!$C$8="",$T1674=CARI!$C$8)),MAX($Z$3:Z1673)+1,""))</f>
        <v/>
      </c>
      <c r="AA1674" s="40" t="str">
        <f aca="false">IF($Y1674="","",MAX($AA$3:AA1673)+1)</f>
        <v/>
      </c>
      <c r="AB1674" s="40" t="str">
        <f aca="false">IF($F1674="","",$F1674&amp;"#"&amp;COUNTIF($F$4:$F1674,$F1674))</f>
        <v/>
      </c>
      <c r="AC1674" s="40" t="str">
        <f aca="false">IF($B1674="","",IF(AND(OR(CETAK!$J$10="",$F1674=CETAK!$J$10),OR(CETAK!$J$11="",$G1674=CETAK!$J$11),OR(CETAK!$J$12="",$P1674=CETAK!$J$12),OR(CETAK!$J$13="",$N1674=CETAK!$J$13),OR(CETAK!$J$14="",$T1674=CETAK!$J$14)),MAX($AC$3:AC1673)+1,""))</f>
        <v/>
      </c>
      <c r="AD1674" s="40" t="str">
        <f aca="false">IF($B1674="","",IF(AND(OR(ABSENSI!$H$10="",$F1674=ABSENSI!$H$10),OR(ABSENSI!$H$11="",$G1674=ABSENSI!$H$11),OR(ABSENSI!$H$12="",$P1674=ABSENSI!$H$12)),MAX($AD$3:AD1673)+1,""))</f>
        <v/>
      </c>
      <c r="AE1674" s="40" t="str">
        <f aca="false">IF($B1674="","",IF(AND(OR(KARTU!$K$6="",$F1674=KARTU!$K$6),OR(KARTU!$K$7="",$G1674=KARTU!$K$7),OR(KARTU!$K$8="",$P1674=KARTU!$K$8)),MAX($AE$3:AE1673)+1,""))</f>
        <v/>
      </c>
    </row>
    <row r="1675" customFormat="false" ht="15" hidden="false" customHeight="false" outlineLevel="0" collapsed="false">
      <c r="A1675" s="35" t="str">
        <f aca="false">IF($B1675="","",COUNTA($B$4:$B1675))</f>
        <v/>
      </c>
      <c r="B1675" s="36"/>
      <c r="C1675" s="37"/>
      <c r="D1675" s="37"/>
      <c r="E1675" s="38"/>
      <c r="F1675" s="36"/>
      <c r="G1675" s="39"/>
      <c r="H1675" s="39"/>
      <c r="I1675" s="36"/>
      <c r="J1675" s="36"/>
      <c r="K1675" s="36"/>
      <c r="L1675" s="36"/>
      <c r="M1675" s="40" t="str">
        <f aca="false">IF($F1675="","",$F1675&amp;IF($G1675="",""," - RT "&amp;$G1675&amp;IF($H1675="","","/"&amp;$H1675)))</f>
        <v/>
      </c>
      <c r="N1675" s="36"/>
      <c r="O1675" s="37"/>
      <c r="P1675" s="39"/>
      <c r="Q1675" s="41"/>
      <c r="R1675" s="35" t="str">
        <f aca="true">IF(OR($B1675="",$Q1675=""),"",DATEDIF($Q1675,TODAY(),"Y"))</f>
        <v/>
      </c>
      <c r="S1675" s="40" t="str">
        <f aca="false">IF($R1675="","",INDEX(usia_label,MATCH($R1675,usia_min,1)))</f>
        <v/>
      </c>
      <c r="T1675" s="36"/>
      <c r="U1675" s="41"/>
      <c r="V1675" s="36"/>
      <c r="W1675" s="36"/>
      <c r="X1675" s="40" t="str">
        <f aca="false">IF($M1675="","",$M1675&amp;"#"&amp;COUNTIF($M$4:$M1675,$M1675))</f>
        <v/>
      </c>
      <c r="Y1675" s="40" t="str">
        <f aca="false">IF($B1675="","",IF($C1675="","NIK kosong",IF(LEN($C1675)&lt;&gt;16,"NIK bukan 16 digit",IF(COUNTIF($C$4:$C$2003,$C1675&amp;"*")&gt;1,"NIK ganda",IF(AND($D1675&lt;&gt;"",LEN($D1675)&lt;&gt;16),"No. KK bukan 16 digit",IF(AND($F1675="",$I1675=""),"Alamat kosong",IF($N1675="","Jabatan kosong",IF($O1675="","No. HP kosong",IF(AND($R1675&lt;&gt;"",$R1675&lt;17),"Usia di bawah 17","")))))))))</f>
        <v/>
      </c>
      <c r="Z1675" s="40" t="str">
        <f aca="false">IF($B1675="","",IF(AND(OR(CARI!$C$5="",ISNUMBER(SEARCH(CARI!$C$5,$B1675&amp;" "&amp;$C1675&amp;" "&amp;$D1675&amp;" "&amp;$O1675&amp;" "&amp;$I1675&amp;" "&amp;$F1675&amp;" "&amp;$J1675&amp;" "&amp;$K1675&amp;" "&amp;$L1675&amp;" "&amp;$V1675))),OR(CARI!$C$6="",$F1675=CARI!$C$6),OR(CARI!$C$7="",$G1675=CARI!$C$7),OR(CARI!$C$8="",$T1675=CARI!$C$8)),MAX($Z$3:Z1674)+1,""))</f>
        <v/>
      </c>
      <c r="AA1675" s="40" t="str">
        <f aca="false">IF($Y1675="","",MAX($AA$3:AA1674)+1)</f>
        <v/>
      </c>
      <c r="AB1675" s="40" t="str">
        <f aca="false">IF($F1675="","",$F1675&amp;"#"&amp;COUNTIF($F$4:$F1675,$F1675))</f>
        <v/>
      </c>
      <c r="AC1675" s="40" t="str">
        <f aca="false">IF($B1675="","",IF(AND(OR(CETAK!$J$10="",$F1675=CETAK!$J$10),OR(CETAK!$J$11="",$G1675=CETAK!$J$11),OR(CETAK!$J$12="",$P1675=CETAK!$J$12),OR(CETAK!$J$13="",$N1675=CETAK!$J$13),OR(CETAK!$J$14="",$T1675=CETAK!$J$14)),MAX($AC$3:AC1674)+1,""))</f>
        <v/>
      </c>
      <c r="AD1675" s="40" t="str">
        <f aca="false">IF($B1675="","",IF(AND(OR(ABSENSI!$H$10="",$F1675=ABSENSI!$H$10),OR(ABSENSI!$H$11="",$G1675=ABSENSI!$H$11),OR(ABSENSI!$H$12="",$P1675=ABSENSI!$H$12)),MAX($AD$3:AD1674)+1,""))</f>
        <v/>
      </c>
      <c r="AE1675" s="40" t="str">
        <f aca="false">IF($B1675="","",IF(AND(OR(KARTU!$K$6="",$F1675=KARTU!$K$6),OR(KARTU!$K$7="",$G1675=KARTU!$K$7),OR(KARTU!$K$8="",$P1675=KARTU!$K$8)),MAX($AE$3:AE1674)+1,""))</f>
        <v/>
      </c>
    </row>
    <row r="1676" customFormat="false" ht="15" hidden="false" customHeight="false" outlineLevel="0" collapsed="false">
      <c r="A1676" s="35" t="str">
        <f aca="false">IF($B1676="","",COUNTA($B$4:$B1676))</f>
        <v/>
      </c>
      <c r="B1676" s="36"/>
      <c r="C1676" s="37"/>
      <c r="D1676" s="37"/>
      <c r="E1676" s="38"/>
      <c r="F1676" s="36"/>
      <c r="G1676" s="39"/>
      <c r="H1676" s="39"/>
      <c r="I1676" s="36"/>
      <c r="J1676" s="36"/>
      <c r="K1676" s="36"/>
      <c r="L1676" s="36"/>
      <c r="M1676" s="40" t="str">
        <f aca="false">IF($F1676="","",$F1676&amp;IF($G1676="",""," - RT "&amp;$G1676&amp;IF($H1676="","","/"&amp;$H1676)))</f>
        <v/>
      </c>
      <c r="N1676" s="36"/>
      <c r="O1676" s="37"/>
      <c r="P1676" s="39"/>
      <c r="Q1676" s="41"/>
      <c r="R1676" s="35" t="str">
        <f aca="true">IF(OR($B1676="",$Q1676=""),"",DATEDIF($Q1676,TODAY(),"Y"))</f>
        <v/>
      </c>
      <c r="S1676" s="40" t="str">
        <f aca="false">IF($R1676="","",INDEX(usia_label,MATCH($R1676,usia_min,1)))</f>
        <v/>
      </c>
      <c r="T1676" s="36"/>
      <c r="U1676" s="41"/>
      <c r="V1676" s="36"/>
      <c r="W1676" s="36"/>
      <c r="X1676" s="40" t="str">
        <f aca="false">IF($M1676="","",$M1676&amp;"#"&amp;COUNTIF($M$4:$M1676,$M1676))</f>
        <v/>
      </c>
      <c r="Y1676" s="40" t="str">
        <f aca="false">IF($B1676="","",IF($C1676="","NIK kosong",IF(LEN($C1676)&lt;&gt;16,"NIK bukan 16 digit",IF(COUNTIF($C$4:$C$2003,$C1676&amp;"*")&gt;1,"NIK ganda",IF(AND($D1676&lt;&gt;"",LEN($D1676)&lt;&gt;16),"No. KK bukan 16 digit",IF(AND($F1676="",$I1676=""),"Alamat kosong",IF($N1676="","Jabatan kosong",IF($O1676="","No. HP kosong",IF(AND($R1676&lt;&gt;"",$R1676&lt;17),"Usia di bawah 17","")))))))))</f>
        <v/>
      </c>
      <c r="Z1676" s="40" t="str">
        <f aca="false">IF($B1676="","",IF(AND(OR(CARI!$C$5="",ISNUMBER(SEARCH(CARI!$C$5,$B1676&amp;" "&amp;$C1676&amp;" "&amp;$D1676&amp;" "&amp;$O1676&amp;" "&amp;$I1676&amp;" "&amp;$F1676&amp;" "&amp;$J1676&amp;" "&amp;$K1676&amp;" "&amp;$L1676&amp;" "&amp;$V1676))),OR(CARI!$C$6="",$F1676=CARI!$C$6),OR(CARI!$C$7="",$G1676=CARI!$C$7),OR(CARI!$C$8="",$T1676=CARI!$C$8)),MAX($Z$3:Z1675)+1,""))</f>
        <v/>
      </c>
      <c r="AA1676" s="40" t="str">
        <f aca="false">IF($Y1676="","",MAX($AA$3:AA1675)+1)</f>
        <v/>
      </c>
      <c r="AB1676" s="40" t="str">
        <f aca="false">IF($F1676="","",$F1676&amp;"#"&amp;COUNTIF($F$4:$F1676,$F1676))</f>
        <v/>
      </c>
      <c r="AC1676" s="40" t="str">
        <f aca="false">IF($B1676="","",IF(AND(OR(CETAK!$J$10="",$F1676=CETAK!$J$10),OR(CETAK!$J$11="",$G1676=CETAK!$J$11),OR(CETAK!$J$12="",$P1676=CETAK!$J$12),OR(CETAK!$J$13="",$N1676=CETAK!$J$13),OR(CETAK!$J$14="",$T1676=CETAK!$J$14)),MAX($AC$3:AC1675)+1,""))</f>
        <v/>
      </c>
      <c r="AD1676" s="40" t="str">
        <f aca="false">IF($B1676="","",IF(AND(OR(ABSENSI!$H$10="",$F1676=ABSENSI!$H$10),OR(ABSENSI!$H$11="",$G1676=ABSENSI!$H$11),OR(ABSENSI!$H$12="",$P1676=ABSENSI!$H$12)),MAX($AD$3:AD1675)+1,""))</f>
        <v/>
      </c>
      <c r="AE1676" s="40" t="str">
        <f aca="false">IF($B1676="","",IF(AND(OR(KARTU!$K$6="",$F1676=KARTU!$K$6),OR(KARTU!$K$7="",$G1676=KARTU!$K$7),OR(KARTU!$K$8="",$P1676=KARTU!$K$8)),MAX($AE$3:AE1675)+1,""))</f>
        <v/>
      </c>
    </row>
    <row r="1677" customFormat="false" ht="15" hidden="false" customHeight="false" outlineLevel="0" collapsed="false">
      <c r="A1677" s="35" t="str">
        <f aca="false">IF($B1677="","",COUNTA($B$4:$B1677))</f>
        <v/>
      </c>
      <c r="B1677" s="36"/>
      <c r="C1677" s="37"/>
      <c r="D1677" s="37"/>
      <c r="E1677" s="38"/>
      <c r="F1677" s="36"/>
      <c r="G1677" s="39"/>
      <c r="H1677" s="39"/>
      <c r="I1677" s="36"/>
      <c r="J1677" s="36"/>
      <c r="K1677" s="36"/>
      <c r="L1677" s="36"/>
      <c r="M1677" s="40" t="str">
        <f aca="false">IF($F1677="","",$F1677&amp;IF($G1677="",""," - RT "&amp;$G1677&amp;IF($H1677="","","/"&amp;$H1677)))</f>
        <v/>
      </c>
      <c r="N1677" s="36"/>
      <c r="O1677" s="37"/>
      <c r="P1677" s="39"/>
      <c r="Q1677" s="41"/>
      <c r="R1677" s="35" t="str">
        <f aca="true">IF(OR($B1677="",$Q1677=""),"",DATEDIF($Q1677,TODAY(),"Y"))</f>
        <v/>
      </c>
      <c r="S1677" s="40" t="str">
        <f aca="false">IF($R1677="","",INDEX(usia_label,MATCH($R1677,usia_min,1)))</f>
        <v/>
      </c>
      <c r="T1677" s="36"/>
      <c r="U1677" s="41"/>
      <c r="V1677" s="36"/>
      <c r="W1677" s="36"/>
      <c r="X1677" s="40" t="str">
        <f aca="false">IF($M1677="","",$M1677&amp;"#"&amp;COUNTIF($M$4:$M1677,$M1677))</f>
        <v/>
      </c>
      <c r="Y1677" s="40" t="str">
        <f aca="false">IF($B1677="","",IF($C1677="","NIK kosong",IF(LEN($C1677)&lt;&gt;16,"NIK bukan 16 digit",IF(COUNTIF($C$4:$C$2003,$C1677&amp;"*")&gt;1,"NIK ganda",IF(AND($D1677&lt;&gt;"",LEN($D1677)&lt;&gt;16),"No. KK bukan 16 digit",IF(AND($F1677="",$I1677=""),"Alamat kosong",IF($N1677="","Jabatan kosong",IF($O1677="","No. HP kosong",IF(AND($R1677&lt;&gt;"",$R1677&lt;17),"Usia di bawah 17","")))))))))</f>
        <v/>
      </c>
      <c r="Z1677" s="40" t="str">
        <f aca="false">IF($B1677="","",IF(AND(OR(CARI!$C$5="",ISNUMBER(SEARCH(CARI!$C$5,$B1677&amp;" "&amp;$C1677&amp;" "&amp;$D1677&amp;" "&amp;$O1677&amp;" "&amp;$I1677&amp;" "&amp;$F1677&amp;" "&amp;$J1677&amp;" "&amp;$K1677&amp;" "&amp;$L1677&amp;" "&amp;$V1677))),OR(CARI!$C$6="",$F1677=CARI!$C$6),OR(CARI!$C$7="",$G1677=CARI!$C$7),OR(CARI!$C$8="",$T1677=CARI!$C$8)),MAX($Z$3:Z1676)+1,""))</f>
        <v/>
      </c>
      <c r="AA1677" s="40" t="str">
        <f aca="false">IF($Y1677="","",MAX($AA$3:AA1676)+1)</f>
        <v/>
      </c>
      <c r="AB1677" s="40" t="str">
        <f aca="false">IF($F1677="","",$F1677&amp;"#"&amp;COUNTIF($F$4:$F1677,$F1677))</f>
        <v/>
      </c>
      <c r="AC1677" s="40" t="str">
        <f aca="false">IF($B1677="","",IF(AND(OR(CETAK!$J$10="",$F1677=CETAK!$J$10),OR(CETAK!$J$11="",$G1677=CETAK!$J$11),OR(CETAK!$J$12="",$P1677=CETAK!$J$12),OR(CETAK!$J$13="",$N1677=CETAK!$J$13),OR(CETAK!$J$14="",$T1677=CETAK!$J$14)),MAX($AC$3:AC1676)+1,""))</f>
        <v/>
      </c>
      <c r="AD1677" s="40" t="str">
        <f aca="false">IF($B1677="","",IF(AND(OR(ABSENSI!$H$10="",$F1677=ABSENSI!$H$10),OR(ABSENSI!$H$11="",$G1677=ABSENSI!$H$11),OR(ABSENSI!$H$12="",$P1677=ABSENSI!$H$12)),MAX($AD$3:AD1676)+1,""))</f>
        <v/>
      </c>
      <c r="AE1677" s="40" t="str">
        <f aca="false">IF($B1677="","",IF(AND(OR(KARTU!$K$6="",$F1677=KARTU!$K$6),OR(KARTU!$K$7="",$G1677=KARTU!$K$7),OR(KARTU!$K$8="",$P1677=KARTU!$K$8)),MAX($AE$3:AE1676)+1,""))</f>
        <v/>
      </c>
    </row>
    <row r="1678" customFormat="false" ht="15" hidden="false" customHeight="false" outlineLevel="0" collapsed="false">
      <c r="A1678" s="35" t="str">
        <f aca="false">IF($B1678="","",COUNTA($B$4:$B1678))</f>
        <v/>
      </c>
      <c r="B1678" s="36"/>
      <c r="C1678" s="37"/>
      <c r="D1678" s="37"/>
      <c r="E1678" s="38"/>
      <c r="F1678" s="36"/>
      <c r="G1678" s="39"/>
      <c r="H1678" s="39"/>
      <c r="I1678" s="36"/>
      <c r="J1678" s="36"/>
      <c r="K1678" s="36"/>
      <c r="L1678" s="36"/>
      <c r="M1678" s="40" t="str">
        <f aca="false">IF($F1678="","",$F1678&amp;IF($G1678="",""," - RT "&amp;$G1678&amp;IF($H1678="","","/"&amp;$H1678)))</f>
        <v/>
      </c>
      <c r="N1678" s="36"/>
      <c r="O1678" s="37"/>
      <c r="P1678" s="39"/>
      <c r="Q1678" s="41"/>
      <c r="R1678" s="35" t="str">
        <f aca="true">IF(OR($B1678="",$Q1678=""),"",DATEDIF($Q1678,TODAY(),"Y"))</f>
        <v/>
      </c>
      <c r="S1678" s="40" t="str">
        <f aca="false">IF($R1678="","",INDEX(usia_label,MATCH($R1678,usia_min,1)))</f>
        <v/>
      </c>
      <c r="T1678" s="36"/>
      <c r="U1678" s="41"/>
      <c r="V1678" s="36"/>
      <c r="W1678" s="36"/>
      <c r="X1678" s="40" t="str">
        <f aca="false">IF($M1678="","",$M1678&amp;"#"&amp;COUNTIF($M$4:$M1678,$M1678))</f>
        <v/>
      </c>
      <c r="Y1678" s="40" t="str">
        <f aca="false">IF($B1678="","",IF($C1678="","NIK kosong",IF(LEN($C1678)&lt;&gt;16,"NIK bukan 16 digit",IF(COUNTIF($C$4:$C$2003,$C1678&amp;"*")&gt;1,"NIK ganda",IF(AND($D1678&lt;&gt;"",LEN($D1678)&lt;&gt;16),"No. KK bukan 16 digit",IF(AND($F1678="",$I1678=""),"Alamat kosong",IF($N1678="","Jabatan kosong",IF($O1678="","No. HP kosong",IF(AND($R1678&lt;&gt;"",$R1678&lt;17),"Usia di bawah 17","")))))))))</f>
        <v/>
      </c>
      <c r="Z1678" s="40" t="str">
        <f aca="false">IF($B1678="","",IF(AND(OR(CARI!$C$5="",ISNUMBER(SEARCH(CARI!$C$5,$B1678&amp;" "&amp;$C1678&amp;" "&amp;$D1678&amp;" "&amp;$O1678&amp;" "&amp;$I1678&amp;" "&amp;$F1678&amp;" "&amp;$J1678&amp;" "&amp;$K1678&amp;" "&amp;$L1678&amp;" "&amp;$V1678))),OR(CARI!$C$6="",$F1678=CARI!$C$6),OR(CARI!$C$7="",$G1678=CARI!$C$7),OR(CARI!$C$8="",$T1678=CARI!$C$8)),MAX($Z$3:Z1677)+1,""))</f>
        <v/>
      </c>
      <c r="AA1678" s="40" t="str">
        <f aca="false">IF($Y1678="","",MAX($AA$3:AA1677)+1)</f>
        <v/>
      </c>
      <c r="AB1678" s="40" t="str">
        <f aca="false">IF($F1678="","",$F1678&amp;"#"&amp;COUNTIF($F$4:$F1678,$F1678))</f>
        <v/>
      </c>
      <c r="AC1678" s="40" t="str">
        <f aca="false">IF($B1678="","",IF(AND(OR(CETAK!$J$10="",$F1678=CETAK!$J$10),OR(CETAK!$J$11="",$G1678=CETAK!$J$11),OR(CETAK!$J$12="",$P1678=CETAK!$J$12),OR(CETAK!$J$13="",$N1678=CETAK!$J$13),OR(CETAK!$J$14="",$T1678=CETAK!$J$14)),MAX($AC$3:AC1677)+1,""))</f>
        <v/>
      </c>
      <c r="AD1678" s="40" t="str">
        <f aca="false">IF($B1678="","",IF(AND(OR(ABSENSI!$H$10="",$F1678=ABSENSI!$H$10),OR(ABSENSI!$H$11="",$G1678=ABSENSI!$H$11),OR(ABSENSI!$H$12="",$P1678=ABSENSI!$H$12)),MAX($AD$3:AD1677)+1,""))</f>
        <v/>
      </c>
      <c r="AE1678" s="40" t="str">
        <f aca="false">IF($B1678="","",IF(AND(OR(KARTU!$K$6="",$F1678=KARTU!$K$6),OR(KARTU!$K$7="",$G1678=KARTU!$K$7),OR(KARTU!$K$8="",$P1678=KARTU!$K$8)),MAX($AE$3:AE1677)+1,""))</f>
        <v/>
      </c>
    </row>
    <row r="1679" customFormat="false" ht="15" hidden="false" customHeight="false" outlineLevel="0" collapsed="false">
      <c r="A1679" s="35" t="str">
        <f aca="false">IF($B1679="","",COUNTA($B$4:$B1679))</f>
        <v/>
      </c>
      <c r="B1679" s="36"/>
      <c r="C1679" s="37"/>
      <c r="D1679" s="37"/>
      <c r="E1679" s="38"/>
      <c r="F1679" s="36"/>
      <c r="G1679" s="39"/>
      <c r="H1679" s="39"/>
      <c r="I1679" s="36"/>
      <c r="J1679" s="36"/>
      <c r="K1679" s="36"/>
      <c r="L1679" s="36"/>
      <c r="M1679" s="40" t="str">
        <f aca="false">IF($F1679="","",$F1679&amp;IF($G1679="",""," - RT "&amp;$G1679&amp;IF($H1679="","","/"&amp;$H1679)))</f>
        <v/>
      </c>
      <c r="N1679" s="36"/>
      <c r="O1679" s="37"/>
      <c r="P1679" s="39"/>
      <c r="Q1679" s="41"/>
      <c r="R1679" s="35" t="str">
        <f aca="true">IF(OR($B1679="",$Q1679=""),"",DATEDIF($Q1679,TODAY(),"Y"))</f>
        <v/>
      </c>
      <c r="S1679" s="40" t="str">
        <f aca="false">IF($R1679="","",INDEX(usia_label,MATCH($R1679,usia_min,1)))</f>
        <v/>
      </c>
      <c r="T1679" s="36"/>
      <c r="U1679" s="41"/>
      <c r="V1679" s="36"/>
      <c r="W1679" s="36"/>
      <c r="X1679" s="40" t="str">
        <f aca="false">IF($M1679="","",$M1679&amp;"#"&amp;COUNTIF($M$4:$M1679,$M1679))</f>
        <v/>
      </c>
      <c r="Y1679" s="40" t="str">
        <f aca="false">IF($B1679="","",IF($C1679="","NIK kosong",IF(LEN($C1679)&lt;&gt;16,"NIK bukan 16 digit",IF(COUNTIF($C$4:$C$2003,$C1679&amp;"*")&gt;1,"NIK ganda",IF(AND($D1679&lt;&gt;"",LEN($D1679)&lt;&gt;16),"No. KK bukan 16 digit",IF(AND($F1679="",$I1679=""),"Alamat kosong",IF($N1679="","Jabatan kosong",IF($O1679="","No. HP kosong",IF(AND($R1679&lt;&gt;"",$R1679&lt;17),"Usia di bawah 17","")))))))))</f>
        <v/>
      </c>
      <c r="Z1679" s="40" t="str">
        <f aca="false">IF($B1679="","",IF(AND(OR(CARI!$C$5="",ISNUMBER(SEARCH(CARI!$C$5,$B1679&amp;" "&amp;$C1679&amp;" "&amp;$D1679&amp;" "&amp;$O1679&amp;" "&amp;$I1679&amp;" "&amp;$F1679&amp;" "&amp;$J1679&amp;" "&amp;$K1679&amp;" "&amp;$L1679&amp;" "&amp;$V1679))),OR(CARI!$C$6="",$F1679=CARI!$C$6),OR(CARI!$C$7="",$G1679=CARI!$C$7),OR(CARI!$C$8="",$T1679=CARI!$C$8)),MAX($Z$3:Z1678)+1,""))</f>
        <v/>
      </c>
      <c r="AA1679" s="40" t="str">
        <f aca="false">IF($Y1679="","",MAX($AA$3:AA1678)+1)</f>
        <v/>
      </c>
      <c r="AB1679" s="40" t="str">
        <f aca="false">IF($F1679="","",$F1679&amp;"#"&amp;COUNTIF($F$4:$F1679,$F1679))</f>
        <v/>
      </c>
      <c r="AC1679" s="40" t="str">
        <f aca="false">IF($B1679="","",IF(AND(OR(CETAK!$J$10="",$F1679=CETAK!$J$10),OR(CETAK!$J$11="",$G1679=CETAK!$J$11),OR(CETAK!$J$12="",$P1679=CETAK!$J$12),OR(CETAK!$J$13="",$N1679=CETAK!$J$13),OR(CETAK!$J$14="",$T1679=CETAK!$J$14)),MAX($AC$3:AC1678)+1,""))</f>
        <v/>
      </c>
      <c r="AD1679" s="40" t="str">
        <f aca="false">IF($B1679="","",IF(AND(OR(ABSENSI!$H$10="",$F1679=ABSENSI!$H$10),OR(ABSENSI!$H$11="",$G1679=ABSENSI!$H$11),OR(ABSENSI!$H$12="",$P1679=ABSENSI!$H$12)),MAX($AD$3:AD1678)+1,""))</f>
        <v/>
      </c>
      <c r="AE1679" s="40" t="str">
        <f aca="false">IF($B1679="","",IF(AND(OR(KARTU!$K$6="",$F1679=KARTU!$K$6),OR(KARTU!$K$7="",$G1679=KARTU!$K$7),OR(KARTU!$K$8="",$P1679=KARTU!$K$8)),MAX($AE$3:AE1678)+1,""))</f>
        <v/>
      </c>
    </row>
    <row r="1680" customFormat="false" ht="15" hidden="false" customHeight="false" outlineLevel="0" collapsed="false">
      <c r="A1680" s="35" t="str">
        <f aca="false">IF($B1680="","",COUNTA($B$4:$B1680))</f>
        <v/>
      </c>
      <c r="B1680" s="36"/>
      <c r="C1680" s="37"/>
      <c r="D1680" s="37"/>
      <c r="E1680" s="38"/>
      <c r="F1680" s="36"/>
      <c r="G1680" s="39"/>
      <c r="H1680" s="39"/>
      <c r="I1680" s="36"/>
      <c r="J1680" s="36"/>
      <c r="K1680" s="36"/>
      <c r="L1680" s="36"/>
      <c r="M1680" s="40" t="str">
        <f aca="false">IF($F1680="","",$F1680&amp;IF($G1680="",""," - RT "&amp;$G1680&amp;IF($H1680="","","/"&amp;$H1680)))</f>
        <v/>
      </c>
      <c r="N1680" s="36"/>
      <c r="O1680" s="37"/>
      <c r="P1680" s="39"/>
      <c r="Q1680" s="41"/>
      <c r="R1680" s="35" t="str">
        <f aca="true">IF(OR($B1680="",$Q1680=""),"",DATEDIF($Q1680,TODAY(),"Y"))</f>
        <v/>
      </c>
      <c r="S1680" s="40" t="str">
        <f aca="false">IF($R1680="","",INDEX(usia_label,MATCH($R1680,usia_min,1)))</f>
        <v/>
      </c>
      <c r="T1680" s="36"/>
      <c r="U1680" s="41"/>
      <c r="V1680" s="36"/>
      <c r="W1680" s="36"/>
      <c r="X1680" s="40" t="str">
        <f aca="false">IF($M1680="","",$M1680&amp;"#"&amp;COUNTIF($M$4:$M1680,$M1680))</f>
        <v/>
      </c>
      <c r="Y1680" s="40" t="str">
        <f aca="false">IF($B1680="","",IF($C1680="","NIK kosong",IF(LEN($C1680)&lt;&gt;16,"NIK bukan 16 digit",IF(COUNTIF($C$4:$C$2003,$C1680&amp;"*")&gt;1,"NIK ganda",IF(AND($D1680&lt;&gt;"",LEN($D1680)&lt;&gt;16),"No. KK bukan 16 digit",IF(AND($F1680="",$I1680=""),"Alamat kosong",IF($N1680="","Jabatan kosong",IF($O1680="","No. HP kosong",IF(AND($R1680&lt;&gt;"",$R1680&lt;17),"Usia di bawah 17","")))))))))</f>
        <v/>
      </c>
      <c r="Z1680" s="40" t="str">
        <f aca="false">IF($B1680="","",IF(AND(OR(CARI!$C$5="",ISNUMBER(SEARCH(CARI!$C$5,$B1680&amp;" "&amp;$C1680&amp;" "&amp;$D1680&amp;" "&amp;$O1680&amp;" "&amp;$I1680&amp;" "&amp;$F1680&amp;" "&amp;$J1680&amp;" "&amp;$K1680&amp;" "&amp;$L1680&amp;" "&amp;$V1680))),OR(CARI!$C$6="",$F1680=CARI!$C$6),OR(CARI!$C$7="",$G1680=CARI!$C$7),OR(CARI!$C$8="",$T1680=CARI!$C$8)),MAX($Z$3:Z1679)+1,""))</f>
        <v/>
      </c>
      <c r="AA1680" s="40" t="str">
        <f aca="false">IF($Y1680="","",MAX($AA$3:AA1679)+1)</f>
        <v/>
      </c>
      <c r="AB1680" s="40" t="str">
        <f aca="false">IF($F1680="","",$F1680&amp;"#"&amp;COUNTIF($F$4:$F1680,$F1680))</f>
        <v/>
      </c>
      <c r="AC1680" s="40" t="str">
        <f aca="false">IF($B1680="","",IF(AND(OR(CETAK!$J$10="",$F1680=CETAK!$J$10),OR(CETAK!$J$11="",$G1680=CETAK!$J$11),OR(CETAK!$J$12="",$P1680=CETAK!$J$12),OR(CETAK!$J$13="",$N1680=CETAK!$J$13),OR(CETAK!$J$14="",$T1680=CETAK!$J$14)),MAX($AC$3:AC1679)+1,""))</f>
        <v/>
      </c>
      <c r="AD1680" s="40" t="str">
        <f aca="false">IF($B1680="","",IF(AND(OR(ABSENSI!$H$10="",$F1680=ABSENSI!$H$10),OR(ABSENSI!$H$11="",$G1680=ABSENSI!$H$11),OR(ABSENSI!$H$12="",$P1680=ABSENSI!$H$12)),MAX($AD$3:AD1679)+1,""))</f>
        <v/>
      </c>
      <c r="AE1680" s="40" t="str">
        <f aca="false">IF($B1680="","",IF(AND(OR(KARTU!$K$6="",$F1680=KARTU!$K$6),OR(KARTU!$K$7="",$G1680=KARTU!$K$7),OR(KARTU!$K$8="",$P1680=KARTU!$K$8)),MAX($AE$3:AE1679)+1,""))</f>
        <v/>
      </c>
    </row>
    <row r="1681" customFormat="false" ht="15" hidden="false" customHeight="false" outlineLevel="0" collapsed="false">
      <c r="A1681" s="35" t="str">
        <f aca="false">IF($B1681="","",COUNTA($B$4:$B1681))</f>
        <v/>
      </c>
      <c r="B1681" s="36"/>
      <c r="C1681" s="37"/>
      <c r="D1681" s="37"/>
      <c r="E1681" s="38"/>
      <c r="F1681" s="36"/>
      <c r="G1681" s="39"/>
      <c r="H1681" s="39"/>
      <c r="I1681" s="36"/>
      <c r="J1681" s="36"/>
      <c r="K1681" s="36"/>
      <c r="L1681" s="36"/>
      <c r="M1681" s="40" t="str">
        <f aca="false">IF($F1681="","",$F1681&amp;IF($G1681="",""," - RT "&amp;$G1681&amp;IF($H1681="","","/"&amp;$H1681)))</f>
        <v/>
      </c>
      <c r="N1681" s="36"/>
      <c r="O1681" s="37"/>
      <c r="P1681" s="39"/>
      <c r="Q1681" s="41"/>
      <c r="R1681" s="35" t="str">
        <f aca="true">IF(OR($B1681="",$Q1681=""),"",DATEDIF($Q1681,TODAY(),"Y"))</f>
        <v/>
      </c>
      <c r="S1681" s="40" t="str">
        <f aca="false">IF($R1681="","",INDEX(usia_label,MATCH($R1681,usia_min,1)))</f>
        <v/>
      </c>
      <c r="T1681" s="36"/>
      <c r="U1681" s="41"/>
      <c r="V1681" s="36"/>
      <c r="W1681" s="36"/>
      <c r="X1681" s="40" t="str">
        <f aca="false">IF($M1681="","",$M1681&amp;"#"&amp;COUNTIF($M$4:$M1681,$M1681))</f>
        <v/>
      </c>
      <c r="Y1681" s="40" t="str">
        <f aca="false">IF($B1681="","",IF($C1681="","NIK kosong",IF(LEN($C1681)&lt;&gt;16,"NIK bukan 16 digit",IF(COUNTIF($C$4:$C$2003,$C1681&amp;"*")&gt;1,"NIK ganda",IF(AND($D1681&lt;&gt;"",LEN($D1681)&lt;&gt;16),"No. KK bukan 16 digit",IF(AND($F1681="",$I1681=""),"Alamat kosong",IF($N1681="","Jabatan kosong",IF($O1681="","No. HP kosong",IF(AND($R1681&lt;&gt;"",$R1681&lt;17),"Usia di bawah 17","")))))))))</f>
        <v/>
      </c>
      <c r="Z1681" s="40" t="str">
        <f aca="false">IF($B1681="","",IF(AND(OR(CARI!$C$5="",ISNUMBER(SEARCH(CARI!$C$5,$B1681&amp;" "&amp;$C1681&amp;" "&amp;$D1681&amp;" "&amp;$O1681&amp;" "&amp;$I1681&amp;" "&amp;$F1681&amp;" "&amp;$J1681&amp;" "&amp;$K1681&amp;" "&amp;$L1681&amp;" "&amp;$V1681))),OR(CARI!$C$6="",$F1681=CARI!$C$6),OR(CARI!$C$7="",$G1681=CARI!$C$7),OR(CARI!$C$8="",$T1681=CARI!$C$8)),MAX($Z$3:Z1680)+1,""))</f>
        <v/>
      </c>
      <c r="AA1681" s="40" t="str">
        <f aca="false">IF($Y1681="","",MAX($AA$3:AA1680)+1)</f>
        <v/>
      </c>
      <c r="AB1681" s="40" t="str">
        <f aca="false">IF($F1681="","",$F1681&amp;"#"&amp;COUNTIF($F$4:$F1681,$F1681))</f>
        <v/>
      </c>
      <c r="AC1681" s="40" t="str">
        <f aca="false">IF($B1681="","",IF(AND(OR(CETAK!$J$10="",$F1681=CETAK!$J$10),OR(CETAK!$J$11="",$G1681=CETAK!$J$11),OR(CETAK!$J$12="",$P1681=CETAK!$J$12),OR(CETAK!$J$13="",$N1681=CETAK!$J$13),OR(CETAK!$J$14="",$T1681=CETAK!$J$14)),MAX($AC$3:AC1680)+1,""))</f>
        <v/>
      </c>
      <c r="AD1681" s="40" t="str">
        <f aca="false">IF($B1681="","",IF(AND(OR(ABSENSI!$H$10="",$F1681=ABSENSI!$H$10),OR(ABSENSI!$H$11="",$G1681=ABSENSI!$H$11),OR(ABSENSI!$H$12="",$P1681=ABSENSI!$H$12)),MAX($AD$3:AD1680)+1,""))</f>
        <v/>
      </c>
      <c r="AE1681" s="40" t="str">
        <f aca="false">IF($B1681="","",IF(AND(OR(KARTU!$K$6="",$F1681=KARTU!$K$6),OR(KARTU!$K$7="",$G1681=KARTU!$K$7),OR(KARTU!$K$8="",$P1681=KARTU!$K$8)),MAX($AE$3:AE1680)+1,""))</f>
        <v/>
      </c>
    </row>
    <row r="1682" customFormat="false" ht="15" hidden="false" customHeight="false" outlineLevel="0" collapsed="false">
      <c r="A1682" s="35" t="str">
        <f aca="false">IF($B1682="","",COUNTA($B$4:$B1682))</f>
        <v/>
      </c>
      <c r="B1682" s="36"/>
      <c r="C1682" s="37"/>
      <c r="D1682" s="37"/>
      <c r="E1682" s="38"/>
      <c r="F1682" s="36"/>
      <c r="G1682" s="39"/>
      <c r="H1682" s="39"/>
      <c r="I1682" s="36"/>
      <c r="J1682" s="36"/>
      <c r="K1682" s="36"/>
      <c r="L1682" s="36"/>
      <c r="M1682" s="40" t="str">
        <f aca="false">IF($F1682="","",$F1682&amp;IF($G1682="",""," - RT "&amp;$G1682&amp;IF($H1682="","","/"&amp;$H1682)))</f>
        <v/>
      </c>
      <c r="N1682" s="36"/>
      <c r="O1682" s="37"/>
      <c r="P1682" s="39"/>
      <c r="Q1682" s="41"/>
      <c r="R1682" s="35" t="str">
        <f aca="true">IF(OR($B1682="",$Q1682=""),"",DATEDIF($Q1682,TODAY(),"Y"))</f>
        <v/>
      </c>
      <c r="S1682" s="40" t="str">
        <f aca="false">IF($R1682="","",INDEX(usia_label,MATCH($R1682,usia_min,1)))</f>
        <v/>
      </c>
      <c r="T1682" s="36"/>
      <c r="U1682" s="41"/>
      <c r="V1682" s="36"/>
      <c r="W1682" s="36"/>
      <c r="X1682" s="40" t="str">
        <f aca="false">IF($M1682="","",$M1682&amp;"#"&amp;COUNTIF($M$4:$M1682,$M1682))</f>
        <v/>
      </c>
      <c r="Y1682" s="40" t="str">
        <f aca="false">IF($B1682="","",IF($C1682="","NIK kosong",IF(LEN($C1682)&lt;&gt;16,"NIK bukan 16 digit",IF(COUNTIF($C$4:$C$2003,$C1682&amp;"*")&gt;1,"NIK ganda",IF(AND($D1682&lt;&gt;"",LEN($D1682)&lt;&gt;16),"No. KK bukan 16 digit",IF(AND($F1682="",$I1682=""),"Alamat kosong",IF($N1682="","Jabatan kosong",IF($O1682="","No. HP kosong",IF(AND($R1682&lt;&gt;"",$R1682&lt;17),"Usia di bawah 17","")))))))))</f>
        <v/>
      </c>
      <c r="Z1682" s="40" t="str">
        <f aca="false">IF($B1682="","",IF(AND(OR(CARI!$C$5="",ISNUMBER(SEARCH(CARI!$C$5,$B1682&amp;" "&amp;$C1682&amp;" "&amp;$D1682&amp;" "&amp;$O1682&amp;" "&amp;$I1682&amp;" "&amp;$F1682&amp;" "&amp;$J1682&amp;" "&amp;$K1682&amp;" "&amp;$L1682&amp;" "&amp;$V1682))),OR(CARI!$C$6="",$F1682=CARI!$C$6),OR(CARI!$C$7="",$G1682=CARI!$C$7),OR(CARI!$C$8="",$T1682=CARI!$C$8)),MAX($Z$3:Z1681)+1,""))</f>
        <v/>
      </c>
      <c r="AA1682" s="40" t="str">
        <f aca="false">IF($Y1682="","",MAX($AA$3:AA1681)+1)</f>
        <v/>
      </c>
      <c r="AB1682" s="40" t="str">
        <f aca="false">IF($F1682="","",$F1682&amp;"#"&amp;COUNTIF($F$4:$F1682,$F1682))</f>
        <v/>
      </c>
      <c r="AC1682" s="40" t="str">
        <f aca="false">IF($B1682="","",IF(AND(OR(CETAK!$J$10="",$F1682=CETAK!$J$10),OR(CETAK!$J$11="",$G1682=CETAK!$J$11),OR(CETAK!$J$12="",$P1682=CETAK!$J$12),OR(CETAK!$J$13="",$N1682=CETAK!$J$13),OR(CETAK!$J$14="",$T1682=CETAK!$J$14)),MAX($AC$3:AC1681)+1,""))</f>
        <v/>
      </c>
      <c r="AD1682" s="40" t="str">
        <f aca="false">IF($B1682="","",IF(AND(OR(ABSENSI!$H$10="",$F1682=ABSENSI!$H$10),OR(ABSENSI!$H$11="",$G1682=ABSENSI!$H$11),OR(ABSENSI!$H$12="",$P1682=ABSENSI!$H$12)),MAX($AD$3:AD1681)+1,""))</f>
        <v/>
      </c>
      <c r="AE1682" s="40" t="str">
        <f aca="false">IF($B1682="","",IF(AND(OR(KARTU!$K$6="",$F1682=KARTU!$K$6),OR(KARTU!$K$7="",$G1682=KARTU!$K$7),OR(KARTU!$K$8="",$P1682=KARTU!$K$8)),MAX($AE$3:AE1681)+1,""))</f>
        <v/>
      </c>
    </row>
    <row r="1683" customFormat="false" ht="15" hidden="false" customHeight="false" outlineLevel="0" collapsed="false">
      <c r="A1683" s="35" t="str">
        <f aca="false">IF($B1683="","",COUNTA($B$4:$B1683))</f>
        <v/>
      </c>
      <c r="B1683" s="36"/>
      <c r="C1683" s="37"/>
      <c r="D1683" s="37"/>
      <c r="E1683" s="38"/>
      <c r="F1683" s="36"/>
      <c r="G1683" s="39"/>
      <c r="H1683" s="39"/>
      <c r="I1683" s="36"/>
      <c r="J1683" s="36"/>
      <c r="K1683" s="36"/>
      <c r="L1683" s="36"/>
      <c r="M1683" s="40" t="str">
        <f aca="false">IF($F1683="","",$F1683&amp;IF($G1683="",""," - RT "&amp;$G1683&amp;IF($H1683="","","/"&amp;$H1683)))</f>
        <v/>
      </c>
      <c r="N1683" s="36"/>
      <c r="O1683" s="37"/>
      <c r="P1683" s="39"/>
      <c r="Q1683" s="41"/>
      <c r="R1683" s="35" t="str">
        <f aca="true">IF(OR($B1683="",$Q1683=""),"",DATEDIF($Q1683,TODAY(),"Y"))</f>
        <v/>
      </c>
      <c r="S1683" s="40" t="str">
        <f aca="false">IF($R1683="","",INDEX(usia_label,MATCH($R1683,usia_min,1)))</f>
        <v/>
      </c>
      <c r="T1683" s="36"/>
      <c r="U1683" s="41"/>
      <c r="V1683" s="36"/>
      <c r="W1683" s="36"/>
      <c r="X1683" s="40" t="str">
        <f aca="false">IF($M1683="","",$M1683&amp;"#"&amp;COUNTIF($M$4:$M1683,$M1683))</f>
        <v/>
      </c>
      <c r="Y1683" s="40" t="str">
        <f aca="false">IF($B1683="","",IF($C1683="","NIK kosong",IF(LEN($C1683)&lt;&gt;16,"NIK bukan 16 digit",IF(COUNTIF($C$4:$C$2003,$C1683&amp;"*")&gt;1,"NIK ganda",IF(AND($D1683&lt;&gt;"",LEN($D1683)&lt;&gt;16),"No. KK bukan 16 digit",IF(AND($F1683="",$I1683=""),"Alamat kosong",IF($N1683="","Jabatan kosong",IF($O1683="","No. HP kosong",IF(AND($R1683&lt;&gt;"",$R1683&lt;17),"Usia di bawah 17","")))))))))</f>
        <v/>
      </c>
      <c r="Z1683" s="40" t="str">
        <f aca="false">IF($B1683="","",IF(AND(OR(CARI!$C$5="",ISNUMBER(SEARCH(CARI!$C$5,$B1683&amp;" "&amp;$C1683&amp;" "&amp;$D1683&amp;" "&amp;$O1683&amp;" "&amp;$I1683&amp;" "&amp;$F1683&amp;" "&amp;$J1683&amp;" "&amp;$K1683&amp;" "&amp;$L1683&amp;" "&amp;$V1683))),OR(CARI!$C$6="",$F1683=CARI!$C$6),OR(CARI!$C$7="",$G1683=CARI!$C$7),OR(CARI!$C$8="",$T1683=CARI!$C$8)),MAX($Z$3:Z1682)+1,""))</f>
        <v/>
      </c>
      <c r="AA1683" s="40" t="str">
        <f aca="false">IF($Y1683="","",MAX($AA$3:AA1682)+1)</f>
        <v/>
      </c>
      <c r="AB1683" s="40" t="str">
        <f aca="false">IF($F1683="","",$F1683&amp;"#"&amp;COUNTIF($F$4:$F1683,$F1683))</f>
        <v/>
      </c>
      <c r="AC1683" s="40" t="str">
        <f aca="false">IF($B1683="","",IF(AND(OR(CETAK!$J$10="",$F1683=CETAK!$J$10),OR(CETAK!$J$11="",$G1683=CETAK!$J$11),OR(CETAK!$J$12="",$P1683=CETAK!$J$12),OR(CETAK!$J$13="",$N1683=CETAK!$J$13),OR(CETAK!$J$14="",$T1683=CETAK!$J$14)),MAX($AC$3:AC1682)+1,""))</f>
        <v/>
      </c>
      <c r="AD1683" s="40" t="str">
        <f aca="false">IF($B1683="","",IF(AND(OR(ABSENSI!$H$10="",$F1683=ABSENSI!$H$10),OR(ABSENSI!$H$11="",$G1683=ABSENSI!$H$11),OR(ABSENSI!$H$12="",$P1683=ABSENSI!$H$12)),MAX($AD$3:AD1682)+1,""))</f>
        <v/>
      </c>
      <c r="AE1683" s="40" t="str">
        <f aca="false">IF($B1683="","",IF(AND(OR(KARTU!$K$6="",$F1683=KARTU!$K$6),OR(KARTU!$K$7="",$G1683=KARTU!$K$7),OR(KARTU!$K$8="",$P1683=KARTU!$K$8)),MAX($AE$3:AE1682)+1,""))</f>
        <v/>
      </c>
    </row>
    <row r="1684" customFormat="false" ht="15" hidden="false" customHeight="false" outlineLevel="0" collapsed="false">
      <c r="A1684" s="35" t="str">
        <f aca="false">IF($B1684="","",COUNTA($B$4:$B1684))</f>
        <v/>
      </c>
      <c r="B1684" s="36"/>
      <c r="C1684" s="37"/>
      <c r="D1684" s="37"/>
      <c r="E1684" s="38"/>
      <c r="F1684" s="36"/>
      <c r="G1684" s="39"/>
      <c r="H1684" s="39"/>
      <c r="I1684" s="36"/>
      <c r="J1684" s="36"/>
      <c r="K1684" s="36"/>
      <c r="L1684" s="36"/>
      <c r="M1684" s="40" t="str">
        <f aca="false">IF($F1684="","",$F1684&amp;IF($G1684="",""," - RT "&amp;$G1684&amp;IF($H1684="","","/"&amp;$H1684)))</f>
        <v/>
      </c>
      <c r="N1684" s="36"/>
      <c r="O1684" s="37"/>
      <c r="P1684" s="39"/>
      <c r="Q1684" s="41"/>
      <c r="R1684" s="35" t="str">
        <f aca="true">IF(OR($B1684="",$Q1684=""),"",DATEDIF($Q1684,TODAY(),"Y"))</f>
        <v/>
      </c>
      <c r="S1684" s="40" t="str">
        <f aca="false">IF($R1684="","",INDEX(usia_label,MATCH($R1684,usia_min,1)))</f>
        <v/>
      </c>
      <c r="T1684" s="36"/>
      <c r="U1684" s="41"/>
      <c r="V1684" s="36"/>
      <c r="W1684" s="36"/>
      <c r="X1684" s="40" t="str">
        <f aca="false">IF($M1684="","",$M1684&amp;"#"&amp;COUNTIF($M$4:$M1684,$M1684))</f>
        <v/>
      </c>
      <c r="Y1684" s="40" t="str">
        <f aca="false">IF($B1684="","",IF($C1684="","NIK kosong",IF(LEN($C1684)&lt;&gt;16,"NIK bukan 16 digit",IF(COUNTIF($C$4:$C$2003,$C1684&amp;"*")&gt;1,"NIK ganda",IF(AND($D1684&lt;&gt;"",LEN($D1684)&lt;&gt;16),"No. KK bukan 16 digit",IF(AND($F1684="",$I1684=""),"Alamat kosong",IF($N1684="","Jabatan kosong",IF($O1684="","No. HP kosong",IF(AND($R1684&lt;&gt;"",$R1684&lt;17),"Usia di bawah 17","")))))))))</f>
        <v/>
      </c>
      <c r="Z1684" s="40" t="str">
        <f aca="false">IF($B1684="","",IF(AND(OR(CARI!$C$5="",ISNUMBER(SEARCH(CARI!$C$5,$B1684&amp;" "&amp;$C1684&amp;" "&amp;$D1684&amp;" "&amp;$O1684&amp;" "&amp;$I1684&amp;" "&amp;$F1684&amp;" "&amp;$J1684&amp;" "&amp;$K1684&amp;" "&amp;$L1684&amp;" "&amp;$V1684))),OR(CARI!$C$6="",$F1684=CARI!$C$6),OR(CARI!$C$7="",$G1684=CARI!$C$7),OR(CARI!$C$8="",$T1684=CARI!$C$8)),MAX($Z$3:Z1683)+1,""))</f>
        <v/>
      </c>
      <c r="AA1684" s="40" t="str">
        <f aca="false">IF($Y1684="","",MAX($AA$3:AA1683)+1)</f>
        <v/>
      </c>
      <c r="AB1684" s="40" t="str">
        <f aca="false">IF($F1684="","",$F1684&amp;"#"&amp;COUNTIF($F$4:$F1684,$F1684))</f>
        <v/>
      </c>
      <c r="AC1684" s="40" t="str">
        <f aca="false">IF($B1684="","",IF(AND(OR(CETAK!$J$10="",$F1684=CETAK!$J$10),OR(CETAK!$J$11="",$G1684=CETAK!$J$11),OR(CETAK!$J$12="",$P1684=CETAK!$J$12),OR(CETAK!$J$13="",$N1684=CETAK!$J$13),OR(CETAK!$J$14="",$T1684=CETAK!$J$14)),MAX($AC$3:AC1683)+1,""))</f>
        <v/>
      </c>
      <c r="AD1684" s="40" t="str">
        <f aca="false">IF($B1684="","",IF(AND(OR(ABSENSI!$H$10="",$F1684=ABSENSI!$H$10),OR(ABSENSI!$H$11="",$G1684=ABSENSI!$H$11),OR(ABSENSI!$H$12="",$P1684=ABSENSI!$H$12)),MAX($AD$3:AD1683)+1,""))</f>
        <v/>
      </c>
      <c r="AE1684" s="40" t="str">
        <f aca="false">IF($B1684="","",IF(AND(OR(KARTU!$K$6="",$F1684=KARTU!$K$6),OR(KARTU!$K$7="",$G1684=KARTU!$K$7),OR(KARTU!$K$8="",$P1684=KARTU!$K$8)),MAX($AE$3:AE1683)+1,""))</f>
        <v/>
      </c>
    </row>
    <row r="1685" customFormat="false" ht="15" hidden="false" customHeight="false" outlineLevel="0" collapsed="false">
      <c r="A1685" s="35" t="str">
        <f aca="false">IF($B1685="","",COUNTA($B$4:$B1685))</f>
        <v/>
      </c>
      <c r="B1685" s="36"/>
      <c r="C1685" s="37"/>
      <c r="D1685" s="37"/>
      <c r="E1685" s="38"/>
      <c r="F1685" s="36"/>
      <c r="G1685" s="39"/>
      <c r="H1685" s="39"/>
      <c r="I1685" s="36"/>
      <c r="J1685" s="36"/>
      <c r="K1685" s="36"/>
      <c r="L1685" s="36"/>
      <c r="M1685" s="40" t="str">
        <f aca="false">IF($F1685="","",$F1685&amp;IF($G1685="",""," - RT "&amp;$G1685&amp;IF($H1685="","","/"&amp;$H1685)))</f>
        <v/>
      </c>
      <c r="N1685" s="36"/>
      <c r="O1685" s="37"/>
      <c r="P1685" s="39"/>
      <c r="Q1685" s="41"/>
      <c r="R1685" s="35" t="str">
        <f aca="true">IF(OR($B1685="",$Q1685=""),"",DATEDIF($Q1685,TODAY(),"Y"))</f>
        <v/>
      </c>
      <c r="S1685" s="40" t="str">
        <f aca="false">IF($R1685="","",INDEX(usia_label,MATCH($R1685,usia_min,1)))</f>
        <v/>
      </c>
      <c r="T1685" s="36"/>
      <c r="U1685" s="41"/>
      <c r="V1685" s="36"/>
      <c r="W1685" s="36"/>
      <c r="X1685" s="40" t="str">
        <f aca="false">IF($M1685="","",$M1685&amp;"#"&amp;COUNTIF($M$4:$M1685,$M1685))</f>
        <v/>
      </c>
      <c r="Y1685" s="40" t="str">
        <f aca="false">IF($B1685="","",IF($C1685="","NIK kosong",IF(LEN($C1685)&lt;&gt;16,"NIK bukan 16 digit",IF(COUNTIF($C$4:$C$2003,$C1685&amp;"*")&gt;1,"NIK ganda",IF(AND($D1685&lt;&gt;"",LEN($D1685)&lt;&gt;16),"No. KK bukan 16 digit",IF(AND($F1685="",$I1685=""),"Alamat kosong",IF($N1685="","Jabatan kosong",IF($O1685="","No. HP kosong",IF(AND($R1685&lt;&gt;"",$R1685&lt;17),"Usia di bawah 17","")))))))))</f>
        <v/>
      </c>
      <c r="Z1685" s="40" t="str">
        <f aca="false">IF($B1685="","",IF(AND(OR(CARI!$C$5="",ISNUMBER(SEARCH(CARI!$C$5,$B1685&amp;" "&amp;$C1685&amp;" "&amp;$D1685&amp;" "&amp;$O1685&amp;" "&amp;$I1685&amp;" "&amp;$F1685&amp;" "&amp;$J1685&amp;" "&amp;$K1685&amp;" "&amp;$L1685&amp;" "&amp;$V1685))),OR(CARI!$C$6="",$F1685=CARI!$C$6),OR(CARI!$C$7="",$G1685=CARI!$C$7),OR(CARI!$C$8="",$T1685=CARI!$C$8)),MAX($Z$3:Z1684)+1,""))</f>
        <v/>
      </c>
      <c r="AA1685" s="40" t="str">
        <f aca="false">IF($Y1685="","",MAX($AA$3:AA1684)+1)</f>
        <v/>
      </c>
      <c r="AB1685" s="40" t="str">
        <f aca="false">IF($F1685="","",$F1685&amp;"#"&amp;COUNTIF($F$4:$F1685,$F1685))</f>
        <v/>
      </c>
      <c r="AC1685" s="40" t="str">
        <f aca="false">IF($B1685="","",IF(AND(OR(CETAK!$J$10="",$F1685=CETAK!$J$10),OR(CETAK!$J$11="",$G1685=CETAK!$J$11),OR(CETAK!$J$12="",$P1685=CETAK!$J$12),OR(CETAK!$J$13="",$N1685=CETAK!$J$13),OR(CETAK!$J$14="",$T1685=CETAK!$J$14)),MAX($AC$3:AC1684)+1,""))</f>
        <v/>
      </c>
      <c r="AD1685" s="40" t="str">
        <f aca="false">IF($B1685="","",IF(AND(OR(ABSENSI!$H$10="",$F1685=ABSENSI!$H$10),OR(ABSENSI!$H$11="",$G1685=ABSENSI!$H$11),OR(ABSENSI!$H$12="",$P1685=ABSENSI!$H$12)),MAX($AD$3:AD1684)+1,""))</f>
        <v/>
      </c>
      <c r="AE1685" s="40" t="str">
        <f aca="false">IF($B1685="","",IF(AND(OR(KARTU!$K$6="",$F1685=KARTU!$K$6),OR(KARTU!$K$7="",$G1685=KARTU!$K$7),OR(KARTU!$K$8="",$P1685=KARTU!$K$8)),MAX($AE$3:AE1684)+1,""))</f>
        <v/>
      </c>
    </row>
    <row r="1686" customFormat="false" ht="15" hidden="false" customHeight="false" outlineLevel="0" collapsed="false">
      <c r="A1686" s="35" t="str">
        <f aca="false">IF($B1686="","",COUNTA($B$4:$B1686))</f>
        <v/>
      </c>
      <c r="B1686" s="36"/>
      <c r="C1686" s="37"/>
      <c r="D1686" s="37"/>
      <c r="E1686" s="38"/>
      <c r="F1686" s="36"/>
      <c r="G1686" s="39"/>
      <c r="H1686" s="39"/>
      <c r="I1686" s="36"/>
      <c r="J1686" s="36"/>
      <c r="K1686" s="36"/>
      <c r="L1686" s="36"/>
      <c r="M1686" s="40" t="str">
        <f aca="false">IF($F1686="","",$F1686&amp;IF($G1686="",""," - RT "&amp;$G1686&amp;IF($H1686="","","/"&amp;$H1686)))</f>
        <v/>
      </c>
      <c r="N1686" s="36"/>
      <c r="O1686" s="37"/>
      <c r="P1686" s="39"/>
      <c r="Q1686" s="41"/>
      <c r="R1686" s="35" t="str">
        <f aca="true">IF(OR($B1686="",$Q1686=""),"",DATEDIF($Q1686,TODAY(),"Y"))</f>
        <v/>
      </c>
      <c r="S1686" s="40" t="str">
        <f aca="false">IF($R1686="","",INDEX(usia_label,MATCH($R1686,usia_min,1)))</f>
        <v/>
      </c>
      <c r="T1686" s="36"/>
      <c r="U1686" s="41"/>
      <c r="V1686" s="36"/>
      <c r="W1686" s="36"/>
      <c r="X1686" s="40" t="str">
        <f aca="false">IF($M1686="","",$M1686&amp;"#"&amp;COUNTIF($M$4:$M1686,$M1686))</f>
        <v/>
      </c>
      <c r="Y1686" s="40" t="str">
        <f aca="false">IF($B1686="","",IF($C1686="","NIK kosong",IF(LEN($C1686)&lt;&gt;16,"NIK bukan 16 digit",IF(COUNTIF($C$4:$C$2003,$C1686&amp;"*")&gt;1,"NIK ganda",IF(AND($D1686&lt;&gt;"",LEN($D1686)&lt;&gt;16),"No. KK bukan 16 digit",IF(AND($F1686="",$I1686=""),"Alamat kosong",IF($N1686="","Jabatan kosong",IF($O1686="","No. HP kosong",IF(AND($R1686&lt;&gt;"",$R1686&lt;17),"Usia di bawah 17","")))))))))</f>
        <v/>
      </c>
      <c r="Z1686" s="40" t="str">
        <f aca="false">IF($B1686="","",IF(AND(OR(CARI!$C$5="",ISNUMBER(SEARCH(CARI!$C$5,$B1686&amp;" "&amp;$C1686&amp;" "&amp;$D1686&amp;" "&amp;$O1686&amp;" "&amp;$I1686&amp;" "&amp;$F1686&amp;" "&amp;$J1686&amp;" "&amp;$K1686&amp;" "&amp;$L1686&amp;" "&amp;$V1686))),OR(CARI!$C$6="",$F1686=CARI!$C$6),OR(CARI!$C$7="",$G1686=CARI!$C$7),OR(CARI!$C$8="",$T1686=CARI!$C$8)),MAX($Z$3:Z1685)+1,""))</f>
        <v/>
      </c>
      <c r="AA1686" s="40" t="str">
        <f aca="false">IF($Y1686="","",MAX($AA$3:AA1685)+1)</f>
        <v/>
      </c>
      <c r="AB1686" s="40" t="str">
        <f aca="false">IF($F1686="","",$F1686&amp;"#"&amp;COUNTIF($F$4:$F1686,$F1686))</f>
        <v/>
      </c>
      <c r="AC1686" s="40" t="str">
        <f aca="false">IF($B1686="","",IF(AND(OR(CETAK!$J$10="",$F1686=CETAK!$J$10),OR(CETAK!$J$11="",$G1686=CETAK!$J$11),OR(CETAK!$J$12="",$P1686=CETAK!$J$12),OR(CETAK!$J$13="",$N1686=CETAK!$J$13),OR(CETAK!$J$14="",$T1686=CETAK!$J$14)),MAX($AC$3:AC1685)+1,""))</f>
        <v/>
      </c>
      <c r="AD1686" s="40" t="str">
        <f aca="false">IF($B1686="","",IF(AND(OR(ABSENSI!$H$10="",$F1686=ABSENSI!$H$10),OR(ABSENSI!$H$11="",$G1686=ABSENSI!$H$11),OR(ABSENSI!$H$12="",$P1686=ABSENSI!$H$12)),MAX($AD$3:AD1685)+1,""))</f>
        <v/>
      </c>
      <c r="AE1686" s="40" t="str">
        <f aca="false">IF($B1686="","",IF(AND(OR(KARTU!$K$6="",$F1686=KARTU!$K$6),OR(KARTU!$K$7="",$G1686=KARTU!$K$7),OR(KARTU!$K$8="",$P1686=KARTU!$K$8)),MAX($AE$3:AE1685)+1,""))</f>
        <v/>
      </c>
    </row>
    <row r="1687" customFormat="false" ht="15" hidden="false" customHeight="false" outlineLevel="0" collapsed="false">
      <c r="A1687" s="35" t="str">
        <f aca="false">IF($B1687="","",COUNTA($B$4:$B1687))</f>
        <v/>
      </c>
      <c r="B1687" s="36"/>
      <c r="C1687" s="37"/>
      <c r="D1687" s="37"/>
      <c r="E1687" s="38"/>
      <c r="F1687" s="36"/>
      <c r="G1687" s="39"/>
      <c r="H1687" s="39"/>
      <c r="I1687" s="36"/>
      <c r="J1687" s="36"/>
      <c r="K1687" s="36"/>
      <c r="L1687" s="36"/>
      <c r="M1687" s="40" t="str">
        <f aca="false">IF($F1687="","",$F1687&amp;IF($G1687="",""," - RT "&amp;$G1687&amp;IF($H1687="","","/"&amp;$H1687)))</f>
        <v/>
      </c>
      <c r="N1687" s="36"/>
      <c r="O1687" s="37"/>
      <c r="P1687" s="39"/>
      <c r="Q1687" s="41"/>
      <c r="R1687" s="35" t="str">
        <f aca="true">IF(OR($B1687="",$Q1687=""),"",DATEDIF($Q1687,TODAY(),"Y"))</f>
        <v/>
      </c>
      <c r="S1687" s="40" t="str">
        <f aca="false">IF($R1687="","",INDEX(usia_label,MATCH($R1687,usia_min,1)))</f>
        <v/>
      </c>
      <c r="T1687" s="36"/>
      <c r="U1687" s="41"/>
      <c r="V1687" s="36"/>
      <c r="W1687" s="36"/>
      <c r="X1687" s="40" t="str">
        <f aca="false">IF($M1687="","",$M1687&amp;"#"&amp;COUNTIF($M$4:$M1687,$M1687))</f>
        <v/>
      </c>
      <c r="Y1687" s="40" t="str">
        <f aca="false">IF($B1687="","",IF($C1687="","NIK kosong",IF(LEN($C1687)&lt;&gt;16,"NIK bukan 16 digit",IF(COUNTIF($C$4:$C$2003,$C1687&amp;"*")&gt;1,"NIK ganda",IF(AND($D1687&lt;&gt;"",LEN($D1687)&lt;&gt;16),"No. KK bukan 16 digit",IF(AND($F1687="",$I1687=""),"Alamat kosong",IF($N1687="","Jabatan kosong",IF($O1687="","No. HP kosong",IF(AND($R1687&lt;&gt;"",$R1687&lt;17),"Usia di bawah 17","")))))))))</f>
        <v/>
      </c>
      <c r="Z1687" s="40" t="str">
        <f aca="false">IF($B1687="","",IF(AND(OR(CARI!$C$5="",ISNUMBER(SEARCH(CARI!$C$5,$B1687&amp;" "&amp;$C1687&amp;" "&amp;$D1687&amp;" "&amp;$O1687&amp;" "&amp;$I1687&amp;" "&amp;$F1687&amp;" "&amp;$J1687&amp;" "&amp;$K1687&amp;" "&amp;$L1687&amp;" "&amp;$V1687))),OR(CARI!$C$6="",$F1687=CARI!$C$6),OR(CARI!$C$7="",$G1687=CARI!$C$7),OR(CARI!$C$8="",$T1687=CARI!$C$8)),MAX($Z$3:Z1686)+1,""))</f>
        <v/>
      </c>
      <c r="AA1687" s="40" t="str">
        <f aca="false">IF($Y1687="","",MAX($AA$3:AA1686)+1)</f>
        <v/>
      </c>
      <c r="AB1687" s="40" t="str">
        <f aca="false">IF($F1687="","",$F1687&amp;"#"&amp;COUNTIF($F$4:$F1687,$F1687))</f>
        <v/>
      </c>
      <c r="AC1687" s="40" t="str">
        <f aca="false">IF($B1687="","",IF(AND(OR(CETAK!$J$10="",$F1687=CETAK!$J$10),OR(CETAK!$J$11="",$G1687=CETAK!$J$11),OR(CETAK!$J$12="",$P1687=CETAK!$J$12),OR(CETAK!$J$13="",$N1687=CETAK!$J$13),OR(CETAK!$J$14="",$T1687=CETAK!$J$14)),MAX($AC$3:AC1686)+1,""))</f>
        <v/>
      </c>
      <c r="AD1687" s="40" t="str">
        <f aca="false">IF($B1687="","",IF(AND(OR(ABSENSI!$H$10="",$F1687=ABSENSI!$H$10),OR(ABSENSI!$H$11="",$G1687=ABSENSI!$H$11),OR(ABSENSI!$H$12="",$P1687=ABSENSI!$H$12)),MAX($AD$3:AD1686)+1,""))</f>
        <v/>
      </c>
      <c r="AE1687" s="40" t="str">
        <f aca="false">IF($B1687="","",IF(AND(OR(KARTU!$K$6="",$F1687=KARTU!$K$6),OR(KARTU!$K$7="",$G1687=KARTU!$K$7),OR(KARTU!$K$8="",$P1687=KARTU!$K$8)),MAX($AE$3:AE1686)+1,""))</f>
        <v/>
      </c>
    </row>
    <row r="1688" customFormat="false" ht="15" hidden="false" customHeight="false" outlineLevel="0" collapsed="false">
      <c r="A1688" s="35" t="str">
        <f aca="false">IF($B1688="","",COUNTA($B$4:$B1688))</f>
        <v/>
      </c>
      <c r="B1688" s="36"/>
      <c r="C1688" s="37"/>
      <c r="D1688" s="37"/>
      <c r="E1688" s="38"/>
      <c r="F1688" s="36"/>
      <c r="G1688" s="39"/>
      <c r="H1688" s="39"/>
      <c r="I1688" s="36"/>
      <c r="J1688" s="36"/>
      <c r="K1688" s="36"/>
      <c r="L1688" s="36"/>
      <c r="M1688" s="40" t="str">
        <f aca="false">IF($F1688="","",$F1688&amp;IF($G1688="",""," - RT "&amp;$G1688&amp;IF($H1688="","","/"&amp;$H1688)))</f>
        <v/>
      </c>
      <c r="N1688" s="36"/>
      <c r="O1688" s="37"/>
      <c r="P1688" s="39"/>
      <c r="Q1688" s="41"/>
      <c r="R1688" s="35" t="str">
        <f aca="true">IF(OR($B1688="",$Q1688=""),"",DATEDIF($Q1688,TODAY(),"Y"))</f>
        <v/>
      </c>
      <c r="S1688" s="40" t="str">
        <f aca="false">IF($R1688="","",INDEX(usia_label,MATCH($R1688,usia_min,1)))</f>
        <v/>
      </c>
      <c r="T1688" s="36"/>
      <c r="U1688" s="41"/>
      <c r="V1688" s="36"/>
      <c r="W1688" s="36"/>
      <c r="X1688" s="40" t="str">
        <f aca="false">IF($M1688="","",$M1688&amp;"#"&amp;COUNTIF($M$4:$M1688,$M1688))</f>
        <v/>
      </c>
      <c r="Y1688" s="40" t="str">
        <f aca="false">IF($B1688="","",IF($C1688="","NIK kosong",IF(LEN($C1688)&lt;&gt;16,"NIK bukan 16 digit",IF(COUNTIF($C$4:$C$2003,$C1688&amp;"*")&gt;1,"NIK ganda",IF(AND($D1688&lt;&gt;"",LEN($D1688)&lt;&gt;16),"No. KK bukan 16 digit",IF(AND($F1688="",$I1688=""),"Alamat kosong",IF($N1688="","Jabatan kosong",IF($O1688="","No. HP kosong",IF(AND($R1688&lt;&gt;"",$R1688&lt;17),"Usia di bawah 17","")))))))))</f>
        <v/>
      </c>
      <c r="Z1688" s="40" t="str">
        <f aca="false">IF($B1688="","",IF(AND(OR(CARI!$C$5="",ISNUMBER(SEARCH(CARI!$C$5,$B1688&amp;" "&amp;$C1688&amp;" "&amp;$D1688&amp;" "&amp;$O1688&amp;" "&amp;$I1688&amp;" "&amp;$F1688&amp;" "&amp;$J1688&amp;" "&amp;$K1688&amp;" "&amp;$L1688&amp;" "&amp;$V1688))),OR(CARI!$C$6="",$F1688=CARI!$C$6),OR(CARI!$C$7="",$G1688=CARI!$C$7),OR(CARI!$C$8="",$T1688=CARI!$C$8)),MAX($Z$3:Z1687)+1,""))</f>
        <v/>
      </c>
      <c r="AA1688" s="40" t="str">
        <f aca="false">IF($Y1688="","",MAX($AA$3:AA1687)+1)</f>
        <v/>
      </c>
      <c r="AB1688" s="40" t="str">
        <f aca="false">IF($F1688="","",$F1688&amp;"#"&amp;COUNTIF($F$4:$F1688,$F1688))</f>
        <v/>
      </c>
      <c r="AC1688" s="40" t="str">
        <f aca="false">IF($B1688="","",IF(AND(OR(CETAK!$J$10="",$F1688=CETAK!$J$10),OR(CETAK!$J$11="",$G1688=CETAK!$J$11),OR(CETAK!$J$12="",$P1688=CETAK!$J$12),OR(CETAK!$J$13="",$N1688=CETAK!$J$13),OR(CETAK!$J$14="",$T1688=CETAK!$J$14)),MAX($AC$3:AC1687)+1,""))</f>
        <v/>
      </c>
      <c r="AD1688" s="40" t="str">
        <f aca="false">IF($B1688="","",IF(AND(OR(ABSENSI!$H$10="",$F1688=ABSENSI!$H$10),OR(ABSENSI!$H$11="",$G1688=ABSENSI!$H$11),OR(ABSENSI!$H$12="",$P1688=ABSENSI!$H$12)),MAX($AD$3:AD1687)+1,""))</f>
        <v/>
      </c>
      <c r="AE1688" s="40" t="str">
        <f aca="false">IF($B1688="","",IF(AND(OR(KARTU!$K$6="",$F1688=KARTU!$K$6),OR(KARTU!$K$7="",$G1688=KARTU!$K$7),OR(KARTU!$K$8="",$P1688=KARTU!$K$8)),MAX($AE$3:AE1687)+1,""))</f>
        <v/>
      </c>
    </row>
    <row r="1689" customFormat="false" ht="15" hidden="false" customHeight="false" outlineLevel="0" collapsed="false">
      <c r="A1689" s="35" t="str">
        <f aca="false">IF($B1689="","",COUNTA($B$4:$B1689))</f>
        <v/>
      </c>
      <c r="B1689" s="36"/>
      <c r="C1689" s="37"/>
      <c r="D1689" s="37"/>
      <c r="E1689" s="38"/>
      <c r="F1689" s="36"/>
      <c r="G1689" s="39"/>
      <c r="H1689" s="39"/>
      <c r="I1689" s="36"/>
      <c r="J1689" s="36"/>
      <c r="K1689" s="36"/>
      <c r="L1689" s="36"/>
      <c r="M1689" s="40" t="str">
        <f aca="false">IF($F1689="","",$F1689&amp;IF($G1689="",""," - RT "&amp;$G1689&amp;IF($H1689="","","/"&amp;$H1689)))</f>
        <v/>
      </c>
      <c r="N1689" s="36"/>
      <c r="O1689" s="37"/>
      <c r="P1689" s="39"/>
      <c r="Q1689" s="41"/>
      <c r="R1689" s="35" t="str">
        <f aca="true">IF(OR($B1689="",$Q1689=""),"",DATEDIF($Q1689,TODAY(),"Y"))</f>
        <v/>
      </c>
      <c r="S1689" s="40" t="str">
        <f aca="false">IF($R1689="","",INDEX(usia_label,MATCH($R1689,usia_min,1)))</f>
        <v/>
      </c>
      <c r="T1689" s="36"/>
      <c r="U1689" s="41"/>
      <c r="V1689" s="36"/>
      <c r="W1689" s="36"/>
      <c r="X1689" s="40" t="str">
        <f aca="false">IF($M1689="","",$M1689&amp;"#"&amp;COUNTIF($M$4:$M1689,$M1689))</f>
        <v/>
      </c>
      <c r="Y1689" s="40" t="str">
        <f aca="false">IF($B1689="","",IF($C1689="","NIK kosong",IF(LEN($C1689)&lt;&gt;16,"NIK bukan 16 digit",IF(COUNTIF($C$4:$C$2003,$C1689&amp;"*")&gt;1,"NIK ganda",IF(AND($D1689&lt;&gt;"",LEN($D1689)&lt;&gt;16),"No. KK bukan 16 digit",IF(AND($F1689="",$I1689=""),"Alamat kosong",IF($N1689="","Jabatan kosong",IF($O1689="","No. HP kosong",IF(AND($R1689&lt;&gt;"",$R1689&lt;17),"Usia di bawah 17","")))))))))</f>
        <v/>
      </c>
      <c r="Z1689" s="40" t="str">
        <f aca="false">IF($B1689="","",IF(AND(OR(CARI!$C$5="",ISNUMBER(SEARCH(CARI!$C$5,$B1689&amp;" "&amp;$C1689&amp;" "&amp;$D1689&amp;" "&amp;$O1689&amp;" "&amp;$I1689&amp;" "&amp;$F1689&amp;" "&amp;$J1689&amp;" "&amp;$K1689&amp;" "&amp;$L1689&amp;" "&amp;$V1689))),OR(CARI!$C$6="",$F1689=CARI!$C$6),OR(CARI!$C$7="",$G1689=CARI!$C$7),OR(CARI!$C$8="",$T1689=CARI!$C$8)),MAX($Z$3:Z1688)+1,""))</f>
        <v/>
      </c>
      <c r="AA1689" s="40" t="str">
        <f aca="false">IF($Y1689="","",MAX($AA$3:AA1688)+1)</f>
        <v/>
      </c>
      <c r="AB1689" s="40" t="str">
        <f aca="false">IF($F1689="","",$F1689&amp;"#"&amp;COUNTIF($F$4:$F1689,$F1689))</f>
        <v/>
      </c>
      <c r="AC1689" s="40" t="str">
        <f aca="false">IF($B1689="","",IF(AND(OR(CETAK!$J$10="",$F1689=CETAK!$J$10),OR(CETAK!$J$11="",$G1689=CETAK!$J$11),OR(CETAK!$J$12="",$P1689=CETAK!$J$12),OR(CETAK!$J$13="",$N1689=CETAK!$J$13),OR(CETAK!$J$14="",$T1689=CETAK!$J$14)),MAX($AC$3:AC1688)+1,""))</f>
        <v/>
      </c>
      <c r="AD1689" s="40" t="str">
        <f aca="false">IF($B1689="","",IF(AND(OR(ABSENSI!$H$10="",$F1689=ABSENSI!$H$10),OR(ABSENSI!$H$11="",$G1689=ABSENSI!$H$11),OR(ABSENSI!$H$12="",$P1689=ABSENSI!$H$12)),MAX($AD$3:AD1688)+1,""))</f>
        <v/>
      </c>
      <c r="AE1689" s="40" t="str">
        <f aca="false">IF($B1689="","",IF(AND(OR(KARTU!$K$6="",$F1689=KARTU!$K$6),OR(KARTU!$K$7="",$G1689=KARTU!$K$7),OR(KARTU!$K$8="",$P1689=KARTU!$K$8)),MAX($AE$3:AE1688)+1,""))</f>
        <v/>
      </c>
    </row>
    <row r="1690" customFormat="false" ht="15" hidden="false" customHeight="false" outlineLevel="0" collapsed="false">
      <c r="A1690" s="35" t="str">
        <f aca="false">IF($B1690="","",COUNTA($B$4:$B1690))</f>
        <v/>
      </c>
      <c r="B1690" s="36"/>
      <c r="C1690" s="37"/>
      <c r="D1690" s="37"/>
      <c r="E1690" s="38"/>
      <c r="F1690" s="36"/>
      <c r="G1690" s="39"/>
      <c r="H1690" s="39"/>
      <c r="I1690" s="36"/>
      <c r="J1690" s="36"/>
      <c r="K1690" s="36"/>
      <c r="L1690" s="36"/>
      <c r="M1690" s="40" t="str">
        <f aca="false">IF($F1690="","",$F1690&amp;IF($G1690="",""," - RT "&amp;$G1690&amp;IF($H1690="","","/"&amp;$H1690)))</f>
        <v/>
      </c>
      <c r="N1690" s="36"/>
      <c r="O1690" s="37"/>
      <c r="P1690" s="39"/>
      <c r="Q1690" s="41"/>
      <c r="R1690" s="35" t="str">
        <f aca="true">IF(OR($B1690="",$Q1690=""),"",DATEDIF($Q1690,TODAY(),"Y"))</f>
        <v/>
      </c>
      <c r="S1690" s="40" t="str">
        <f aca="false">IF($R1690="","",INDEX(usia_label,MATCH($R1690,usia_min,1)))</f>
        <v/>
      </c>
      <c r="T1690" s="36"/>
      <c r="U1690" s="41"/>
      <c r="V1690" s="36"/>
      <c r="W1690" s="36"/>
      <c r="X1690" s="40" t="str">
        <f aca="false">IF($M1690="","",$M1690&amp;"#"&amp;COUNTIF($M$4:$M1690,$M1690))</f>
        <v/>
      </c>
      <c r="Y1690" s="40" t="str">
        <f aca="false">IF($B1690="","",IF($C1690="","NIK kosong",IF(LEN($C1690)&lt;&gt;16,"NIK bukan 16 digit",IF(COUNTIF($C$4:$C$2003,$C1690&amp;"*")&gt;1,"NIK ganda",IF(AND($D1690&lt;&gt;"",LEN($D1690)&lt;&gt;16),"No. KK bukan 16 digit",IF(AND($F1690="",$I1690=""),"Alamat kosong",IF($N1690="","Jabatan kosong",IF($O1690="","No. HP kosong",IF(AND($R1690&lt;&gt;"",$R1690&lt;17),"Usia di bawah 17","")))))))))</f>
        <v/>
      </c>
      <c r="Z1690" s="40" t="str">
        <f aca="false">IF($B1690="","",IF(AND(OR(CARI!$C$5="",ISNUMBER(SEARCH(CARI!$C$5,$B1690&amp;" "&amp;$C1690&amp;" "&amp;$D1690&amp;" "&amp;$O1690&amp;" "&amp;$I1690&amp;" "&amp;$F1690&amp;" "&amp;$J1690&amp;" "&amp;$K1690&amp;" "&amp;$L1690&amp;" "&amp;$V1690))),OR(CARI!$C$6="",$F1690=CARI!$C$6),OR(CARI!$C$7="",$G1690=CARI!$C$7),OR(CARI!$C$8="",$T1690=CARI!$C$8)),MAX($Z$3:Z1689)+1,""))</f>
        <v/>
      </c>
      <c r="AA1690" s="40" t="str">
        <f aca="false">IF($Y1690="","",MAX($AA$3:AA1689)+1)</f>
        <v/>
      </c>
      <c r="AB1690" s="40" t="str">
        <f aca="false">IF($F1690="","",$F1690&amp;"#"&amp;COUNTIF($F$4:$F1690,$F1690))</f>
        <v/>
      </c>
      <c r="AC1690" s="40" t="str">
        <f aca="false">IF($B1690="","",IF(AND(OR(CETAK!$J$10="",$F1690=CETAK!$J$10),OR(CETAK!$J$11="",$G1690=CETAK!$J$11),OR(CETAK!$J$12="",$P1690=CETAK!$J$12),OR(CETAK!$J$13="",$N1690=CETAK!$J$13),OR(CETAK!$J$14="",$T1690=CETAK!$J$14)),MAX($AC$3:AC1689)+1,""))</f>
        <v/>
      </c>
      <c r="AD1690" s="40" t="str">
        <f aca="false">IF($B1690="","",IF(AND(OR(ABSENSI!$H$10="",$F1690=ABSENSI!$H$10),OR(ABSENSI!$H$11="",$G1690=ABSENSI!$H$11),OR(ABSENSI!$H$12="",$P1690=ABSENSI!$H$12)),MAX($AD$3:AD1689)+1,""))</f>
        <v/>
      </c>
      <c r="AE1690" s="40" t="str">
        <f aca="false">IF($B1690="","",IF(AND(OR(KARTU!$K$6="",$F1690=KARTU!$K$6),OR(KARTU!$K$7="",$G1690=KARTU!$K$7),OR(KARTU!$K$8="",$P1690=KARTU!$K$8)),MAX($AE$3:AE1689)+1,""))</f>
        <v/>
      </c>
    </row>
    <row r="1691" customFormat="false" ht="15" hidden="false" customHeight="false" outlineLevel="0" collapsed="false">
      <c r="A1691" s="35" t="str">
        <f aca="false">IF($B1691="","",COUNTA($B$4:$B1691))</f>
        <v/>
      </c>
      <c r="B1691" s="36"/>
      <c r="C1691" s="37"/>
      <c r="D1691" s="37"/>
      <c r="E1691" s="38"/>
      <c r="F1691" s="36"/>
      <c r="G1691" s="39"/>
      <c r="H1691" s="39"/>
      <c r="I1691" s="36"/>
      <c r="J1691" s="36"/>
      <c r="K1691" s="36"/>
      <c r="L1691" s="36"/>
      <c r="M1691" s="40" t="str">
        <f aca="false">IF($F1691="","",$F1691&amp;IF($G1691="",""," - RT "&amp;$G1691&amp;IF($H1691="","","/"&amp;$H1691)))</f>
        <v/>
      </c>
      <c r="N1691" s="36"/>
      <c r="O1691" s="37"/>
      <c r="P1691" s="39"/>
      <c r="Q1691" s="41"/>
      <c r="R1691" s="35" t="str">
        <f aca="true">IF(OR($B1691="",$Q1691=""),"",DATEDIF($Q1691,TODAY(),"Y"))</f>
        <v/>
      </c>
      <c r="S1691" s="40" t="str">
        <f aca="false">IF($R1691="","",INDEX(usia_label,MATCH($R1691,usia_min,1)))</f>
        <v/>
      </c>
      <c r="T1691" s="36"/>
      <c r="U1691" s="41"/>
      <c r="V1691" s="36"/>
      <c r="W1691" s="36"/>
      <c r="X1691" s="40" t="str">
        <f aca="false">IF($M1691="","",$M1691&amp;"#"&amp;COUNTIF($M$4:$M1691,$M1691))</f>
        <v/>
      </c>
      <c r="Y1691" s="40" t="str">
        <f aca="false">IF($B1691="","",IF($C1691="","NIK kosong",IF(LEN($C1691)&lt;&gt;16,"NIK bukan 16 digit",IF(COUNTIF($C$4:$C$2003,$C1691&amp;"*")&gt;1,"NIK ganda",IF(AND($D1691&lt;&gt;"",LEN($D1691)&lt;&gt;16),"No. KK bukan 16 digit",IF(AND($F1691="",$I1691=""),"Alamat kosong",IF($N1691="","Jabatan kosong",IF($O1691="","No. HP kosong",IF(AND($R1691&lt;&gt;"",$R1691&lt;17),"Usia di bawah 17","")))))))))</f>
        <v/>
      </c>
      <c r="Z1691" s="40" t="str">
        <f aca="false">IF($B1691="","",IF(AND(OR(CARI!$C$5="",ISNUMBER(SEARCH(CARI!$C$5,$B1691&amp;" "&amp;$C1691&amp;" "&amp;$D1691&amp;" "&amp;$O1691&amp;" "&amp;$I1691&amp;" "&amp;$F1691&amp;" "&amp;$J1691&amp;" "&amp;$K1691&amp;" "&amp;$L1691&amp;" "&amp;$V1691))),OR(CARI!$C$6="",$F1691=CARI!$C$6),OR(CARI!$C$7="",$G1691=CARI!$C$7),OR(CARI!$C$8="",$T1691=CARI!$C$8)),MAX($Z$3:Z1690)+1,""))</f>
        <v/>
      </c>
      <c r="AA1691" s="40" t="str">
        <f aca="false">IF($Y1691="","",MAX($AA$3:AA1690)+1)</f>
        <v/>
      </c>
      <c r="AB1691" s="40" t="str">
        <f aca="false">IF($F1691="","",$F1691&amp;"#"&amp;COUNTIF($F$4:$F1691,$F1691))</f>
        <v/>
      </c>
      <c r="AC1691" s="40" t="str">
        <f aca="false">IF($B1691="","",IF(AND(OR(CETAK!$J$10="",$F1691=CETAK!$J$10),OR(CETAK!$J$11="",$G1691=CETAK!$J$11),OR(CETAK!$J$12="",$P1691=CETAK!$J$12),OR(CETAK!$J$13="",$N1691=CETAK!$J$13),OR(CETAK!$J$14="",$T1691=CETAK!$J$14)),MAX($AC$3:AC1690)+1,""))</f>
        <v/>
      </c>
      <c r="AD1691" s="40" t="str">
        <f aca="false">IF($B1691="","",IF(AND(OR(ABSENSI!$H$10="",$F1691=ABSENSI!$H$10),OR(ABSENSI!$H$11="",$G1691=ABSENSI!$H$11),OR(ABSENSI!$H$12="",$P1691=ABSENSI!$H$12)),MAX($AD$3:AD1690)+1,""))</f>
        <v/>
      </c>
      <c r="AE1691" s="40" t="str">
        <f aca="false">IF($B1691="","",IF(AND(OR(KARTU!$K$6="",$F1691=KARTU!$K$6),OR(KARTU!$K$7="",$G1691=KARTU!$K$7),OR(KARTU!$K$8="",$P1691=KARTU!$K$8)),MAX($AE$3:AE1690)+1,""))</f>
        <v/>
      </c>
    </row>
    <row r="1692" customFormat="false" ht="15" hidden="false" customHeight="false" outlineLevel="0" collapsed="false">
      <c r="A1692" s="35" t="str">
        <f aca="false">IF($B1692="","",COUNTA($B$4:$B1692))</f>
        <v/>
      </c>
      <c r="B1692" s="36"/>
      <c r="C1692" s="37"/>
      <c r="D1692" s="37"/>
      <c r="E1692" s="38"/>
      <c r="F1692" s="36"/>
      <c r="G1692" s="39"/>
      <c r="H1692" s="39"/>
      <c r="I1692" s="36"/>
      <c r="J1692" s="36"/>
      <c r="K1692" s="36"/>
      <c r="L1692" s="36"/>
      <c r="M1692" s="40" t="str">
        <f aca="false">IF($F1692="","",$F1692&amp;IF($G1692="",""," - RT "&amp;$G1692&amp;IF($H1692="","","/"&amp;$H1692)))</f>
        <v/>
      </c>
      <c r="N1692" s="36"/>
      <c r="O1692" s="37"/>
      <c r="P1692" s="39"/>
      <c r="Q1692" s="41"/>
      <c r="R1692" s="35" t="str">
        <f aca="true">IF(OR($B1692="",$Q1692=""),"",DATEDIF($Q1692,TODAY(),"Y"))</f>
        <v/>
      </c>
      <c r="S1692" s="40" t="str">
        <f aca="false">IF($R1692="","",INDEX(usia_label,MATCH($R1692,usia_min,1)))</f>
        <v/>
      </c>
      <c r="T1692" s="36"/>
      <c r="U1692" s="41"/>
      <c r="V1692" s="36"/>
      <c r="W1692" s="36"/>
      <c r="X1692" s="40" t="str">
        <f aca="false">IF($M1692="","",$M1692&amp;"#"&amp;COUNTIF($M$4:$M1692,$M1692))</f>
        <v/>
      </c>
      <c r="Y1692" s="40" t="str">
        <f aca="false">IF($B1692="","",IF($C1692="","NIK kosong",IF(LEN($C1692)&lt;&gt;16,"NIK bukan 16 digit",IF(COUNTIF($C$4:$C$2003,$C1692&amp;"*")&gt;1,"NIK ganda",IF(AND($D1692&lt;&gt;"",LEN($D1692)&lt;&gt;16),"No. KK bukan 16 digit",IF(AND($F1692="",$I1692=""),"Alamat kosong",IF($N1692="","Jabatan kosong",IF($O1692="","No. HP kosong",IF(AND($R1692&lt;&gt;"",$R1692&lt;17),"Usia di bawah 17","")))))))))</f>
        <v/>
      </c>
      <c r="Z1692" s="40" t="str">
        <f aca="false">IF($B1692="","",IF(AND(OR(CARI!$C$5="",ISNUMBER(SEARCH(CARI!$C$5,$B1692&amp;" "&amp;$C1692&amp;" "&amp;$D1692&amp;" "&amp;$O1692&amp;" "&amp;$I1692&amp;" "&amp;$F1692&amp;" "&amp;$J1692&amp;" "&amp;$K1692&amp;" "&amp;$L1692&amp;" "&amp;$V1692))),OR(CARI!$C$6="",$F1692=CARI!$C$6),OR(CARI!$C$7="",$G1692=CARI!$C$7),OR(CARI!$C$8="",$T1692=CARI!$C$8)),MAX($Z$3:Z1691)+1,""))</f>
        <v/>
      </c>
      <c r="AA1692" s="40" t="str">
        <f aca="false">IF($Y1692="","",MAX($AA$3:AA1691)+1)</f>
        <v/>
      </c>
      <c r="AB1692" s="40" t="str">
        <f aca="false">IF($F1692="","",$F1692&amp;"#"&amp;COUNTIF($F$4:$F1692,$F1692))</f>
        <v/>
      </c>
      <c r="AC1692" s="40" t="str">
        <f aca="false">IF($B1692="","",IF(AND(OR(CETAK!$J$10="",$F1692=CETAK!$J$10),OR(CETAK!$J$11="",$G1692=CETAK!$J$11),OR(CETAK!$J$12="",$P1692=CETAK!$J$12),OR(CETAK!$J$13="",$N1692=CETAK!$J$13),OR(CETAK!$J$14="",$T1692=CETAK!$J$14)),MAX($AC$3:AC1691)+1,""))</f>
        <v/>
      </c>
      <c r="AD1692" s="40" t="str">
        <f aca="false">IF($B1692="","",IF(AND(OR(ABSENSI!$H$10="",$F1692=ABSENSI!$H$10),OR(ABSENSI!$H$11="",$G1692=ABSENSI!$H$11),OR(ABSENSI!$H$12="",$P1692=ABSENSI!$H$12)),MAX($AD$3:AD1691)+1,""))</f>
        <v/>
      </c>
      <c r="AE1692" s="40" t="str">
        <f aca="false">IF($B1692="","",IF(AND(OR(KARTU!$K$6="",$F1692=KARTU!$K$6),OR(KARTU!$K$7="",$G1692=KARTU!$K$7),OR(KARTU!$K$8="",$P1692=KARTU!$K$8)),MAX($AE$3:AE1691)+1,""))</f>
        <v/>
      </c>
    </row>
    <row r="1693" customFormat="false" ht="15" hidden="false" customHeight="false" outlineLevel="0" collapsed="false">
      <c r="A1693" s="35" t="str">
        <f aca="false">IF($B1693="","",COUNTA($B$4:$B1693))</f>
        <v/>
      </c>
      <c r="B1693" s="36"/>
      <c r="C1693" s="37"/>
      <c r="D1693" s="37"/>
      <c r="E1693" s="38"/>
      <c r="F1693" s="36"/>
      <c r="G1693" s="39"/>
      <c r="H1693" s="39"/>
      <c r="I1693" s="36"/>
      <c r="J1693" s="36"/>
      <c r="K1693" s="36"/>
      <c r="L1693" s="36"/>
      <c r="M1693" s="40" t="str">
        <f aca="false">IF($F1693="","",$F1693&amp;IF($G1693="",""," - RT "&amp;$G1693&amp;IF($H1693="","","/"&amp;$H1693)))</f>
        <v/>
      </c>
      <c r="N1693" s="36"/>
      <c r="O1693" s="37"/>
      <c r="P1693" s="39"/>
      <c r="Q1693" s="41"/>
      <c r="R1693" s="35" t="str">
        <f aca="true">IF(OR($B1693="",$Q1693=""),"",DATEDIF($Q1693,TODAY(),"Y"))</f>
        <v/>
      </c>
      <c r="S1693" s="40" t="str">
        <f aca="false">IF($R1693="","",INDEX(usia_label,MATCH($R1693,usia_min,1)))</f>
        <v/>
      </c>
      <c r="T1693" s="36"/>
      <c r="U1693" s="41"/>
      <c r="V1693" s="36"/>
      <c r="W1693" s="36"/>
      <c r="X1693" s="40" t="str">
        <f aca="false">IF($M1693="","",$M1693&amp;"#"&amp;COUNTIF($M$4:$M1693,$M1693))</f>
        <v/>
      </c>
      <c r="Y1693" s="40" t="str">
        <f aca="false">IF($B1693="","",IF($C1693="","NIK kosong",IF(LEN($C1693)&lt;&gt;16,"NIK bukan 16 digit",IF(COUNTIF($C$4:$C$2003,$C1693&amp;"*")&gt;1,"NIK ganda",IF(AND($D1693&lt;&gt;"",LEN($D1693)&lt;&gt;16),"No. KK bukan 16 digit",IF(AND($F1693="",$I1693=""),"Alamat kosong",IF($N1693="","Jabatan kosong",IF($O1693="","No. HP kosong",IF(AND($R1693&lt;&gt;"",$R1693&lt;17),"Usia di bawah 17","")))))))))</f>
        <v/>
      </c>
      <c r="Z1693" s="40" t="str">
        <f aca="false">IF($B1693="","",IF(AND(OR(CARI!$C$5="",ISNUMBER(SEARCH(CARI!$C$5,$B1693&amp;" "&amp;$C1693&amp;" "&amp;$D1693&amp;" "&amp;$O1693&amp;" "&amp;$I1693&amp;" "&amp;$F1693&amp;" "&amp;$J1693&amp;" "&amp;$K1693&amp;" "&amp;$L1693&amp;" "&amp;$V1693))),OR(CARI!$C$6="",$F1693=CARI!$C$6),OR(CARI!$C$7="",$G1693=CARI!$C$7),OR(CARI!$C$8="",$T1693=CARI!$C$8)),MAX($Z$3:Z1692)+1,""))</f>
        <v/>
      </c>
      <c r="AA1693" s="40" t="str">
        <f aca="false">IF($Y1693="","",MAX($AA$3:AA1692)+1)</f>
        <v/>
      </c>
      <c r="AB1693" s="40" t="str">
        <f aca="false">IF($F1693="","",$F1693&amp;"#"&amp;COUNTIF($F$4:$F1693,$F1693))</f>
        <v/>
      </c>
      <c r="AC1693" s="40" t="str">
        <f aca="false">IF($B1693="","",IF(AND(OR(CETAK!$J$10="",$F1693=CETAK!$J$10),OR(CETAK!$J$11="",$G1693=CETAK!$J$11),OR(CETAK!$J$12="",$P1693=CETAK!$J$12),OR(CETAK!$J$13="",$N1693=CETAK!$J$13),OR(CETAK!$J$14="",$T1693=CETAK!$J$14)),MAX($AC$3:AC1692)+1,""))</f>
        <v/>
      </c>
      <c r="AD1693" s="40" t="str">
        <f aca="false">IF($B1693="","",IF(AND(OR(ABSENSI!$H$10="",$F1693=ABSENSI!$H$10),OR(ABSENSI!$H$11="",$G1693=ABSENSI!$H$11),OR(ABSENSI!$H$12="",$P1693=ABSENSI!$H$12)),MAX($AD$3:AD1692)+1,""))</f>
        <v/>
      </c>
      <c r="AE1693" s="40" t="str">
        <f aca="false">IF($B1693="","",IF(AND(OR(KARTU!$K$6="",$F1693=KARTU!$K$6),OR(KARTU!$K$7="",$G1693=KARTU!$K$7),OR(KARTU!$K$8="",$P1693=KARTU!$K$8)),MAX($AE$3:AE1692)+1,""))</f>
        <v/>
      </c>
    </row>
    <row r="1694" customFormat="false" ht="15" hidden="false" customHeight="false" outlineLevel="0" collapsed="false">
      <c r="A1694" s="35" t="str">
        <f aca="false">IF($B1694="","",COUNTA($B$4:$B1694))</f>
        <v/>
      </c>
      <c r="B1694" s="36"/>
      <c r="C1694" s="37"/>
      <c r="D1694" s="37"/>
      <c r="E1694" s="38"/>
      <c r="F1694" s="36"/>
      <c r="G1694" s="39"/>
      <c r="H1694" s="39"/>
      <c r="I1694" s="36"/>
      <c r="J1694" s="36"/>
      <c r="K1694" s="36"/>
      <c r="L1694" s="36"/>
      <c r="M1694" s="40" t="str">
        <f aca="false">IF($F1694="","",$F1694&amp;IF($G1694="",""," - RT "&amp;$G1694&amp;IF($H1694="","","/"&amp;$H1694)))</f>
        <v/>
      </c>
      <c r="N1694" s="36"/>
      <c r="O1694" s="37"/>
      <c r="P1694" s="39"/>
      <c r="Q1694" s="41"/>
      <c r="R1694" s="35" t="str">
        <f aca="true">IF(OR($B1694="",$Q1694=""),"",DATEDIF($Q1694,TODAY(),"Y"))</f>
        <v/>
      </c>
      <c r="S1694" s="40" t="str">
        <f aca="false">IF($R1694="","",INDEX(usia_label,MATCH($R1694,usia_min,1)))</f>
        <v/>
      </c>
      <c r="T1694" s="36"/>
      <c r="U1694" s="41"/>
      <c r="V1694" s="36"/>
      <c r="W1694" s="36"/>
      <c r="X1694" s="40" t="str">
        <f aca="false">IF($M1694="","",$M1694&amp;"#"&amp;COUNTIF($M$4:$M1694,$M1694))</f>
        <v/>
      </c>
      <c r="Y1694" s="40" t="str">
        <f aca="false">IF($B1694="","",IF($C1694="","NIK kosong",IF(LEN($C1694)&lt;&gt;16,"NIK bukan 16 digit",IF(COUNTIF($C$4:$C$2003,$C1694&amp;"*")&gt;1,"NIK ganda",IF(AND($D1694&lt;&gt;"",LEN($D1694)&lt;&gt;16),"No. KK bukan 16 digit",IF(AND($F1694="",$I1694=""),"Alamat kosong",IF($N1694="","Jabatan kosong",IF($O1694="","No. HP kosong",IF(AND($R1694&lt;&gt;"",$R1694&lt;17),"Usia di bawah 17","")))))))))</f>
        <v/>
      </c>
      <c r="Z1694" s="40" t="str">
        <f aca="false">IF($B1694="","",IF(AND(OR(CARI!$C$5="",ISNUMBER(SEARCH(CARI!$C$5,$B1694&amp;" "&amp;$C1694&amp;" "&amp;$D1694&amp;" "&amp;$O1694&amp;" "&amp;$I1694&amp;" "&amp;$F1694&amp;" "&amp;$J1694&amp;" "&amp;$K1694&amp;" "&amp;$L1694&amp;" "&amp;$V1694))),OR(CARI!$C$6="",$F1694=CARI!$C$6),OR(CARI!$C$7="",$G1694=CARI!$C$7),OR(CARI!$C$8="",$T1694=CARI!$C$8)),MAX($Z$3:Z1693)+1,""))</f>
        <v/>
      </c>
      <c r="AA1694" s="40" t="str">
        <f aca="false">IF($Y1694="","",MAX($AA$3:AA1693)+1)</f>
        <v/>
      </c>
      <c r="AB1694" s="40" t="str">
        <f aca="false">IF($F1694="","",$F1694&amp;"#"&amp;COUNTIF($F$4:$F1694,$F1694))</f>
        <v/>
      </c>
      <c r="AC1694" s="40" t="str">
        <f aca="false">IF($B1694="","",IF(AND(OR(CETAK!$J$10="",$F1694=CETAK!$J$10),OR(CETAK!$J$11="",$G1694=CETAK!$J$11),OR(CETAK!$J$12="",$P1694=CETAK!$J$12),OR(CETAK!$J$13="",$N1694=CETAK!$J$13),OR(CETAK!$J$14="",$T1694=CETAK!$J$14)),MAX($AC$3:AC1693)+1,""))</f>
        <v/>
      </c>
      <c r="AD1694" s="40" t="str">
        <f aca="false">IF($B1694="","",IF(AND(OR(ABSENSI!$H$10="",$F1694=ABSENSI!$H$10),OR(ABSENSI!$H$11="",$G1694=ABSENSI!$H$11),OR(ABSENSI!$H$12="",$P1694=ABSENSI!$H$12)),MAX($AD$3:AD1693)+1,""))</f>
        <v/>
      </c>
      <c r="AE1694" s="40" t="str">
        <f aca="false">IF($B1694="","",IF(AND(OR(KARTU!$K$6="",$F1694=KARTU!$K$6),OR(KARTU!$K$7="",$G1694=KARTU!$K$7),OR(KARTU!$K$8="",$P1694=KARTU!$K$8)),MAX($AE$3:AE1693)+1,""))</f>
        <v/>
      </c>
    </row>
    <row r="1695" customFormat="false" ht="15" hidden="false" customHeight="false" outlineLevel="0" collapsed="false">
      <c r="A1695" s="35" t="str">
        <f aca="false">IF($B1695="","",COUNTA($B$4:$B1695))</f>
        <v/>
      </c>
      <c r="B1695" s="36"/>
      <c r="C1695" s="37"/>
      <c r="D1695" s="37"/>
      <c r="E1695" s="38"/>
      <c r="F1695" s="36"/>
      <c r="G1695" s="39"/>
      <c r="H1695" s="39"/>
      <c r="I1695" s="36"/>
      <c r="J1695" s="36"/>
      <c r="K1695" s="36"/>
      <c r="L1695" s="36"/>
      <c r="M1695" s="40" t="str">
        <f aca="false">IF($F1695="","",$F1695&amp;IF($G1695="",""," - RT "&amp;$G1695&amp;IF($H1695="","","/"&amp;$H1695)))</f>
        <v/>
      </c>
      <c r="N1695" s="36"/>
      <c r="O1695" s="37"/>
      <c r="P1695" s="39"/>
      <c r="Q1695" s="41"/>
      <c r="R1695" s="35" t="str">
        <f aca="true">IF(OR($B1695="",$Q1695=""),"",DATEDIF($Q1695,TODAY(),"Y"))</f>
        <v/>
      </c>
      <c r="S1695" s="40" t="str">
        <f aca="false">IF($R1695="","",INDEX(usia_label,MATCH($R1695,usia_min,1)))</f>
        <v/>
      </c>
      <c r="T1695" s="36"/>
      <c r="U1695" s="41"/>
      <c r="V1695" s="36"/>
      <c r="W1695" s="36"/>
      <c r="X1695" s="40" t="str">
        <f aca="false">IF($M1695="","",$M1695&amp;"#"&amp;COUNTIF($M$4:$M1695,$M1695))</f>
        <v/>
      </c>
      <c r="Y1695" s="40" t="str">
        <f aca="false">IF($B1695="","",IF($C1695="","NIK kosong",IF(LEN($C1695)&lt;&gt;16,"NIK bukan 16 digit",IF(COUNTIF($C$4:$C$2003,$C1695&amp;"*")&gt;1,"NIK ganda",IF(AND($D1695&lt;&gt;"",LEN($D1695)&lt;&gt;16),"No. KK bukan 16 digit",IF(AND($F1695="",$I1695=""),"Alamat kosong",IF($N1695="","Jabatan kosong",IF($O1695="","No. HP kosong",IF(AND($R1695&lt;&gt;"",$R1695&lt;17),"Usia di bawah 17","")))))))))</f>
        <v/>
      </c>
      <c r="Z1695" s="40" t="str">
        <f aca="false">IF($B1695="","",IF(AND(OR(CARI!$C$5="",ISNUMBER(SEARCH(CARI!$C$5,$B1695&amp;" "&amp;$C1695&amp;" "&amp;$D1695&amp;" "&amp;$O1695&amp;" "&amp;$I1695&amp;" "&amp;$F1695&amp;" "&amp;$J1695&amp;" "&amp;$K1695&amp;" "&amp;$L1695&amp;" "&amp;$V1695))),OR(CARI!$C$6="",$F1695=CARI!$C$6),OR(CARI!$C$7="",$G1695=CARI!$C$7),OR(CARI!$C$8="",$T1695=CARI!$C$8)),MAX($Z$3:Z1694)+1,""))</f>
        <v/>
      </c>
      <c r="AA1695" s="40" t="str">
        <f aca="false">IF($Y1695="","",MAX($AA$3:AA1694)+1)</f>
        <v/>
      </c>
      <c r="AB1695" s="40" t="str">
        <f aca="false">IF($F1695="","",$F1695&amp;"#"&amp;COUNTIF($F$4:$F1695,$F1695))</f>
        <v/>
      </c>
      <c r="AC1695" s="40" t="str">
        <f aca="false">IF($B1695="","",IF(AND(OR(CETAK!$J$10="",$F1695=CETAK!$J$10),OR(CETAK!$J$11="",$G1695=CETAK!$J$11),OR(CETAK!$J$12="",$P1695=CETAK!$J$12),OR(CETAK!$J$13="",$N1695=CETAK!$J$13),OR(CETAK!$J$14="",$T1695=CETAK!$J$14)),MAX($AC$3:AC1694)+1,""))</f>
        <v/>
      </c>
      <c r="AD1695" s="40" t="str">
        <f aca="false">IF($B1695="","",IF(AND(OR(ABSENSI!$H$10="",$F1695=ABSENSI!$H$10),OR(ABSENSI!$H$11="",$G1695=ABSENSI!$H$11),OR(ABSENSI!$H$12="",$P1695=ABSENSI!$H$12)),MAX($AD$3:AD1694)+1,""))</f>
        <v/>
      </c>
      <c r="AE1695" s="40" t="str">
        <f aca="false">IF($B1695="","",IF(AND(OR(KARTU!$K$6="",$F1695=KARTU!$K$6),OR(KARTU!$K$7="",$G1695=KARTU!$K$7),OR(KARTU!$K$8="",$P1695=KARTU!$K$8)),MAX($AE$3:AE1694)+1,""))</f>
        <v/>
      </c>
    </row>
    <row r="1696" customFormat="false" ht="15" hidden="false" customHeight="false" outlineLevel="0" collapsed="false">
      <c r="A1696" s="35" t="str">
        <f aca="false">IF($B1696="","",COUNTA($B$4:$B1696))</f>
        <v/>
      </c>
      <c r="B1696" s="36"/>
      <c r="C1696" s="37"/>
      <c r="D1696" s="37"/>
      <c r="E1696" s="38"/>
      <c r="F1696" s="36"/>
      <c r="G1696" s="39"/>
      <c r="H1696" s="39"/>
      <c r="I1696" s="36"/>
      <c r="J1696" s="36"/>
      <c r="K1696" s="36"/>
      <c r="L1696" s="36"/>
      <c r="M1696" s="40" t="str">
        <f aca="false">IF($F1696="","",$F1696&amp;IF($G1696="",""," - RT "&amp;$G1696&amp;IF($H1696="","","/"&amp;$H1696)))</f>
        <v/>
      </c>
      <c r="N1696" s="36"/>
      <c r="O1696" s="37"/>
      <c r="P1696" s="39"/>
      <c r="Q1696" s="41"/>
      <c r="R1696" s="35" t="str">
        <f aca="true">IF(OR($B1696="",$Q1696=""),"",DATEDIF($Q1696,TODAY(),"Y"))</f>
        <v/>
      </c>
      <c r="S1696" s="40" t="str">
        <f aca="false">IF($R1696="","",INDEX(usia_label,MATCH($R1696,usia_min,1)))</f>
        <v/>
      </c>
      <c r="T1696" s="36"/>
      <c r="U1696" s="41"/>
      <c r="V1696" s="36"/>
      <c r="W1696" s="36"/>
      <c r="X1696" s="40" t="str">
        <f aca="false">IF($M1696="","",$M1696&amp;"#"&amp;COUNTIF($M$4:$M1696,$M1696))</f>
        <v/>
      </c>
      <c r="Y1696" s="40" t="str">
        <f aca="false">IF($B1696="","",IF($C1696="","NIK kosong",IF(LEN($C1696)&lt;&gt;16,"NIK bukan 16 digit",IF(COUNTIF($C$4:$C$2003,$C1696&amp;"*")&gt;1,"NIK ganda",IF(AND($D1696&lt;&gt;"",LEN($D1696)&lt;&gt;16),"No. KK bukan 16 digit",IF(AND($F1696="",$I1696=""),"Alamat kosong",IF($N1696="","Jabatan kosong",IF($O1696="","No. HP kosong",IF(AND($R1696&lt;&gt;"",$R1696&lt;17),"Usia di bawah 17","")))))))))</f>
        <v/>
      </c>
      <c r="Z1696" s="40" t="str">
        <f aca="false">IF($B1696="","",IF(AND(OR(CARI!$C$5="",ISNUMBER(SEARCH(CARI!$C$5,$B1696&amp;" "&amp;$C1696&amp;" "&amp;$D1696&amp;" "&amp;$O1696&amp;" "&amp;$I1696&amp;" "&amp;$F1696&amp;" "&amp;$J1696&amp;" "&amp;$K1696&amp;" "&amp;$L1696&amp;" "&amp;$V1696))),OR(CARI!$C$6="",$F1696=CARI!$C$6),OR(CARI!$C$7="",$G1696=CARI!$C$7),OR(CARI!$C$8="",$T1696=CARI!$C$8)),MAX($Z$3:Z1695)+1,""))</f>
        <v/>
      </c>
      <c r="AA1696" s="40" t="str">
        <f aca="false">IF($Y1696="","",MAX($AA$3:AA1695)+1)</f>
        <v/>
      </c>
      <c r="AB1696" s="40" t="str">
        <f aca="false">IF($F1696="","",$F1696&amp;"#"&amp;COUNTIF($F$4:$F1696,$F1696))</f>
        <v/>
      </c>
      <c r="AC1696" s="40" t="str">
        <f aca="false">IF($B1696="","",IF(AND(OR(CETAK!$J$10="",$F1696=CETAK!$J$10),OR(CETAK!$J$11="",$G1696=CETAK!$J$11),OR(CETAK!$J$12="",$P1696=CETAK!$J$12),OR(CETAK!$J$13="",$N1696=CETAK!$J$13),OR(CETAK!$J$14="",$T1696=CETAK!$J$14)),MAX($AC$3:AC1695)+1,""))</f>
        <v/>
      </c>
      <c r="AD1696" s="40" t="str">
        <f aca="false">IF($B1696="","",IF(AND(OR(ABSENSI!$H$10="",$F1696=ABSENSI!$H$10),OR(ABSENSI!$H$11="",$G1696=ABSENSI!$H$11),OR(ABSENSI!$H$12="",$P1696=ABSENSI!$H$12)),MAX($AD$3:AD1695)+1,""))</f>
        <v/>
      </c>
      <c r="AE1696" s="40" t="str">
        <f aca="false">IF($B1696="","",IF(AND(OR(KARTU!$K$6="",$F1696=KARTU!$K$6),OR(KARTU!$K$7="",$G1696=KARTU!$K$7),OR(KARTU!$K$8="",$P1696=KARTU!$K$8)),MAX($AE$3:AE1695)+1,""))</f>
        <v/>
      </c>
    </row>
    <row r="1697" customFormat="false" ht="15" hidden="false" customHeight="false" outlineLevel="0" collapsed="false">
      <c r="A1697" s="35" t="str">
        <f aca="false">IF($B1697="","",COUNTA($B$4:$B1697))</f>
        <v/>
      </c>
      <c r="B1697" s="36"/>
      <c r="C1697" s="37"/>
      <c r="D1697" s="37"/>
      <c r="E1697" s="38"/>
      <c r="F1697" s="36"/>
      <c r="G1697" s="39"/>
      <c r="H1697" s="39"/>
      <c r="I1697" s="36"/>
      <c r="J1697" s="36"/>
      <c r="K1697" s="36"/>
      <c r="L1697" s="36"/>
      <c r="M1697" s="40" t="str">
        <f aca="false">IF($F1697="","",$F1697&amp;IF($G1697="",""," - RT "&amp;$G1697&amp;IF($H1697="","","/"&amp;$H1697)))</f>
        <v/>
      </c>
      <c r="N1697" s="36"/>
      <c r="O1697" s="37"/>
      <c r="P1697" s="39"/>
      <c r="Q1697" s="41"/>
      <c r="R1697" s="35" t="str">
        <f aca="true">IF(OR($B1697="",$Q1697=""),"",DATEDIF($Q1697,TODAY(),"Y"))</f>
        <v/>
      </c>
      <c r="S1697" s="40" t="str">
        <f aca="false">IF($R1697="","",INDEX(usia_label,MATCH($R1697,usia_min,1)))</f>
        <v/>
      </c>
      <c r="T1697" s="36"/>
      <c r="U1697" s="41"/>
      <c r="V1697" s="36"/>
      <c r="W1697" s="36"/>
      <c r="X1697" s="40" t="str">
        <f aca="false">IF($M1697="","",$M1697&amp;"#"&amp;COUNTIF($M$4:$M1697,$M1697))</f>
        <v/>
      </c>
      <c r="Y1697" s="40" t="str">
        <f aca="false">IF($B1697="","",IF($C1697="","NIK kosong",IF(LEN($C1697)&lt;&gt;16,"NIK bukan 16 digit",IF(COUNTIF($C$4:$C$2003,$C1697&amp;"*")&gt;1,"NIK ganda",IF(AND($D1697&lt;&gt;"",LEN($D1697)&lt;&gt;16),"No. KK bukan 16 digit",IF(AND($F1697="",$I1697=""),"Alamat kosong",IF($N1697="","Jabatan kosong",IF($O1697="","No. HP kosong",IF(AND($R1697&lt;&gt;"",$R1697&lt;17),"Usia di bawah 17","")))))))))</f>
        <v/>
      </c>
      <c r="Z1697" s="40" t="str">
        <f aca="false">IF($B1697="","",IF(AND(OR(CARI!$C$5="",ISNUMBER(SEARCH(CARI!$C$5,$B1697&amp;" "&amp;$C1697&amp;" "&amp;$D1697&amp;" "&amp;$O1697&amp;" "&amp;$I1697&amp;" "&amp;$F1697&amp;" "&amp;$J1697&amp;" "&amp;$K1697&amp;" "&amp;$L1697&amp;" "&amp;$V1697))),OR(CARI!$C$6="",$F1697=CARI!$C$6),OR(CARI!$C$7="",$G1697=CARI!$C$7),OR(CARI!$C$8="",$T1697=CARI!$C$8)),MAX($Z$3:Z1696)+1,""))</f>
        <v/>
      </c>
      <c r="AA1697" s="40" t="str">
        <f aca="false">IF($Y1697="","",MAX($AA$3:AA1696)+1)</f>
        <v/>
      </c>
      <c r="AB1697" s="40" t="str">
        <f aca="false">IF($F1697="","",$F1697&amp;"#"&amp;COUNTIF($F$4:$F1697,$F1697))</f>
        <v/>
      </c>
      <c r="AC1697" s="40" t="str">
        <f aca="false">IF($B1697="","",IF(AND(OR(CETAK!$J$10="",$F1697=CETAK!$J$10),OR(CETAK!$J$11="",$G1697=CETAK!$J$11),OR(CETAK!$J$12="",$P1697=CETAK!$J$12),OR(CETAK!$J$13="",$N1697=CETAK!$J$13),OR(CETAK!$J$14="",$T1697=CETAK!$J$14)),MAX($AC$3:AC1696)+1,""))</f>
        <v/>
      </c>
      <c r="AD1697" s="40" t="str">
        <f aca="false">IF($B1697="","",IF(AND(OR(ABSENSI!$H$10="",$F1697=ABSENSI!$H$10),OR(ABSENSI!$H$11="",$G1697=ABSENSI!$H$11),OR(ABSENSI!$H$12="",$P1697=ABSENSI!$H$12)),MAX($AD$3:AD1696)+1,""))</f>
        <v/>
      </c>
      <c r="AE1697" s="40" t="str">
        <f aca="false">IF($B1697="","",IF(AND(OR(KARTU!$K$6="",$F1697=KARTU!$K$6),OR(KARTU!$K$7="",$G1697=KARTU!$K$7),OR(KARTU!$K$8="",$P1697=KARTU!$K$8)),MAX($AE$3:AE1696)+1,""))</f>
        <v/>
      </c>
    </row>
    <row r="1698" customFormat="false" ht="15" hidden="false" customHeight="false" outlineLevel="0" collapsed="false">
      <c r="A1698" s="35" t="str">
        <f aca="false">IF($B1698="","",COUNTA($B$4:$B1698))</f>
        <v/>
      </c>
      <c r="B1698" s="36"/>
      <c r="C1698" s="37"/>
      <c r="D1698" s="37"/>
      <c r="E1698" s="38"/>
      <c r="F1698" s="36"/>
      <c r="G1698" s="39"/>
      <c r="H1698" s="39"/>
      <c r="I1698" s="36"/>
      <c r="J1698" s="36"/>
      <c r="K1698" s="36"/>
      <c r="L1698" s="36"/>
      <c r="M1698" s="40" t="str">
        <f aca="false">IF($F1698="","",$F1698&amp;IF($G1698="",""," - RT "&amp;$G1698&amp;IF($H1698="","","/"&amp;$H1698)))</f>
        <v/>
      </c>
      <c r="N1698" s="36"/>
      <c r="O1698" s="37"/>
      <c r="P1698" s="39"/>
      <c r="Q1698" s="41"/>
      <c r="R1698" s="35" t="str">
        <f aca="true">IF(OR($B1698="",$Q1698=""),"",DATEDIF($Q1698,TODAY(),"Y"))</f>
        <v/>
      </c>
      <c r="S1698" s="40" t="str">
        <f aca="false">IF($R1698="","",INDEX(usia_label,MATCH($R1698,usia_min,1)))</f>
        <v/>
      </c>
      <c r="T1698" s="36"/>
      <c r="U1698" s="41"/>
      <c r="V1698" s="36"/>
      <c r="W1698" s="36"/>
      <c r="X1698" s="40" t="str">
        <f aca="false">IF($M1698="","",$M1698&amp;"#"&amp;COUNTIF($M$4:$M1698,$M1698))</f>
        <v/>
      </c>
      <c r="Y1698" s="40" t="str">
        <f aca="false">IF($B1698="","",IF($C1698="","NIK kosong",IF(LEN($C1698)&lt;&gt;16,"NIK bukan 16 digit",IF(COUNTIF($C$4:$C$2003,$C1698&amp;"*")&gt;1,"NIK ganda",IF(AND($D1698&lt;&gt;"",LEN($D1698)&lt;&gt;16),"No. KK bukan 16 digit",IF(AND($F1698="",$I1698=""),"Alamat kosong",IF($N1698="","Jabatan kosong",IF($O1698="","No. HP kosong",IF(AND($R1698&lt;&gt;"",$R1698&lt;17),"Usia di bawah 17","")))))))))</f>
        <v/>
      </c>
      <c r="Z1698" s="40" t="str">
        <f aca="false">IF($B1698="","",IF(AND(OR(CARI!$C$5="",ISNUMBER(SEARCH(CARI!$C$5,$B1698&amp;" "&amp;$C1698&amp;" "&amp;$D1698&amp;" "&amp;$O1698&amp;" "&amp;$I1698&amp;" "&amp;$F1698&amp;" "&amp;$J1698&amp;" "&amp;$K1698&amp;" "&amp;$L1698&amp;" "&amp;$V1698))),OR(CARI!$C$6="",$F1698=CARI!$C$6),OR(CARI!$C$7="",$G1698=CARI!$C$7),OR(CARI!$C$8="",$T1698=CARI!$C$8)),MAX($Z$3:Z1697)+1,""))</f>
        <v/>
      </c>
      <c r="AA1698" s="40" t="str">
        <f aca="false">IF($Y1698="","",MAX($AA$3:AA1697)+1)</f>
        <v/>
      </c>
      <c r="AB1698" s="40" t="str">
        <f aca="false">IF($F1698="","",$F1698&amp;"#"&amp;COUNTIF($F$4:$F1698,$F1698))</f>
        <v/>
      </c>
      <c r="AC1698" s="40" t="str">
        <f aca="false">IF($B1698="","",IF(AND(OR(CETAK!$J$10="",$F1698=CETAK!$J$10),OR(CETAK!$J$11="",$G1698=CETAK!$J$11),OR(CETAK!$J$12="",$P1698=CETAK!$J$12),OR(CETAK!$J$13="",$N1698=CETAK!$J$13),OR(CETAK!$J$14="",$T1698=CETAK!$J$14)),MAX($AC$3:AC1697)+1,""))</f>
        <v/>
      </c>
      <c r="AD1698" s="40" t="str">
        <f aca="false">IF($B1698="","",IF(AND(OR(ABSENSI!$H$10="",$F1698=ABSENSI!$H$10),OR(ABSENSI!$H$11="",$G1698=ABSENSI!$H$11),OR(ABSENSI!$H$12="",$P1698=ABSENSI!$H$12)),MAX($AD$3:AD1697)+1,""))</f>
        <v/>
      </c>
      <c r="AE1698" s="40" t="str">
        <f aca="false">IF($B1698="","",IF(AND(OR(KARTU!$K$6="",$F1698=KARTU!$K$6),OR(KARTU!$K$7="",$G1698=KARTU!$K$7),OR(KARTU!$K$8="",$P1698=KARTU!$K$8)),MAX($AE$3:AE1697)+1,""))</f>
        <v/>
      </c>
    </row>
    <row r="1699" customFormat="false" ht="15" hidden="false" customHeight="false" outlineLevel="0" collapsed="false">
      <c r="A1699" s="35" t="str">
        <f aca="false">IF($B1699="","",COUNTA($B$4:$B1699))</f>
        <v/>
      </c>
      <c r="B1699" s="36"/>
      <c r="C1699" s="37"/>
      <c r="D1699" s="37"/>
      <c r="E1699" s="38"/>
      <c r="F1699" s="36"/>
      <c r="G1699" s="39"/>
      <c r="H1699" s="39"/>
      <c r="I1699" s="36"/>
      <c r="J1699" s="36"/>
      <c r="K1699" s="36"/>
      <c r="L1699" s="36"/>
      <c r="M1699" s="40" t="str">
        <f aca="false">IF($F1699="","",$F1699&amp;IF($G1699="",""," - RT "&amp;$G1699&amp;IF($H1699="","","/"&amp;$H1699)))</f>
        <v/>
      </c>
      <c r="N1699" s="36"/>
      <c r="O1699" s="37"/>
      <c r="P1699" s="39"/>
      <c r="Q1699" s="41"/>
      <c r="R1699" s="35" t="str">
        <f aca="true">IF(OR($B1699="",$Q1699=""),"",DATEDIF($Q1699,TODAY(),"Y"))</f>
        <v/>
      </c>
      <c r="S1699" s="40" t="str">
        <f aca="false">IF($R1699="","",INDEX(usia_label,MATCH($R1699,usia_min,1)))</f>
        <v/>
      </c>
      <c r="T1699" s="36"/>
      <c r="U1699" s="41"/>
      <c r="V1699" s="36"/>
      <c r="W1699" s="36"/>
      <c r="X1699" s="40" t="str">
        <f aca="false">IF($M1699="","",$M1699&amp;"#"&amp;COUNTIF($M$4:$M1699,$M1699))</f>
        <v/>
      </c>
      <c r="Y1699" s="40" t="str">
        <f aca="false">IF($B1699="","",IF($C1699="","NIK kosong",IF(LEN($C1699)&lt;&gt;16,"NIK bukan 16 digit",IF(COUNTIF($C$4:$C$2003,$C1699&amp;"*")&gt;1,"NIK ganda",IF(AND($D1699&lt;&gt;"",LEN($D1699)&lt;&gt;16),"No. KK bukan 16 digit",IF(AND($F1699="",$I1699=""),"Alamat kosong",IF($N1699="","Jabatan kosong",IF($O1699="","No. HP kosong",IF(AND($R1699&lt;&gt;"",$R1699&lt;17),"Usia di bawah 17","")))))))))</f>
        <v/>
      </c>
      <c r="Z1699" s="40" t="str">
        <f aca="false">IF($B1699="","",IF(AND(OR(CARI!$C$5="",ISNUMBER(SEARCH(CARI!$C$5,$B1699&amp;" "&amp;$C1699&amp;" "&amp;$D1699&amp;" "&amp;$O1699&amp;" "&amp;$I1699&amp;" "&amp;$F1699&amp;" "&amp;$J1699&amp;" "&amp;$K1699&amp;" "&amp;$L1699&amp;" "&amp;$V1699))),OR(CARI!$C$6="",$F1699=CARI!$C$6),OR(CARI!$C$7="",$G1699=CARI!$C$7),OR(CARI!$C$8="",$T1699=CARI!$C$8)),MAX($Z$3:Z1698)+1,""))</f>
        <v/>
      </c>
      <c r="AA1699" s="40" t="str">
        <f aca="false">IF($Y1699="","",MAX($AA$3:AA1698)+1)</f>
        <v/>
      </c>
      <c r="AB1699" s="40" t="str">
        <f aca="false">IF($F1699="","",$F1699&amp;"#"&amp;COUNTIF($F$4:$F1699,$F1699))</f>
        <v/>
      </c>
      <c r="AC1699" s="40" t="str">
        <f aca="false">IF($B1699="","",IF(AND(OR(CETAK!$J$10="",$F1699=CETAK!$J$10),OR(CETAK!$J$11="",$G1699=CETAK!$J$11),OR(CETAK!$J$12="",$P1699=CETAK!$J$12),OR(CETAK!$J$13="",$N1699=CETAK!$J$13),OR(CETAK!$J$14="",$T1699=CETAK!$J$14)),MAX($AC$3:AC1698)+1,""))</f>
        <v/>
      </c>
      <c r="AD1699" s="40" t="str">
        <f aca="false">IF($B1699="","",IF(AND(OR(ABSENSI!$H$10="",$F1699=ABSENSI!$H$10),OR(ABSENSI!$H$11="",$G1699=ABSENSI!$H$11),OR(ABSENSI!$H$12="",$P1699=ABSENSI!$H$12)),MAX($AD$3:AD1698)+1,""))</f>
        <v/>
      </c>
      <c r="AE1699" s="40" t="str">
        <f aca="false">IF($B1699="","",IF(AND(OR(KARTU!$K$6="",$F1699=KARTU!$K$6),OR(KARTU!$K$7="",$G1699=KARTU!$K$7),OR(KARTU!$K$8="",$P1699=KARTU!$K$8)),MAX($AE$3:AE1698)+1,""))</f>
        <v/>
      </c>
    </row>
    <row r="1700" customFormat="false" ht="15" hidden="false" customHeight="false" outlineLevel="0" collapsed="false">
      <c r="A1700" s="35" t="str">
        <f aca="false">IF($B1700="","",COUNTA($B$4:$B1700))</f>
        <v/>
      </c>
      <c r="B1700" s="36"/>
      <c r="C1700" s="37"/>
      <c r="D1700" s="37"/>
      <c r="E1700" s="38"/>
      <c r="F1700" s="36"/>
      <c r="G1700" s="39"/>
      <c r="H1700" s="39"/>
      <c r="I1700" s="36"/>
      <c r="J1700" s="36"/>
      <c r="K1700" s="36"/>
      <c r="L1700" s="36"/>
      <c r="M1700" s="40" t="str">
        <f aca="false">IF($F1700="","",$F1700&amp;IF($G1700="",""," - RT "&amp;$G1700&amp;IF($H1700="","","/"&amp;$H1700)))</f>
        <v/>
      </c>
      <c r="N1700" s="36"/>
      <c r="O1700" s="37"/>
      <c r="P1700" s="39"/>
      <c r="Q1700" s="41"/>
      <c r="R1700" s="35" t="str">
        <f aca="true">IF(OR($B1700="",$Q1700=""),"",DATEDIF($Q1700,TODAY(),"Y"))</f>
        <v/>
      </c>
      <c r="S1700" s="40" t="str">
        <f aca="false">IF($R1700="","",INDEX(usia_label,MATCH($R1700,usia_min,1)))</f>
        <v/>
      </c>
      <c r="T1700" s="36"/>
      <c r="U1700" s="41"/>
      <c r="V1700" s="36"/>
      <c r="W1700" s="36"/>
      <c r="X1700" s="40" t="str">
        <f aca="false">IF($M1700="","",$M1700&amp;"#"&amp;COUNTIF($M$4:$M1700,$M1700))</f>
        <v/>
      </c>
      <c r="Y1700" s="40" t="str">
        <f aca="false">IF($B1700="","",IF($C1700="","NIK kosong",IF(LEN($C1700)&lt;&gt;16,"NIK bukan 16 digit",IF(COUNTIF($C$4:$C$2003,$C1700&amp;"*")&gt;1,"NIK ganda",IF(AND($D1700&lt;&gt;"",LEN($D1700)&lt;&gt;16),"No. KK bukan 16 digit",IF(AND($F1700="",$I1700=""),"Alamat kosong",IF($N1700="","Jabatan kosong",IF($O1700="","No. HP kosong",IF(AND($R1700&lt;&gt;"",$R1700&lt;17),"Usia di bawah 17","")))))))))</f>
        <v/>
      </c>
      <c r="Z1700" s="40" t="str">
        <f aca="false">IF($B1700="","",IF(AND(OR(CARI!$C$5="",ISNUMBER(SEARCH(CARI!$C$5,$B1700&amp;" "&amp;$C1700&amp;" "&amp;$D1700&amp;" "&amp;$O1700&amp;" "&amp;$I1700&amp;" "&amp;$F1700&amp;" "&amp;$J1700&amp;" "&amp;$K1700&amp;" "&amp;$L1700&amp;" "&amp;$V1700))),OR(CARI!$C$6="",$F1700=CARI!$C$6),OR(CARI!$C$7="",$G1700=CARI!$C$7),OR(CARI!$C$8="",$T1700=CARI!$C$8)),MAX($Z$3:Z1699)+1,""))</f>
        <v/>
      </c>
      <c r="AA1700" s="40" t="str">
        <f aca="false">IF($Y1700="","",MAX($AA$3:AA1699)+1)</f>
        <v/>
      </c>
      <c r="AB1700" s="40" t="str">
        <f aca="false">IF($F1700="","",$F1700&amp;"#"&amp;COUNTIF($F$4:$F1700,$F1700))</f>
        <v/>
      </c>
      <c r="AC1700" s="40" t="str">
        <f aca="false">IF($B1700="","",IF(AND(OR(CETAK!$J$10="",$F1700=CETAK!$J$10),OR(CETAK!$J$11="",$G1700=CETAK!$J$11),OR(CETAK!$J$12="",$P1700=CETAK!$J$12),OR(CETAK!$J$13="",$N1700=CETAK!$J$13),OR(CETAK!$J$14="",$T1700=CETAK!$J$14)),MAX($AC$3:AC1699)+1,""))</f>
        <v/>
      </c>
      <c r="AD1700" s="40" t="str">
        <f aca="false">IF($B1700="","",IF(AND(OR(ABSENSI!$H$10="",$F1700=ABSENSI!$H$10),OR(ABSENSI!$H$11="",$G1700=ABSENSI!$H$11),OR(ABSENSI!$H$12="",$P1700=ABSENSI!$H$12)),MAX($AD$3:AD1699)+1,""))</f>
        <v/>
      </c>
      <c r="AE1700" s="40" t="str">
        <f aca="false">IF($B1700="","",IF(AND(OR(KARTU!$K$6="",$F1700=KARTU!$K$6),OR(KARTU!$K$7="",$G1700=KARTU!$K$7),OR(KARTU!$K$8="",$P1700=KARTU!$K$8)),MAX($AE$3:AE1699)+1,""))</f>
        <v/>
      </c>
    </row>
    <row r="1701" customFormat="false" ht="15" hidden="false" customHeight="false" outlineLevel="0" collapsed="false">
      <c r="A1701" s="35" t="str">
        <f aca="false">IF($B1701="","",COUNTA($B$4:$B1701))</f>
        <v/>
      </c>
      <c r="B1701" s="36"/>
      <c r="C1701" s="37"/>
      <c r="D1701" s="37"/>
      <c r="E1701" s="38"/>
      <c r="F1701" s="36"/>
      <c r="G1701" s="39"/>
      <c r="H1701" s="39"/>
      <c r="I1701" s="36"/>
      <c r="J1701" s="36"/>
      <c r="K1701" s="36"/>
      <c r="L1701" s="36"/>
      <c r="M1701" s="40" t="str">
        <f aca="false">IF($F1701="","",$F1701&amp;IF($G1701="",""," - RT "&amp;$G1701&amp;IF($H1701="","","/"&amp;$H1701)))</f>
        <v/>
      </c>
      <c r="N1701" s="36"/>
      <c r="O1701" s="37"/>
      <c r="P1701" s="39"/>
      <c r="Q1701" s="41"/>
      <c r="R1701" s="35" t="str">
        <f aca="true">IF(OR($B1701="",$Q1701=""),"",DATEDIF($Q1701,TODAY(),"Y"))</f>
        <v/>
      </c>
      <c r="S1701" s="40" t="str">
        <f aca="false">IF($R1701="","",INDEX(usia_label,MATCH($R1701,usia_min,1)))</f>
        <v/>
      </c>
      <c r="T1701" s="36"/>
      <c r="U1701" s="41"/>
      <c r="V1701" s="36"/>
      <c r="W1701" s="36"/>
      <c r="X1701" s="40" t="str">
        <f aca="false">IF($M1701="","",$M1701&amp;"#"&amp;COUNTIF($M$4:$M1701,$M1701))</f>
        <v/>
      </c>
      <c r="Y1701" s="40" t="str">
        <f aca="false">IF($B1701="","",IF($C1701="","NIK kosong",IF(LEN($C1701)&lt;&gt;16,"NIK bukan 16 digit",IF(COUNTIF($C$4:$C$2003,$C1701&amp;"*")&gt;1,"NIK ganda",IF(AND($D1701&lt;&gt;"",LEN($D1701)&lt;&gt;16),"No. KK bukan 16 digit",IF(AND($F1701="",$I1701=""),"Alamat kosong",IF($N1701="","Jabatan kosong",IF($O1701="","No. HP kosong",IF(AND($R1701&lt;&gt;"",$R1701&lt;17),"Usia di bawah 17","")))))))))</f>
        <v/>
      </c>
      <c r="Z1701" s="40" t="str">
        <f aca="false">IF($B1701="","",IF(AND(OR(CARI!$C$5="",ISNUMBER(SEARCH(CARI!$C$5,$B1701&amp;" "&amp;$C1701&amp;" "&amp;$D1701&amp;" "&amp;$O1701&amp;" "&amp;$I1701&amp;" "&amp;$F1701&amp;" "&amp;$J1701&amp;" "&amp;$K1701&amp;" "&amp;$L1701&amp;" "&amp;$V1701))),OR(CARI!$C$6="",$F1701=CARI!$C$6),OR(CARI!$C$7="",$G1701=CARI!$C$7),OR(CARI!$C$8="",$T1701=CARI!$C$8)),MAX($Z$3:Z1700)+1,""))</f>
        <v/>
      </c>
      <c r="AA1701" s="40" t="str">
        <f aca="false">IF($Y1701="","",MAX($AA$3:AA1700)+1)</f>
        <v/>
      </c>
      <c r="AB1701" s="40" t="str">
        <f aca="false">IF($F1701="","",$F1701&amp;"#"&amp;COUNTIF($F$4:$F1701,$F1701))</f>
        <v/>
      </c>
      <c r="AC1701" s="40" t="str">
        <f aca="false">IF($B1701="","",IF(AND(OR(CETAK!$J$10="",$F1701=CETAK!$J$10),OR(CETAK!$J$11="",$G1701=CETAK!$J$11),OR(CETAK!$J$12="",$P1701=CETAK!$J$12),OR(CETAK!$J$13="",$N1701=CETAK!$J$13),OR(CETAK!$J$14="",$T1701=CETAK!$J$14)),MAX($AC$3:AC1700)+1,""))</f>
        <v/>
      </c>
      <c r="AD1701" s="40" t="str">
        <f aca="false">IF($B1701="","",IF(AND(OR(ABSENSI!$H$10="",$F1701=ABSENSI!$H$10),OR(ABSENSI!$H$11="",$G1701=ABSENSI!$H$11),OR(ABSENSI!$H$12="",$P1701=ABSENSI!$H$12)),MAX($AD$3:AD1700)+1,""))</f>
        <v/>
      </c>
      <c r="AE1701" s="40" t="str">
        <f aca="false">IF($B1701="","",IF(AND(OR(KARTU!$K$6="",$F1701=KARTU!$K$6),OR(KARTU!$K$7="",$G1701=KARTU!$K$7),OR(KARTU!$K$8="",$P1701=KARTU!$K$8)),MAX($AE$3:AE1700)+1,""))</f>
        <v/>
      </c>
    </row>
    <row r="1702" customFormat="false" ht="15" hidden="false" customHeight="false" outlineLevel="0" collapsed="false">
      <c r="A1702" s="35" t="str">
        <f aca="false">IF($B1702="","",COUNTA($B$4:$B1702))</f>
        <v/>
      </c>
      <c r="B1702" s="36"/>
      <c r="C1702" s="37"/>
      <c r="D1702" s="37"/>
      <c r="E1702" s="38"/>
      <c r="F1702" s="36"/>
      <c r="G1702" s="39"/>
      <c r="H1702" s="39"/>
      <c r="I1702" s="36"/>
      <c r="J1702" s="36"/>
      <c r="K1702" s="36"/>
      <c r="L1702" s="36"/>
      <c r="M1702" s="40" t="str">
        <f aca="false">IF($F1702="","",$F1702&amp;IF($G1702="",""," - RT "&amp;$G1702&amp;IF($H1702="","","/"&amp;$H1702)))</f>
        <v/>
      </c>
      <c r="N1702" s="36"/>
      <c r="O1702" s="37"/>
      <c r="P1702" s="39"/>
      <c r="Q1702" s="41"/>
      <c r="R1702" s="35" t="str">
        <f aca="true">IF(OR($B1702="",$Q1702=""),"",DATEDIF($Q1702,TODAY(),"Y"))</f>
        <v/>
      </c>
      <c r="S1702" s="40" t="str">
        <f aca="false">IF($R1702="","",INDEX(usia_label,MATCH($R1702,usia_min,1)))</f>
        <v/>
      </c>
      <c r="T1702" s="36"/>
      <c r="U1702" s="41"/>
      <c r="V1702" s="36"/>
      <c r="W1702" s="36"/>
      <c r="X1702" s="40" t="str">
        <f aca="false">IF($M1702="","",$M1702&amp;"#"&amp;COUNTIF($M$4:$M1702,$M1702))</f>
        <v/>
      </c>
      <c r="Y1702" s="40" t="str">
        <f aca="false">IF($B1702="","",IF($C1702="","NIK kosong",IF(LEN($C1702)&lt;&gt;16,"NIK bukan 16 digit",IF(COUNTIF($C$4:$C$2003,$C1702&amp;"*")&gt;1,"NIK ganda",IF(AND($D1702&lt;&gt;"",LEN($D1702)&lt;&gt;16),"No. KK bukan 16 digit",IF(AND($F1702="",$I1702=""),"Alamat kosong",IF($N1702="","Jabatan kosong",IF($O1702="","No. HP kosong",IF(AND($R1702&lt;&gt;"",$R1702&lt;17),"Usia di bawah 17","")))))))))</f>
        <v/>
      </c>
      <c r="Z1702" s="40" t="str">
        <f aca="false">IF($B1702="","",IF(AND(OR(CARI!$C$5="",ISNUMBER(SEARCH(CARI!$C$5,$B1702&amp;" "&amp;$C1702&amp;" "&amp;$D1702&amp;" "&amp;$O1702&amp;" "&amp;$I1702&amp;" "&amp;$F1702&amp;" "&amp;$J1702&amp;" "&amp;$K1702&amp;" "&amp;$L1702&amp;" "&amp;$V1702))),OR(CARI!$C$6="",$F1702=CARI!$C$6),OR(CARI!$C$7="",$G1702=CARI!$C$7),OR(CARI!$C$8="",$T1702=CARI!$C$8)),MAX($Z$3:Z1701)+1,""))</f>
        <v/>
      </c>
      <c r="AA1702" s="40" t="str">
        <f aca="false">IF($Y1702="","",MAX($AA$3:AA1701)+1)</f>
        <v/>
      </c>
      <c r="AB1702" s="40" t="str">
        <f aca="false">IF($F1702="","",$F1702&amp;"#"&amp;COUNTIF($F$4:$F1702,$F1702))</f>
        <v/>
      </c>
      <c r="AC1702" s="40" t="str">
        <f aca="false">IF($B1702="","",IF(AND(OR(CETAK!$J$10="",$F1702=CETAK!$J$10),OR(CETAK!$J$11="",$G1702=CETAK!$J$11),OR(CETAK!$J$12="",$P1702=CETAK!$J$12),OR(CETAK!$J$13="",$N1702=CETAK!$J$13),OR(CETAK!$J$14="",$T1702=CETAK!$J$14)),MAX($AC$3:AC1701)+1,""))</f>
        <v/>
      </c>
      <c r="AD1702" s="40" t="str">
        <f aca="false">IF($B1702="","",IF(AND(OR(ABSENSI!$H$10="",$F1702=ABSENSI!$H$10),OR(ABSENSI!$H$11="",$G1702=ABSENSI!$H$11),OR(ABSENSI!$H$12="",$P1702=ABSENSI!$H$12)),MAX($AD$3:AD1701)+1,""))</f>
        <v/>
      </c>
      <c r="AE1702" s="40" t="str">
        <f aca="false">IF($B1702="","",IF(AND(OR(KARTU!$K$6="",$F1702=KARTU!$K$6),OR(KARTU!$K$7="",$G1702=KARTU!$K$7),OR(KARTU!$K$8="",$P1702=KARTU!$K$8)),MAX($AE$3:AE1701)+1,""))</f>
        <v/>
      </c>
    </row>
    <row r="1703" customFormat="false" ht="15" hidden="false" customHeight="false" outlineLevel="0" collapsed="false">
      <c r="A1703" s="35" t="str">
        <f aca="false">IF($B1703="","",COUNTA($B$4:$B1703))</f>
        <v/>
      </c>
      <c r="B1703" s="36"/>
      <c r="C1703" s="37"/>
      <c r="D1703" s="37"/>
      <c r="E1703" s="38"/>
      <c r="F1703" s="36"/>
      <c r="G1703" s="39"/>
      <c r="H1703" s="39"/>
      <c r="I1703" s="36"/>
      <c r="J1703" s="36"/>
      <c r="K1703" s="36"/>
      <c r="L1703" s="36"/>
      <c r="M1703" s="40" t="str">
        <f aca="false">IF($F1703="","",$F1703&amp;IF($G1703="",""," - RT "&amp;$G1703&amp;IF($H1703="","","/"&amp;$H1703)))</f>
        <v/>
      </c>
      <c r="N1703" s="36"/>
      <c r="O1703" s="37"/>
      <c r="P1703" s="39"/>
      <c r="Q1703" s="41"/>
      <c r="R1703" s="35" t="str">
        <f aca="true">IF(OR($B1703="",$Q1703=""),"",DATEDIF($Q1703,TODAY(),"Y"))</f>
        <v/>
      </c>
      <c r="S1703" s="40" t="str">
        <f aca="false">IF($R1703="","",INDEX(usia_label,MATCH($R1703,usia_min,1)))</f>
        <v/>
      </c>
      <c r="T1703" s="36"/>
      <c r="U1703" s="41"/>
      <c r="V1703" s="36"/>
      <c r="W1703" s="36"/>
      <c r="X1703" s="40" t="str">
        <f aca="false">IF($M1703="","",$M1703&amp;"#"&amp;COUNTIF($M$4:$M1703,$M1703))</f>
        <v/>
      </c>
      <c r="Y1703" s="40" t="str">
        <f aca="false">IF($B1703="","",IF($C1703="","NIK kosong",IF(LEN($C1703)&lt;&gt;16,"NIK bukan 16 digit",IF(COUNTIF($C$4:$C$2003,$C1703&amp;"*")&gt;1,"NIK ganda",IF(AND($D1703&lt;&gt;"",LEN($D1703)&lt;&gt;16),"No. KK bukan 16 digit",IF(AND($F1703="",$I1703=""),"Alamat kosong",IF($N1703="","Jabatan kosong",IF($O1703="","No. HP kosong",IF(AND($R1703&lt;&gt;"",$R1703&lt;17),"Usia di bawah 17","")))))))))</f>
        <v/>
      </c>
      <c r="Z1703" s="40" t="str">
        <f aca="false">IF($B1703="","",IF(AND(OR(CARI!$C$5="",ISNUMBER(SEARCH(CARI!$C$5,$B1703&amp;" "&amp;$C1703&amp;" "&amp;$D1703&amp;" "&amp;$O1703&amp;" "&amp;$I1703&amp;" "&amp;$F1703&amp;" "&amp;$J1703&amp;" "&amp;$K1703&amp;" "&amp;$L1703&amp;" "&amp;$V1703))),OR(CARI!$C$6="",$F1703=CARI!$C$6),OR(CARI!$C$7="",$G1703=CARI!$C$7),OR(CARI!$C$8="",$T1703=CARI!$C$8)),MAX($Z$3:Z1702)+1,""))</f>
        <v/>
      </c>
      <c r="AA1703" s="40" t="str">
        <f aca="false">IF($Y1703="","",MAX($AA$3:AA1702)+1)</f>
        <v/>
      </c>
      <c r="AB1703" s="40" t="str">
        <f aca="false">IF($F1703="","",$F1703&amp;"#"&amp;COUNTIF($F$4:$F1703,$F1703))</f>
        <v/>
      </c>
      <c r="AC1703" s="40" t="str">
        <f aca="false">IF($B1703="","",IF(AND(OR(CETAK!$J$10="",$F1703=CETAK!$J$10),OR(CETAK!$J$11="",$G1703=CETAK!$J$11),OR(CETAK!$J$12="",$P1703=CETAK!$J$12),OR(CETAK!$J$13="",$N1703=CETAK!$J$13),OR(CETAK!$J$14="",$T1703=CETAK!$J$14)),MAX($AC$3:AC1702)+1,""))</f>
        <v/>
      </c>
      <c r="AD1703" s="40" t="str">
        <f aca="false">IF($B1703="","",IF(AND(OR(ABSENSI!$H$10="",$F1703=ABSENSI!$H$10),OR(ABSENSI!$H$11="",$G1703=ABSENSI!$H$11),OR(ABSENSI!$H$12="",$P1703=ABSENSI!$H$12)),MAX($AD$3:AD1702)+1,""))</f>
        <v/>
      </c>
      <c r="AE1703" s="40" t="str">
        <f aca="false">IF($B1703="","",IF(AND(OR(KARTU!$K$6="",$F1703=KARTU!$K$6),OR(KARTU!$K$7="",$G1703=KARTU!$K$7),OR(KARTU!$K$8="",$P1703=KARTU!$K$8)),MAX($AE$3:AE1702)+1,""))</f>
        <v/>
      </c>
    </row>
    <row r="1704" customFormat="false" ht="15" hidden="false" customHeight="false" outlineLevel="0" collapsed="false">
      <c r="A1704" s="35" t="str">
        <f aca="false">IF($B1704="","",COUNTA($B$4:$B1704))</f>
        <v/>
      </c>
      <c r="B1704" s="36"/>
      <c r="C1704" s="37"/>
      <c r="D1704" s="37"/>
      <c r="E1704" s="38"/>
      <c r="F1704" s="36"/>
      <c r="G1704" s="39"/>
      <c r="H1704" s="39"/>
      <c r="I1704" s="36"/>
      <c r="J1704" s="36"/>
      <c r="K1704" s="36"/>
      <c r="L1704" s="36"/>
      <c r="M1704" s="40" t="str">
        <f aca="false">IF($F1704="","",$F1704&amp;IF($G1704="",""," - RT "&amp;$G1704&amp;IF($H1704="","","/"&amp;$H1704)))</f>
        <v/>
      </c>
      <c r="N1704" s="36"/>
      <c r="O1704" s="37"/>
      <c r="P1704" s="39"/>
      <c r="Q1704" s="41"/>
      <c r="R1704" s="35" t="str">
        <f aca="true">IF(OR($B1704="",$Q1704=""),"",DATEDIF($Q1704,TODAY(),"Y"))</f>
        <v/>
      </c>
      <c r="S1704" s="40" t="str">
        <f aca="false">IF($R1704="","",INDEX(usia_label,MATCH($R1704,usia_min,1)))</f>
        <v/>
      </c>
      <c r="T1704" s="36"/>
      <c r="U1704" s="41"/>
      <c r="V1704" s="36"/>
      <c r="W1704" s="36"/>
      <c r="X1704" s="40" t="str">
        <f aca="false">IF($M1704="","",$M1704&amp;"#"&amp;COUNTIF($M$4:$M1704,$M1704))</f>
        <v/>
      </c>
      <c r="Y1704" s="40" t="str">
        <f aca="false">IF($B1704="","",IF($C1704="","NIK kosong",IF(LEN($C1704)&lt;&gt;16,"NIK bukan 16 digit",IF(COUNTIF($C$4:$C$2003,$C1704&amp;"*")&gt;1,"NIK ganda",IF(AND($D1704&lt;&gt;"",LEN($D1704)&lt;&gt;16),"No. KK bukan 16 digit",IF(AND($F1704="",$I1704=""),"Alamat kosong",IF($N1704="","Jabatan kosong",IF($O1704="","No. HP kosong",IF(AND($R1704&lt;&gt;"",$R1704&lt;17),"Usia di bawah 17","")))))))))</f>
        <v/>
      </c>
      <c r="Z1704" s="40" t="str">
        <f aca="false">IF($B1704="","",IF(AND(OR(CARI!$C$5="",ISNUMBER(SEARCH(CARI!$C$5,$B1704&amp;" "&amp;$C1704&amp;" "&amp;$D1704&amp;" "&amp;$O1704&amp;" "&amp;$I1704&amp;" "&amp;$F1704&amp;" "&amp;$J1704&amp;" "&amp;$K1704&amp;" "&amp;$L1704&amp;" "&amp;$V1704))),OR(CARI!$C$6="",$F1704=CARI!$C$6),OR(CARI!$C$7="",$G1704=CARI!$C$7),OR(CARI!$C$8="",$T1704=CARI!$C$8)),MAX($Z$3:Z1703)+1,""))</f>
        <v/>
      </c>
      <c r="AA1704" s="40" t="str">
        <f aca="false">IF($Y1704="","",MAX($AA$3:AA1703)+1)</f>
        <v/>
      </c>
      <c r="AB1704" s="40" t="str">
        <f aca="false">IF($F1704="","",$F1704&amp;"#"&amp;COUNTIF($F$4:$F1704,$F1704))</f>
        <v/>
      </c>
      <c r="AC1704" s="40" t="str">
        <f aca="false">IF($B1704="","",IF(AND(OR(CETAK!$J$10="",$F1704=CETAK!$J$10),OR(CETAK!$J$11="",$G1704=CETAK!$J$11),OR(CETAK!$J$12="",$P1704=CETAK!$J$12),OR(CETAK!$J$13="",$N1704=CETAK!$J$13),OR(CETAK!$J$14="",$T1704=CETAK!$J$14)),MAX($AC$3:AC1703)+1,""))</f>
        <v/>
      </c>
      <c r="AD1704" s="40" t="str">
        <f aca="false">IF($B1704="","",IF(AND(OR(ABSENSI!$H$10="",$F1704=ABSENSI!$H$10),OR(ABSENSI!$H$11="",$G1704=ABSENSI!$H$11),OR(ABSENSI!$H$12="",$P1704=ABSENSI!$H$12)),MAX($AD$3:AD1703)+1,""))</f>
        <v/>
      </c>
      <c r="AE1704" s="40" t="str">
        <f aca="false">IF($B1704="","",IF(AND(OR(KARTU!$K$6="",$F1704=KARTU!$K$6),OR(KARTU!$K$7="",$G1704=KARTU!$K$7),OR(KARTU!$K$8="",$P1704=KARTU!$K$8)),MAX($AE$3:AE1703)+1,""))</f>
        <v/>
      </c>
    </row>
    <row r="1705" customFormat="false" ht="15" hidden="false" customHeight="false" outlineLevel="0" collapsed="false">
      <c r="A1705" s="35" t="str">
        <f aca="false">IF($B1705="","",COUNTA($B$4:$B1705))</f>
        <v/>
      </c>
      <c r="B1705" s="36"/>
      <c r="C1705" s="37"/>
      <c r="D1705" s="37"/>
      <c r="E1705" s="38"/>
      <c r="F1705" s="36"/>
      <c r="G1705" s="39"/>
      <c r="H1705" s="39"/>
      <c r="I1705" s="36"/>
      <c r="J1705" s="36"/>
      <c r="K1705" s="36"/>
      <c r="L1705" s="36"/>
      <c r="M1705" s="40" t="str">
        <f aca="false">IF($F1705="","",$F1705&amp;IF($G1705="",""," - RT "&amp;$G1705&amp;IF($H1705="","","/"&amp;$H1705)))</f>
        <v/>
      </c>
      <c r="N1705" s="36"/>
      <c r="O1705" s="37"/>
      <c r="P1705" s="39"/>
      <c r="Q1705" s="41"/>
      <c r="R1705" s="35" t="str">
        <f aca="true">IF(OR($B1705="",$Q1705=""),"",DATEDIF($Q1705,TODAY(),"Y"))</f>
        <v/>
      </c>
      <c r="S1705" s="40" t="str">
        <f aca="false">IF($R1705="","",INDEX(usia_label,MATCH($R1705,usia_min,1)))</f>
        <v/>
      </c>
      <c r="T1705" s="36"/>
      <c r="U1705" s="41"/>
      <c r="V1705" s="36"/>
      <c r="W1705" s="36"/>
      <c r="X1705" s="40" t="str">
        <f aca="false">IF($M1705="","",$M1705&amp;"#"&amp;COUNTIF($M$4:$M1705,$M1705))</f>
        <v/>
      </c>
      <c r="Y1705" s="40" t="str">
        <f aca="false">IF($B1705="","",IF($C1705="","NIK kosong",IF(LEN($C1705)&lt;&gt;16,"NIK bukan 16 digit",IF(COUNTIF($C$4:$C$2003,$C1705&amp;"*")&gt;1,"NIK ganda",IF(AND($D1705&lt;&gt;"",LEN($D1705)&lt;&gt;16),"No. KK bukan 16 digit",IF(AND($F1705="",$I1705=""),"Alamat kosong",IF($N1705="","Jabatan kosong",IF($O1705="","No. HP kosong",IF(AND($R1705&lt;&gt;"",$R1705&lt;17),"Usia di bawah 17","")))))))))</f>
        <v/>
      </c>
      <c r="Z1705" s="40" t="str">
        <f aca="false">IF($B1705="","",IF(AND(OR(CARI!$C$5="",ISNUMBER(SEARCH(CARI!$C$5,$B1705&amp;" "&amp;$C1705&amp;" "&amp;$D1705&amp;" "&amp;$O1705&amp;" "&amp;$I1705&amp;" "&amp;$F1705&amp;" "&amp;$J1705&amp;" "&amp;$K1705&amp;" "&amp;$L1705&amp;" "&amp;$V1705))),OR(CARI!$C$6="",$F1705=CARI!$C$6),OR(CARI!$C$7="",$G1705=CARI!$C$7),OR(CARI!$C$8="",$T1705=CARI!$C$8)),MAX($Z$3:Z1704)+1,""))</f>
        <v/>
      </c>
      <c r="AA1705" s="40" t="str">
        <f aca="false">IF($Y1705="","",MAX($AA$3:AA1704)+1)</f>
        <v/>
      </c>
      <c r="AB1705" s="40" t="str">
        <f aca="false">IF($F1705="","",$F1705&amp;"#"&amp;COUNTIF($F$4:$F1705,$F1705))</f>
        <v/>
      </c>
      <c r="AC1705" s="40" t="str">
        <f aca="false">IF($B1705="","",IF(AND(OR(CETAK!$J$10="",$F1705=CETAK!$J$10),OR(CETAK!$J$11="",$G1705=CETAK!$J$11),OR(CETAK!$J$12="",$P1705=CETAK!$J$12),OR(CETAK!$J$13="",$N1705=CETAK!$J$13),OR(CETAK!$J$14="",$T1705=CETAK!$J$14)),MAX($AC$3:AC1704)+1,""))</f>
        <v/>
      </c>
      <c r="AD1705" s="40" t="str">
        <f aca="false">IF($B1705="","",IF(AND(OR(ABSENSI!$H$10="",$F1705=ABSENSI!$H$10),OR(ABSENSI!$H$11="",$G1705=ABSENSI!$H$11),OR(ABSENSI!$H$12="",$P1705=ABSENSI!$H$12)),MAX($AD$3:AD1704)+1,""))</f>
        <v/>
      </c>
      <c r="AE1705" s="40" t="str">
        <f aca="false">IF($B1705="","",IF(AND(OR(KARTU!$K$6="",$F1705=KARTU!$K$6),OR(KARTU!$K$7="",$G1705=KARTU!$K$7),OR(KARTU!$K$8="",$P1705=KARTU!$K$8)),MAX($AE$3:AE1704)+1,""))</f>
        <v/>
      </c>
    </row>
    <row r="1706" customFormat="false" ht="15" hidden="false" customHeight="false" outlineLevel="0" collapsed="false">
      <c r="A1706" s="35" t="str">
        <f aca="false">IF($B1706="","",COUNTA($B$4:$B1706))</f>
        <v/>
      </c>
      <c r="B1706" s="36"/>
      <c r="C1706" s="37"/>
      <c r="D1706" s="37"/>
      <c r="E1706" s="38"/>
      <c r="F1706" s="36"/>
      <c r="G1706" s="39"/>
      <c r="H1706" s="39"/>
      <c r="I1706" s="36"/>
      <c r="J1706" s="36"/>
      <c r="K1706" s="36"/>
      <c r="L1706" s="36"/>
      <c r="M1706" s="40" t="str">
        <f aca="false">IF($F1706="","",$F1706&amp;IF($G1706="",""," - RT "&amp;$G1706&amp;IF($H1706="","","/"&amp;$H1706)))</f>
        <v/>
      </c>
      <c r="N1706" s="36"/>
      <c r="O1706" s="37"/>
      <c r="P1706" s="39"/>
      <c r="Q1706" s="41"/>
      <c r="R1706" s="35" t="str">
        <f aca="true">IF(OR($B1706="",$Q1706=""),"",DATEDIF($Q1706,TODAY(),"Y"))</f>
        <v/>
      </c>
      <c r="S1706" s="40" t="str">
        <f aca="false">IF($R1706="","",INDEX(usia_label,MATCH($R1706,usia_min,1)))</f>
        <v/>
      </c>
      <c r="T1706" s="36"/>
      <c r="U1706" s="41"/>
      <c r="V1706" s="36"/>
      <c r="W1706" s="36"/>
      <c r="X1706" s="40" t="str">
        <f aca="false">IF($M1706="","",$M1706&amp;"#"&amp;COUNTIF($M$4:$M1706,$M1706))</f>
        <v/>
      </c>
      <c r="Y1706" s="40" t="str">
        <f aca="false">IF($B1706="","",IF($C1706="","NIK kosong",IF(LEN($C1706)&lt;&gt;16,"NIK bukan 16 digit",IF(COUNTIF($C$4:$C$2003,$C1706&amp;"*")&gt;1,"NIK ganda",IF(AND($D1706&lt;&gt;"",LEN($D1706)&lt;&gt;16),"No. KK bukan 16 digit",IF(AND($F1706="",$I1706=""),"Alamat kosong",IF($N1706="","Jabatan kosong",IF($O1706="","No. HP kosong",IF(AND($R1706&lt;&gt;"",$R1706&lt;17),"Usia di bawah 17","")))))))))</f>
        <v/>
      </c>
      <c r="Z1706" s="40" t="str">
        <f aca="false">IF($B1706="","",IF(AND(OR(CARI!$C$5="",ISNUMBER(SEARCH(CARI!$C$5,$B1706&amp;" "&amp;$C1706&amp;" "&amp;$D1706&amp;" "&amp;$O1706&amp;" "&amp;$I1706&amp;" "&amp;$F1706&amp;" "&amp;$J1706&amp;" "&amp;$K1706&amp;" "&amp;$L1706&amp;" "&amp;$V1706))),OR(CARI!$C$6="",$F1706=CARI!$C$6),OR(CARI!$C$7="",$G1706=CARI!$C$7),OR(CARI!$C$8="",$T1706=CARI!$C$8)),MAX($Z$3:Z1705)+1,""))</f>
        <v/>
      </c>
      <c r="AA1706" s="40" t="str">
        <f aca="false">IF($Y1706="","",MAX($AA$3:AA1705)+1)</f>
        <v/>
      </c>
      <c r="AB1706" s="40" t="str">
        <f aca="false">IF($F1706="","",$F1706&amp;"#"&amp;COUNTIF($F$4:$F1706,$F1706))</f>
        <v/>
      </c>
      <c r="AC1706" s="40" t="str">
        <f aca="false">IF($B1706="","",IF(AND(OR(CETAK!$J$10="",$F1706=CETAK!$J$10),OR(CETAK!$J$11="",$G1706=CETAK!$J$11),OR(CETAK!$J$12="",$P1706=CETAK!$J$12),OR(CETAK!$J$13="",$N1706=CETAK!$J$13),OR(CETAK!$J$14="",$T1706=CETAK!$J$14)),MAX($AC$3:AC1705)+1,""))</f>
        <v/>
      </c>
      <c r="AD1706" s="40" t="str">
        <f aca="false">IF($B1706="","",IF(AND(OR(ABSENSI!$H$10="",$F1706=ABSENSI!$H$10),OR(ABSENSI!$H$11="",$G1706=ABSENSI!$H$11),OR(ABSENSI!$H$12="",$P1706=ABSENSI!$H$12)),MAX($AD$3:AD1705)+1,""))</f>
        <v/>
      </c>
      <c r="AE1706" s="40" t="str">
        <f aca="false">IF($B1706="","",IF(AND(OR(KARTU!$K$6="",$F1706=KARTU!$K$6),OR(KARTU!$K$7="",$G1706=KARTU!$K$7),OR(KARTU!$K$8="",$P1706=KARTU!$K$8)),MAX($AE$3:AE1705)+1,""))</f>
        <v/>
      </c>
    </row>
    <row r="1707" customFormat="false" ht="15" hidden="false" customHeight="false" outlineLevel="0" collapsed="false">
      <c r="A1707" s="35" t="str">
        <f aca="false">IF($B1707="","",COUNTA($B$4:$B1707))</f>
        <v/>
      </c>
      <c r="B1707" s="36"/>
      <c r="C1707" s="37"/>
      <c r="D1707" s="37"/>
      <c r="E1707" s="38"/>
      <c r="F1707" s="36"/>
      <c r="G1707" s="39"/>
      <c r="H1707" s="39"/>
      <c r="I1707" s="36"/>
      <c r="J1707" s="36"/>
      <c r="K1707" s="36"/>
      <c r="L1707" s="36"/>
      <c r="M1707" s="40" t="str">
        <f aca="false">IF($F1707="","",$F1707&amp;IF($G1707="",""," - RT "&amp;$G1707&amp;IF($H1707="","","/"&amp;$H1707)))</f>
        <v/>
      </c>
      <c r="N1707" s="36"/>
      <c r="O1707" s="37"/>
      <c r="P1707" s="39"/>
      <c r="Q1707" s="41"/>
      <c r="R1707" s="35" t="str">
        <f aca="true">IF(OR($B1707="",$Q1707=""),"",DATEDIF($Q1707,TODAY(),"Y"))</f>
        <v/>
      </c>
      <c r="S1707" s="40" t="str">
        <f aca="false">IF($R1707="","",INDEX(usia_label,MATCH($R1707,usia_min,1)))</f>
        <v/>
      </c>
      <c r="T1707" s="36"/>
      <c r="U1707" s="41"/>
      <c r="V1707" s="36"/>
      <c r="W1707" s="36"/>
      <c r="X1707" s="40" t="str">
        <f aca="false">IF($M1707="","",$M1707&amp;"#"&amp;COUNTIF($M$4:$M1707,$M1707))</f>
        <v/>
      </c>
      <c r="Y1707" s="40" t="str">
        <f aca="false">IF($B1707="","",IF($C1707="","NIK kosong",IF(LEN($C1707)&lt;&gt;16,"NIK bukan 16 digit",IF(COUNTIF($C$4:$C$2003,$C1707&amp;"*")&gt;1,"NIK ganda",IF(AND($D1707&lt;&gt;"",LEN($D1707)&lt;&gt;16),"No. KK bukan 16 digit",IF(AND($F1707="",$I1707=""),"Alamat kosong",IF($N1707="","Jabatan kosong",IF($O1707="","No. HP kosong",IF(AND($R1707&lt;&gt;"",$R1707&lt;17),"Usia di bawah 17","")))))))))</f>
        <v/>
      </c>
      <c r="Z1707" s="40" t="str">
        <f aca="false">IF($B1707="","",IF(AND(OR(CARI!$C$5="",ISNUMBER(SEARCH(CARI!$C$5,$B1707&amp;" "&amp;$C1707&amp;" "&amp;$D1707&amp;" "&amp;$O1707&amp;" "&amp;$I1707&amp;" "&amp;$F1707&amp;" "&amp;$J1707&amp;" "&amp;$K1707&amp;" "&amp;$L1707&amp;" "&amp;$V1707))),OR(CARI!$C$6="",$F1707=CARI!$C$6),OR(CARI!$C$7="",$G1707=CARI!$C$7),OR(CARI!$C$8="",$T1707=CARI!$C$8)),MAX($Z$3:Z1706)+1,""))</f>
        <v/>
      </c>
      <c r="AA1707" s="40" t="str">
        <f aca="false">IF($Y1707="","",MAX($AA$3:AA1706)+1)</f>
        <v/>
      </c>
      <c r="AB1707" s="40" t="str">
        <f aca="false">IF($F1707="","",$F1707&amp;"#"&amp;COUNTIF($F$4:$F1707,$F1707))</f>
        <v/>
      </c>
      <c r="AC1707" s="40" t="str">
        <f aca="false">IF($B1707="","",IF(AND(OR(CETAK!$J$10="",$F1707=CETAK!$J$10),OR(CETAK!$J$11="",$G1707=CETAK!$J$11),OR(CETAK!$J$12="",$P1707=CETAK!$J$12),OR(CETAK!$J$13="",$N1707=CETAK!$J$13),OR(CETAK!$J$14="",$T1707=CETAK!$J$14)),MAX($AC$3:AC1706)+1,""))</f>
        <v/>
      </c>
      <c r="AD1707" s="40" t="str">
        <f aca="false">IF($B1707="","",IF(AND(OR(ABSENSI!$H$10="",$F1707=ABSENSI!$H$10),OR(ABSENSI!$H$11="",$G1707=ABSENSI!$H$11),OR(ABSENSI!$H$12="",$P1707=ABSENSI!$H$12)),MAX($AD$3:AD1706)+1,""))</f>
        <v/>
      </c>
      <c r="AE1707" s="40" t="str">
        <f aca="false">IF($B1707="","",IF(AND(OR(KARTU!$K$6="",$F1707=KARTU!$K$6),OR(KARTU!$K$7="",$G1707=KARTU!$K$7),OR(KARTU!$K$8="",$P1707=KARTU!$K$8)),MAX($AE$3:AE1706)+1,""))</f>
        <v/>
      </c>
    </row>
    <row r="1708" customFormat="false" ht="15" hidden="false" customHeight="false" outlineLevel="0" collapsed="false">
      <c r="A1708" s="35" t="str">
        <f aca="false">IF($B1708="","",COUNTA($B$4:$B1708))</f>
        <v/>
      </c>
      <c r="B1708" s="36"/>
      <c r="C1708" s="37"/>
      <c r="D1708" s="37"/>
      <c r="E1708" s="38"/>
      <c r="F1708" s="36"/>
      <c r="G1708" s="39"/>
      <c r="H1708" s="39"/>
      <c r="I1708" s="36"/>
      <c r="J1708" s="36"/>
      <c r="K1708" s="36"/>
      <c r="L1708" s="36"/>
      <c r="M1708" s="40" t="str">
        <f aca="false">IF($F1708="","",$F1708&amp;IF($G1708="",""," - RT "&amp;$G1708&amp;IF($H1708="","","/"&amp;$H1708)))</f>
        <v/>
      </c>
      <c r="N1708" s="36"/>
      <c r="O1708" s="37"/>
      <c r="P1708" s="39"/>
      <c r="Q1708" s="41"/>
      <c r="R1708" s="35" t="str">
        <f aca="true">IF(OR($B1708="",$Q1708=""),"",DATEDIF($Q1708,TODAY(),"Y"))</f>
        <v/>
      </c>
      <c r="S1708" s="40" t="str">
        <f aca="false">IF($R1708="","",INDEX(usia_label,MATCH($R1708,usia_min,1)))</f>
        <v/>
      </c>
      <c r="T1708" s="36"/>
      <c r="U1708" s="41"/>
      <c r="V1708" s="36"/>
      <c r="W1708" s="36"/>
      <c r="X1708" s="40" t="str">
        <f aca="false">IF($M1708="","",$M1708&amp;"#"&amp;COUNTIF($M$4:$M1708,$M1708))</f>
        <v/>
      </c>
      <c r="Y1708" s="40" t="str">
        <f aca="false">IF($B1708="","",IF($C1708="","NIK kosong",IF(LEN($C1708)&lt;&gt;16,"NIK bukan 16 digit",IF(COUNTIF($C$4:$C$2003,$C1708&amp;"*")&gt;1,"NIK ganda",IF(AND($D1708&lt;&gt;"",LEN($D1708)&lt;&gt;16),"No. KK bukan 16 digit",IF(AND($F1708="",$I1708=""),"Alamat kosong",IF($N1708="","Jabatan kosong",IF($O1708="","No. HP kosong",IF(AND($R1708&lt;&gt;"",$R1708&lt;17),"Usia di bawah 17","")))))))))</f>
        <v/>
      </c>
      <c r="Z1708" s="40" t="str">
        <f aca="false">IF($B1708="","",IF(AND(OR(CARI!$C$5="",ISNUMBER(SEARCH(CARI!$C$5,$B1708&amp;" "&amp;$C1708&amp;" "&amp;$D1708&amp;" "&amp;$O1708&amp;" "&amp;$I1708&amp;" "&amp;$F1708&amp;" "&amp;$J1708&amp;" "&amp;$K1708&amp;" "&amp;$L1708&amp;" "&amp;$V1708))),OR(CARI!$C$6="",$F1708=CARI!$C$6),OR(CARI!$C$7="",$G1708=CARI!$C$7),OR(CARI!$C$8="",$T1708=CARI!$C$8)),MAX($Z$3:Z1707)+1,""))</f>
        <v/>
      </c>
      <c r="AA1708" s="40" t="str">
        <f aca="false">IF($Y1708="","",MAX($AA$3:AA1707)+1)</f>
        <v/>
      </c>
      <c r="AB1708" s="40" t="str">
        <f aca="false">IF($F1708="","",$F1708&amp;"#"&amp;COUNTIF($F$4:$F1708,$F1708))</f>
        <v/>
      </c>
      <c r="AC1708" s="40" t="str">
        <f aca="false">IF($B1708="","",IF(AND(OR(CETAK!$J$10="",$F1708=CETAK!$J$10),OR(CETAK!$J$11="",$G1708=CETAK!$J$11),OR(CETAK!$J$12="",$P1708=CETAK!$J$12),OR(CETAK!$J$13="",$N1708=CETAK!$J$13),OR(CETAK!$J$14="",$T1708=CETAK!$J$14)),MAX($AC$3:AC1707)+1,""))</f>
        <v/>
      </c>
      <c r="AD1708" s="40" t="str">
        <f aca="false">IF($B1708="","",IF(AND(OR(ABSENSI!$H$10="",$F1708=ABSENSI!$H$10),OR(ABSENSI!$H$11="",$G1708=ABSENSI!$H$11),OR(ABSENSI!$H$12="",$P1708=ABSENSI!$H$12)),MAX($AD$3:AD1707)+1,""))</f>
        <v/>
      </c>
      <c r="AE1708" s="40" t="str">
        <f aca="false">IF($B1708="","",IF(AND(OR(KARTU!$K$6="",$F1708=KARTU!$K$6),OR(KARTU!$K$7="",$G1708=KARTU!$K$7),OR(KARTU!$K$8="",$P1708=KARTU!$K$8)),MAX($AE$3:AE1707)+1,""))</f>
        <v/>
      </c>
    </row>
    <row r="1709" customFormat="false" ht="15" hidden="false" customHeight="false" outlineLevel="0" collapsed="false">
      <c r="A1709" s="35" t="str">
        <f aca="false">IF($B1709="","",COUNTA($B$4:$B1709))</f>
        <v/>
      </c>
      <c r="B1709" s="36"/>
      <c r="C1709" s="37"/>
      <c r="D1709" s="37"/>
      <c r="E1709" s="38"/>
      <c r="F1709" s="36"/>
      <c r="G1709" s="39"/>
      <c r="H1709" s="39"/>
      <c r="I1709" s="36"/>
      <c r="J1709" s="36"/>
      <c r="K1709" s="36"/>
      <c r="L1709" s="36"/>
      <c r="M1709" s="40" t="str">
        <f aca="false">IF($F1709="","",$F1709&amp;IF($G1709="",""," - RT "&amp;$G1709&amp;IF($H1709="","","/"&amp;$H1709)))</f>
        <v/>
      </c>
      <c r="N1709" s="36"/>
      <c r="O1709" s="37"/>
      <c r="P1709" s="39"/>
      <c r="Q1709" s="41"/>
      <c r="R1709" s="35" t="str">
        <f aca="true">IF(OR($B1709="",$Q1709=""),"",DATEDIF($Q1709,TODAY(),"Y"))</f>
        <v/>
      </c>
      <c r="S1709" s="40" t="str">
        <f aca="false">IF($R1709="","",INDEX(usia_label,MATCH($R1709,usia_min,1)))</f>
        <v/>
      </c>
      <c r="T1709" s="36"/>
      <c r="U1709" s="41"/>
      <c r="V1709" s="36"/>
      <c r="W1709" s="36"/>
      <c r="X1709" s="40" t="str">
        <f aca="false">IF($M1709="","",$M1709&amp;"#"&amp;COUNTIF($M$4:$M1709,$M1709))</f>
        <v/>
      </c>
      <c r="Y1709" s="40" t="str">
        <f aca="false">IF($B1709="","",IF($C1709="","NIK kosong",IF(LEN($C1709)&lt;&gt;16,"NIK bukan 16 digit",IF(COUNTIF($C$4:$C$2003,$C1709&amp;"*")&gt;1,"NIK ganda",IF(AND($D1709&lt;&gt;"",LEN($D1709)&lt;&gt;16),"No. KK bukan 16 digit",IF(AND($F1709="",$I1709=""),"Alamat kosong",IF($N1709="","Jabatan kosong",IF($O1709="","No. HP kosong",IF(AND($R1709&lt;&gt;"",$R1709&lt;17),"Usia di bawah 17","")))))))))</f>
        <v/>
      </c>
      <c r="Z1709" s="40" t="str">
        <f aca="false">IF($B1709="","",IF(AND(OR(CARI!$C$5="",ISNUMBER(SEARCH(CARI!$C$5,$B1709&amp;" "&amp;$C1709&amp;" "&amp;$D1709&amp;" "&amp;$O1709&amp;" "&amp;$I1709&amp;" "&amp;$F1709&amp;" "&amp;$J1709&amp;" "&amp;$K1709&amp;" "&amp;$L1709&amp;" "&amp;$V1709))),OR(CARI!$C$6="",$F1709=CARI!$C$6),OR(CARI!$C$7="",$G1709=CARI!$C$7),OR(CARI!$C$8="",$T1709=CARI!$C$8)),MAX($Z$3:Z1708)+1,""))</f>
        <v/>
      </c>
      <c r="AA1709" s="40" t="str">
        <f aca="false">IF($Y1709="","",MAX($AA$3:AA1708)+1)</f>
        <v/>
      </c>
      <c r="AB1709" s="40" t="str">
        <f aca="false">IF($F1709="","",$F1709&amp;"#"&amp;COUNTIF($F$4:$F1709,$F1709))</f>
        <v/>
      </c>
      <c r="AC1709" s="40" t="str">
        <f aca="false">IF($B1709="","",IF(AND(OR(CETAK!$J$10="",$F1709=CETAK!$J$10),OR(CETAK!$J$11="",$G1709=CETAK!$J$11),OR(CETAK!$J$12="",$P1709=CETAK!$J$12),OR(CETAK!$J$13="",$N1709=CETAK!$J$13),OR(CETAK!$J$14="",$T1709=CETAK!$J$14)),MAX($AC$3:AC1708)+1,""))</f>
        <v/>
      </c>
      <c r="AD1709" s="40" t="str">
        <f aca="false">IF($B1709="","",IF(AND(OR(ABSENSI!$H$10="",$F1709=ABSENSI!$H$10),OR(ABSENSI!$H$11="",$G1709=ABSENSI!$H$11),OR(ABSENSI!$H$12="",$P1709=ABSENSI!$H$12)),MAX($AD$3:AD1708)+1,""))</f>
        <v/>
      </c>
      <c r="AE1709" s="40" t="str">
        <f aca="false">IF($B1709="","",IF(AND(OR(KARTU!$K$6="",$F1709=KARTU!$K$6),OR(KARTU!$K$7="",$G1709=KARTU!$K$7),OR(KARTU!$K$8="",$P1709=KARTU!$K$8)),MAX($AE$3:AE1708)+1,""))</f>
        <v/>
      </c>
    </row>
    <row r="1710" customFormat="false" ht="15" hidden="false" customHeight="false" outlineLevel="0" collapsed="false">
      <c r="A1710" s="35" t="str">
        <f aca="false">IF($B1710="","",COUNTA($B$4:$B1710))</f>
        <v/>
      </c>
      <c r="B1710" s="36"/>
      <c r="C1710" s="37"/>
      <c r="D1710" s="37"/>
      <c r="E1710" s="38"/>
      <c r="F1710" s="36"/>
      <c r="G1710" s="39"/>
      <c r="H1710" s="39"/>
      <c r="I1710" s="36"/>
      <c r="J1710" s="36"/>
      <c r="K1710" s="36"/>
      <c r="L1710" s="36"/>
      <c r="M1710" s="40" t="str">
        <f aca="false">IF($F1710="","",$F1710&amp;IF($G1710="",""," - RT "&amp;$G1710&amp;IF($H1710="","","/"&amp;$H1710)))</f>
        <v/>
      </c>
      <c r="N1710" s="36"/>
      <c r="O1710" s="37"/>
      <c r="P1710" s="39"/>
      <c r="Q1710" s="41"/>
      <c r="R1710" s="35" t="str">
        <f aca="true">IF(OR($B1710="",$Q1710=""),"",DATEDIF($Q1710,TODAY(),"Y"))</f>
        <v/>
      </c>
      <c r="S1710" s="40" t="str">
        <f aca="false">IF($R1710="","",INDEX(usia_label,MATCH($R1710,usia_min,1)))</f>
        <v/>
      </c>
      <c r="T1710" s="36"/>
      <c r="U1710" s="41"/>
      <c r="V1710" s="36"/>
      <c r="W1710" s="36"/>
      <c r="X1710" s="40" t="str">
        <f aca="false">IF($M1710="","",$M1710&amp;"#"&amp;COUNTIF($M$4:$M1710,$M1710))</f>
        <v/>
      </c>
      <c r="Y1710" s="40" t="str">
        <f aca="false">IF($B1710="","",IF($C1710="","NIK kosong",IF(LEN($C1710)&lt;&gt;16,"NIK bukan 16 digit",IF(COUNTIF($C$4:$C$2003,$C1710&amp;"*")&gt;1,"NIK ganda",IF(AND($D1710&lt;&gt;"",LEN($D1710)&lt;&gt;16),"No. KK bukan 16 digit",IF(AND($F1710="",$I1710=""),"Alamat kosong",IF($N1710="","Jabatan kosong",IF($O1710="","No. HP kosong",IF(AND($R1710&lt;&gt;"",$R1710&lt;17),"Usia di bawah 17","")))))))))</f>
        <v/>
      </c>
      <c r="Z1710" s="40" t="str">
        <f aca="false">IF($B1710="","",IF(AND(OR(CARI!$C$5="",ISNUMBER(SEARCH(CARI!$C$5,$B1710&amp;" "&amp;$C1710&amp;" "&amp;$D1710&amp;" "&amp;$O1710&amp;" "&amp;$I1710&amp;" "&amp;$F1710&amp;" "&amp;$J1710&amp;" "&amp;$K1710&amp;" "&amp;$L1710&amp;" "&amp;$V1710))),OR(CARI!$C$6="",$F1710=CARI!$C$6),OR(CARI!$C$7="",$G1710=CARI!$C$7),OR(CARI!$C$8="",$T1710=CARI!$C$8)),MAX($Z$3:Z1709)+1,""))</f>
        <v/>
      </c>
      <c r="AA1710" s="40" t="str">
        <f aca="false">IF($Y1710="","",MAX($AA$3:AA1709)+1)</f>
        <v/>
      </c>
      <c r="AB1710" s="40" t="str">
        <f aca="false">IF($F1710="","",$F1710&amp;"#"&amp;COUNTIF($F$4:$F1710,$F1710))</f>
        <v/>
      </c>
      <c r="AC1710" s="40" t="str">
        <f aca="false">IF($B1710="","",IF(AND(OR(CETAK!$J$10="",$F1710=CETAK!$J$10),OR(CETAK!$J$11="",$G1710=CETAK!$J$11),OR(CETAK!$J$12="",$P1710=CETAK!$J$12),OR(CETAK!$J$13="",$N1710=CETAK!$J$13),OR(CETAK!$J$14="",$T1710=CETAK!$J$14)),MAX($AC$3:AC1709)+1,""))</f>
        <v/>
      </c>
      <c r="AD1710" s="40" t="str">
        <f aca="false">IF($B1710="","",IF(AND(OR(ABSENSI!$H$10="",$F1710=ABSENSI!$H$10),OR(ABSENSI!$H$11="",$G1710=ABSENSI!$H$11),OR(ABSENSI!$H$12="",$P1710=ABSENSI!$H$12)),MAX($AD$3:AD1709)+1,""))</f>
        <v/>
      </c>
      <c r="AE1710" s="40" t="str">
        <f aca="false">IF($B1710="","",IF(AND(OR(KARTU!$K$6="",$F1710=KARTU!$K$6),OR(KARTU!$K$7="",$G1710=KARTU!$K$7),OR(KARTU!$K$8="",$P1710=KARTU!$K$8)),MAX($AE$3:AE1709)+1,""))</f>
        <v/>
      </c>
    </row>
    <row r="1711" customFormat="false" ht="15" hidden="false" customHeight="false" outlineLevel="0" collapsed="false">
      <c r="A1711" s="35" t="str">
        <f aca="false">IF($B1711="","",COUNTA($B$4:$B1711))</f>
        <v/>
      </c>
      <c r="B1711" s="36"/>
      <c r="C1711" s="37"/>
      <c r="D1711" s="37"/>
      <c r="E1711" s="38"/>
      <c r="F1711" s="36"/>
      <c r="G1711" s="39"/>
      <c r="H1711" s="39"/>
      <c r="I1711" s="36"/>
      <c r="J1711" s="36"/>
      <c r="K1711" s="36"/>
      <c r="L1711" s="36"/>
      <c r="M1711" s="40" t="str">
        <f aca="false">IF($F1711="","",$F1711&amp;IF($G1711="",""," - RT "&amp;$G1711&amp;IF($H1711="","","/"&amp;$H1711)))</f>
        <v/>
      </c>
      <c r="N1711" s="36"/>
      <c r="O1711" s="37"/>
      <c r="P1711" s="39"/>
      <c r="Q1711" s="41"/>
      <c r="R1711" s="35" t="str">
        <f aca="true">IF(OR($B1711="",$Q1711=""),"",DATEDIF($Q1711,TODAY(),"Y"))</f>
        <v/>
      </c>
      <c r="S1711" s="40" t="str">
        <f aca="false">IF($R1711="","",INDEX(usia_label,MATCH($R1711,usia_min,1)))</f>
        <v/>
      </c>
      <c r="T1711" s="36"/>
      <c r="U1711" s="41"/>
      <c r="V1711" s="36"/>
      <c r="W1711" s="36"/>
      <c r="X1711" s="40" t="str">
        <f aca="false">IF($M1711="","",$M1711&amp;"#"&amp;COUNTIF($M$4:$M1711,$M1711))</f>
        <v/>
      </c>
      <c r="Y1711" s="40" t="str">
        <f aca="false">IF($B1711="","",IF($C1711="","NIK kosong",IF(LEN($C1711)&lt;&gt;16,"NIK bukan 16 digit",IF(COUNTIF($C$4:$C$2003,$C1711&amp;"*")&gt;1,"NIK ganda",IF(AND($D1711&lt;&gt;"",LEN($D1711)&lt;&gt;16),"No. KK bukan 16 digit",IF(AND($F1711="",$I1711=""),"Alamat kosong",IF($N1711="","Jabatan kosong",IF($O1711="","No. HP kosong",IF(AND($R1711&lt;&gt;"",$R1711&lt;17),"Usia di bawah 17","")))))))))</f>
        <v/>
      </c>
      <c r="Z1711" s="40" t="str">
        <f aca="false">IF($B1711="","",IF(AND(OR(CARI!$C$5="",ISNUMBER(SEARCH(CARI!$C$5,$B1711&amp;" "&amp;$C1711&amp;" "&amp;$D1711&amp;" "&amp;$O1711&amp;" "&amp;$I1711&amp;" "&amp;$F1711&amp;" "&amp;$J1711&amp;" "&amp;$K1711&amp;" "&amp;$L1711&amp;" "&amp;$V1711))),OR(CARI!$C$6="",$F1711=CARI!$C$6),OR(CARI!$C$7="",$G1711=CARI!$C$7),OR(CARI!$C$8="",$T1711=CARI!$C$8)),MAX($Z$3:Z1710)+1,""))</f>
        <v/>
      </c>
      <c r="AA1711" s="40" t="str">
        <f aca="false">IF($Y1711="","",MAX($AA$3:AA1710)+1)</f>
        <v/>
      </c>
      <c r="AB1711" s="40" t="str">
        <f aca="false">IF($F1711="","",$F1711&amp;"#"&amp;COUNTIF($F$4:$F1711,$F1711))</f>
        <v/>
      </c>
      <c r="AC1711" s="40" t="str">
        <f aca="false">IF($B1711="","",IF(AND(OR(CETAK!$J$10="",$F1711=CETAK!$J$10),OR(CETAK!$J$11="",$G1711=CETAK!$J$11),OR(CETAK!$J$12="",$P1711=CETAK!$J$12),OR(CETAK!$J$13="",$N1711=CETAK!$J$13),OR(CETAK!$J$14="",$T1711=CETAK!$J$14)),MAX($AC$3:AC1710)+1,""))</f>
        <v/>
      </c>
      <c r="AD1711" s="40" t="str">
        <f aca="false">IF($B1711="","",IF(AND(OR(ABSENSI!$H$10="",$F1711=ABSENSI!$H$10),OR(ABSENSI!$H$11="",$G1711=ABSENSI!$H$11),OR(ABSENSI!$H$12="",$P1711=ABSENSI!$H$12)),MAX($AD$3:AD1710)+1,""))</f>
        <v/>
      </c>
      <c r="AE1711" s="40" t="str">
        <f aca="false">IF($B1711="","",IF(AND(OR(KARTU!$K$6="",$F1711=KARTU!$K$6),OR(KARTU!$K$7="",$G1711=KARTU!$K$7),OR(KARTU!$K$8="",$P1711=KARTU!$K$8)),MAX($AE$3:AE1710)+1,""))</f>
        <v/>
      </c>
    </row>
    <row r="1712" customFormat="false" ht="15" hidden="false" customHeight="false" outlineLevel="0" collapsed="false">
      <c r="A1712" s="35" t="str">
        <f aca="false">IF($B1712="","",COUNTA($B$4:$B1712))</f>
        <v/>
      </c>
      <c r="B1712" s="36"/>
      <c r="C1712" s="37"/>
      <c r="D1712" s="37"/>
      <c r="E1712" s="38"/>
      <c r="F1712" s="36"/>
      <c r="G1712" s="39"/>
      <c r="H1712" s="39"/>
      <c r="I1712" s="36"/>
      <c r="J1712" s="36"/>
      <c r="K1712" s="36"/>
      <c r="L1712" s="36"/>
      <c r="M1712" s="40" t="str">
        <f aca="false">IF($F1712="","",$F1712&amp;IF($G1712="",""," - RT "&amp;$G1712&amp;IF($H1712="","","/"&amp;$H1712)))</f>
        <v/>
      </c>
      <c r="N1712" s="36"/>
      <c r="O1712" s="37"/>
      <c r="P1712" s="39"/>
      <c r="Q1712" s="41"/>
      <c r="R1712" s="35" t="str">
        <f aca="true">IF(OR($B1712="",$Q1712=""),"",DATEDIF($Q1712,TODAY(),"Y"))</f>
        <v/>
      </c>
      <c r="S1712" s="40" t="str">
        <f aca="false">IF($R1712="","",INDEX(usia_label,MATCH($R1712,usia_min,1)))</f>
        <v/>
      </c>
      <c r="T1712" s="36"/>
      <c r="U1712" s="41"/>
      <c r="V1712" s="36"/>
      <c r="W1712" s="36"/>
      <c r="X1712" s="40" t="str">
        <f aca="false">IF($M1712="","",$M1712&amp;"#"&amp;COUNTIF($M$4:$M1712,$M1712))</f>
        <v/>
      </c>
      <c r="Y1712" s="40" t="str">
        <f aca="false">IF($B1712="","",IF($C1712="","NIK kosong",IF(LEN($C1712)&lt;&gt;16,"NIK bukan 16 digit",IF(COUNTIF($C$4:$C$2003,$C1712&amp;"*")&gt;1,"NIK ganda",IF(AND($D1712&lt;&gt;"",LEN($D1712)&lt;&gt;16),"No. KK bukan 16 digit",IF(AND($F1712="",$I1712=""),"Alamat kosong",IF($N1712="","Jabatan kosong",IF($O1712="","No. HP kosong",IF(AND($R1712&lt;&gt;"",$R1712&lt;17),"Usia di bawah 17","")))))))))</f>
        <v/>
      </c>
      <c r="Z1712" s="40" t="str">
        <f aca="false">IF($B1712="","",IF(AND(OR(CARI!$C$5="",ISNUMBER(SEARCH(CARI!$C$5,$B1712&amp;" "&amp;$C1712&amp;" "&amp;$D1712&amp;" "&amp;$O1712&amp;" "&amp;$I1712&amp;" "&amp;$F1712&amp;" "&amp;$J1712&amp;" "&amp;$K1712&amp;" "&amp;$L1712&amp;" "&amp;$V1712))),OR(CARI!$C$6="",$F1712=CARI!$C$6),OR(CARI!$C$7="",$G1712=CARI!$C$7),OR(CARI!$C$8="",$T1712=CARI!$C$8)),MAX($Z$3:Z1711)+1,""))</f>
        <v/>
      </c>
      <c r="AA1712" s="40" t="str">
        <f aca="false">IF($Y1712="","",MAX($AA$3:AA1711)+1)</f>
        <v/>
      </c>
      <c r="AB1712" s="40" t="str">
        <f aca="false">IF($F1712="","",$F1712&amp;"#"&amp;COUNTIF($F$4:$F1712,$F1712))</f>
        <v/>
      </c>
      <c r="AC1712" s="40" t="str">
        <f aca="false">IF($B1712="","",IF(AND(OR(CETAK!$J$10="",$F1712=CETAK!$J$10),OR(CETAK!$J$11="",$G1712=CETAK!$J$11),OR(CETAK!$J$12="",$P1712=CETAK!$J$12),OR(CETAK!$J$13="",$N1712=CETAK!$J$13),OR(CETAK!$J$14="",$T1712=CETAK!$J$14)),MAX($AC$3:AC1711)+1,""))</f>
        <v/>
      </c>
      <c r="AD1712" s="40" t="str">
        <f aca="false">IF($B1712="","",IF(AND(OR(ABSENSI!$H$10="",$F1712=ABSENSI!$H$10),OR(ABSENSI!$H$11="",$G1712=ABSENSI!$H$11),OR(ABSENSI!$H$12="",$P1712=ABSENSI!$H$12)),MAX($AD$3:AD1711)+1,""))</f>
        <v/>
      </c>
      <c r="AE1712" s="40" t="str">
        <f aca="false">IF($B1712="","",IF(AND(OR(KARTU!$K$6="",$F1712=KARTU!$K$6),OR(KARTU!$K$7="",$G1712=KARTU!$K$7),OR(KARTU!$K$8="",$P1712=KARTU!$K$8)),MAX($AE$3:AE1711)+1,""))</f>
        <v/>
      </c>
    </row>
    <row r="1713" customFormat="false" ht="15" hidden="false" customHeight="false" outlineLevel="0" collapsed="false">
      <c r="A1713" s="35" t="str">
        <f aca="false">IF($B1713="","",COUNTA($B$4:$B1713))</f>
        <v/>
      </c>
      <c r="B1713" s="36"/>
      <c r="C1713" s="37"/>
      <c r="D1713" s="37"/>
      <c r="E1713" s="38"/>
      <c r="F1713" s="36"/>
      <c r="G1713" s="39"/>
      <c r="H1713" s="39"/>
      <c r="I1713" s="36"/>
      <c r="J1713" s="36"/>
      <c r="K1713" s="36"/>
      <c r="L1713" s="36"/>
      <c r="M1713" s="40" t="str">
        <f aca="false">IF($F1713="","",$F1713&amp;IF($G1713="",""," - RT "&amp;$G1713&amp;IF($H1713="","","/"&amp;$H1713)))</f>
        <v/>
      </c>
      <c r="N1713" s="36"/>
      <c r="O1713" s="37"/>
      <c r="P1713" s="39"/>
      <c r="Q1713" s="41"/>
      <c r="R1713" s="35" t="str">
        <f aca="true">IF(OR($B1713="",$Q1713=""),"",DATEDIF($Q1713,TODAY(),"Y"))</f>
        <v/>
      </c>
      <c r="S1713" s="40" t="str">
        <f aca="false">IF($R1713="","",INDEX(usia_label,MATCH($R1713,usia_min,1)))</f>
        <v/>
      </c>
      <c r="T1713" s="36"/>
      <c r="U1713" s="41"/>
      <c r="V1713" s="36"/>
      <c r="W1713" s="36"/>
      <c r="X1713" s="40" t="str">
        <f aca="false">IF($M1713="","",$M1713&amp;"#"&amp;COUNTIF($M$4:$M1713,$M1713))</f>
        <v/>
      </c>
      <c r="Y1713" s="40" t="str">
        <f aca="false">IF($B1713="","",IF($C1713="","NIK kosong",IF(LEN($C1713)&lt;&gt;16,"NIK bukan 16 digit",IF(COUNTIF($C$4:$C$2003,$C1713&amp;"*")&gt;1,"NIK ganda",IF(AND($D1713&lt;&gt;"",LEN($D1713)&lt;&gt;16),"No. KK bukan 16 digit",IF(AND($F1713="",$I1713=""),"Alamat kosong",IF($N1713="","Jabatan kosong",IF($O1713="","No. HP kosong",IF(AND($R1713&lt;&gt;"",$R1713&lt;17),"Usia di bawah 17","")))))))))</f>
        <v/>
      </c>
      <c r="Z1713" s="40" t="str">
        <f aca="false">IF($B1713="","",IF(AND(OR(CARI!$C$5="",ISNUMBER(SEARCH(CARI!$C$5,$B1713&amp;" "&amp;$C1713&amp;" "&amp;$D1713&amp;" "&amp;$O1713&amp;" "&amp;$I1713&amp;" "&amp;$F1713&amp;" "&amp;$J1713&amp;" "&amp;$K1713&amp;" "&amp;$L1713&amp;" "&amp;$V1713))),OR(CARI!$C$6="",$F1713=CARI!$C$6),OR(CARI!$C$7="",$G1713=CARI!$C$7),OR(CARI!$C$8="",$T1713=CARI!$C$8)),MAX($Z$3:Z1712)+1,""))</f>
        <v/>
      </c>
      <c r="AA1713" s="40" t="str">
        <f aca="false">IF($Y1713="","",MAX($AA$3:AA1712)+1)</f>
        <v/>
      </c>
      <c r="AB1713" s="40" t="str">
        <f aca="false">IF($F1713="","",$F1713&amp;"#"&amp;COUNTIF($F$4:$F1713,$F1713))</f>
        <v/>
      </c>
      <c r="AC1713" s="40" t="str">
        <f aca="false">IF($B1713="","",IF(AND(OR(CETAK!$J$10="",$F1713=CETAK!$J$10),OR(CETAK!$J$11="",$G1713=CETAK!$J$11),OR(CETAK!$J$12="",$P1713=CETAK!$J$12),OR(CETAK!$J$13="",$N1713=CETAK!$J$13),OR(CETAK!$J$14="",$T1713=CETAK!$J$14)),MAX($AC$3:AC1712)+1,""))</f>
        <v/>
      </c>
      <c r="AD1713" s="40" t="str">
        <f aca="false">IF($B1713="","",IF(AND(OR(ABSENSI!$H$10="",$F1713=ABSENSI!$H$10),OR(ABSENSI!$H$11="",$G1713=ABSENSI!$H$11),OR(ABSENSI!$H$12="",$P1713=ABSENSI!$H$12)),MAX($AD$3:AD1712)+1,""))</f>
        <v/>
      </c>
      <c r="AE1713" s="40" t="str">
        <f aca="false">IF($B1713="","",IF(AND(OR(KARTU!$K$6="",$F1713=KARTU!$K$6),OR(KARTU!$K$7="",$G1713=KARTU!$K$7),OR(KARTU!$K$8="",$P1713=KARTU!$K$8)),MAX($AE$3:AE1712)+1,""))</f>
        <v/>
      </c>
    </row>
    <row r="1714" customFormat="false" ht="15" hidden="false" customHeight="false" outlineLevel="0" collapsed="false">
      <c r="A1714" s="35" t="str">
        <f aca="false">IF($B1714="","",COUNTA($B$4:$B1714))</f>
        <v/>
      </c>
      <c r="B1714" s="36"/>
      <c r="C1714" s="37"/>
      <c r="D1714" s="37"/>
      <c r="E1714" s="38"/>
      <c r="F1714" s="36"/>
      <c r="G1714" s="39"/>
      <c r="H1714" s="39"/>
      <c r="I1714" s="36"/>
      <c r="J1714" s="36"/>
      <c r="K1714" s="36"/>
      <c r="L1714" s="36"/>
      <c r="M1714" s="40" t="str">
        <f aca="false">IF($F1714="","",$F1714&amp;IF($G1714="",""," - RT "&amp;$G1714&amp;IF($H1714="","","/"&amp;$H1714)))</f>
        <v/>
      </c>
      <c r="N1714" s="36"/>
      <c r="O1714" s="37"/>
      <c r="P1714" s="39"/>
      <c r="Q1714" s="41"/>
      <c r="R1714" s="35" t="str">
        <f aca="true">IF(OR($B1714="",$Q1714=""),"",DATEDIF($Q1714,TODAY(),"Y"))</f>
        <v/>
      </c>
      <c r="S1714" s="40" t="str">
        <f aca="false">IF($R1714="","",INDEX(usia_label,MATCH($R1714,usia_min,1)))</f>
        <v/>
      </c>
      <c r="T1714" s="36"/>
      <c r="U1714" s="41"/>
      <c r="V1714" s="36"/>
      <c r="W1714" s="36"/>
      <c r="X1714" s="40" t="str">
        <f aca="false">IF($M1714="","",$M1714&amp;"#"&amp;COUNTIF($M$4:$M1714,$M1714))</f>
        <v/>
      </c>
      <c r="Y1714" s="40" t="str">
        <f aca="false">IF($B1714="","",IF($C1714="","NIK kosong",IF(LEN($C1714)&lt;&gt;16,"NIK bukan 16 digit",IF(COUNTIF($C$4:$C$2003,$C1714&amp;"*")&gt;1,"NIK ganda",IF(AND($D1714&lt;&gt;"",LEN($D1714)&lt;&gt;16),"No. KK bukan 16 digit",IF(AND($F1714="",$I1714=""),"Alamat kosong",IF($N1714="","Jabatan kosong",IF($O1714="","No. HP kosong",IF(AND($R1714&lt;&gt;"",$R1714&lt;17),"Usia di bawah 17","")))))))))</f>
        <v/>
      </c>
      <c r="Z1714" s="40" t="str">
        <f aca="false">IF($B1714="","",IF(AND(OR(CARI!$C$5="",ISNUMBER(SEARCH(CARI!$C$5,$B1714&amp;" "&amp;$C1714&amp;" "&amp;$D1714&amp;" "&amp;$O1714&amp;" "&amp;$I1714&amp;" "&amp;$F1714&amp;" "&amp;$J1714&amp;" "&amp;$K1714&amp;" "&amp;$L1714&amp;" "&amp;$V1714))),OR(CARI!$C$6="",$F1714=CARI!$C$6),OR(CARI!$C$7="",$G1714=CARI!$C$7),OR(CARI!$C$8="",$T1714=CARI!$C$8)),MAX($Z$3:Z1713)+1,""))</f>
        <v/>
      </c>
      <c r="AA1714" s="40" t="str">
        <f aca="false">IF($Y1714="","",MAX($AA$3:AA1713)+1)</f>
        <v/>
      </c>
      <c r="AB1714" s="40" t="str">
        <f aca="false">IF($F1714="","",$F1714&amp;"#"&amp;COUNTIF($F$4:$F1714,$F1714))</f>
        <v/>
      </c>
      <c r="AC1714" s="40" t="str">
        <f aca="false">IF($B1714="","",IF(AND(OR(CETAK!$J$10="",$F1714=CETAK!$J$10),OR(CETAK!$J$11="",$G1714=CETAK!$J$11),OR(CETAK!$J$12="",$P1714=CETAK!$J$12),OR(CETAK!$J$13="",$N1714=CETAK!$J$13),OR(CETAK!$J$14="",$T1714=CETAK!$J$14)),MAX($AC$3:AC1713)+1,""))</f>
        <v/>
      </c>
      <c r="AD1714" s="40" t="str">
        <f aca="false">IF($B1714="","",IF(AND(OR(ABSENSI!$H$10="",$F1714=ABSENSI!$H$10),OR(ABSENSI!$H$11="",$G1714=ABSENSI!$H$11),OR(ABSENSI!$H$12="",$P1714=ABSENSI!$H$12)),MAX($AD$3:AD1713)+1,""))</f>
        <v/>
      </c>
      <c r="AE1714" s="40" t="str">
        <f aca="false">IF($B1714="","",IF(AND(OR(KARTU!$K$6="",$F1714=KARTU!$K$6),OR(KARTU!$K$7="",$G1714=KARTU!$K$7),OR(KARTU!$K$8="",$P1714=KARTU!$K$8)),MAX($AE$3:AE1713)+1,""))</f>
        <v/>
      </c>
    </row>
    <row r="1715" customFormat="false" ht="15" hidden="false" customHeight="false" outlineLevel="0" collapsed="false">
      <c r="A1715" s="35" t="str">
        <f aca="false">IF($B1715="","",COUNTA($B$4:$B1715))</f>
        <v/>
      </c>
      <c r="B1715" s="36"/>
      <c r="C1715" s="37"/>
      <c r="D1715" s="37"/>
      <c r="E1715" s="38"/>
      <c r="F1715" s="36"/>
      <c r="G1715" s="39"/>
      <c r="H1715" s="39"/>
      <c r="I1715" s="36"/>
      <c r="J1715" s="36"/>
      <c r="K1715" s="36"/>
      <c r="L1715" s="36"/>
      <c r="M1715" s="40" t="str">
        <f aca="false">IF($F1715="","",$F1715&amp;IF($G1715="",""," - RT "&amp;$G1715&amp;IF($H1715="","","/"&amp;$H1715)))</f>
        <v/>
      </c>
      <c r="N1715" s="36"/>
      <c r="O1715" s="37"/>
      <c r="P1715" s="39"/>
      <c r="Q1715" s="41"/>
      <c r="R1715" s="35" t="str">
        <f aca="true">IF(OR($B1715="",$Q1715=""),"",DATEDIF($Q1715,TODAY(),"Y"))</f>
        <v/>
      </c>
      <c r="S1715" s="40" t="str">
        <f aca="false">IF($R1715="","",INDEX(usia_label,MATCH($R1715,usia_min,1)))</f>
        <v/>
      </c>
      <c r="T1715" s="36"/>
      <c r="U1715" s="41"/>
      <c r="V1715" s="36"/>
      <c r="W1715" s="36"/>
      <c r="X1715" s="40" t="str">
        <f aca="false">IF($M1715="","",$M1715&amp;"#"&amp;COUNTIF($M$4:$M1715,$M1715))</f>
        <v/>
      </c>
      <c r="Y1715" s="40" t="str">
        <f aca="false">IF($B1715="","",IF($C1715="","NIK kosong",IF(LEN($C1715)&lt;&gt;16,"NIK bukan 16 digit",IF(COUNTIF($C$4:$C$2003,$C1715&amp;"*")&gt;1,"NIK ganda",IF(AND($D1715&lt;&gt;"",LEN($D1715)&lt;&gt;16),"No. KK bukan 16 digit",IF(AND($F1715="",$I1715=""),"Alamat kosong",IF($N1715="","Jabatan kosong",IF($O1715="","No. HP kosong",IF(AND($R1715&lt;&gt;"",$R1715&lt;17),"Usia di bawah 17","")))))))))</f>
        <v/>
      </c>
      <c r="Z1715" s="40" t="str">
        <f aca="false">IF($B1715="","",IF(AND(OR(CARI!$C$5="",ISNUMBER(SEARCH(CARI!$C$5,$B1715&amp;" "&amp;$C1715&amp;" "&amp;$D1715&amp;" "&amp;$O1715&amp;" "&amp;$I1715&amp;" "&amp;$F1715&amp;" "&amp;$J1715&amp;" "&amp;$K1715&amp;" "&amp;$L1715&amp;" "&amp;$V1715))),OR(CARI!$C$6="",$F1715=CARI!$C$6),OR(CARI!$C$7="",$G1715=CARI!$C$7),OR(CARI!$C$8="",$T1715=CARI!$C$8)),MAX($Z$3:Z1714)+1,""))</f>
        <v/>
      </c>
      <c r="AA1715" s="40" t="str">
        <f aca="false">IF($Y1715="","",MAX($AA$3:AA1714)+1)</f>
        <v/>
      </c>
      <c r="AB1715" s="40" t="str">
        <f aca="false">IF($F1715="","",$F1715&amp;"#"&amp;COUNTIF($F$4:$F1715,$F1715))</f>
        <v/>
      </c>
      <c r="AC1715" s="40" t="str">
        <f aca="false">IF($B1715="","",IF(AND(OR(CETAK!$J$10="",$F1715=CETAK!$J$10),OR(CETAK!$J$11="",$G1715=CETAK!$J$11),OR(CETAK!$J$12="",$P1715=CETAK!$J$12),OR(CETAK!$J$13="",$N1715=CETAK!$J$13),OR(CETAK!$J$14="",$T1715=CETAK!$J$14)),MAX($AC$3:AC1714)+1,""))</f>
        <v/>
      </c>
      <c r="AD1715" s="40" t="str">
        <f aca="false">IF($B1715="","",IF(AND(OR(ABSENSI!$H$10="",$F1715=ABSENSI!$H$10),OR(ABSENSI!$H$11="",$G1715=ABSENSI!$H$11),OR(ABSENSI!$H$12="",$P1715=ABSENSI!$H$12)),MAX($AD$3:AD1714)+1,""))</f>
        <v/>
      </c>
      <c r="AE1715" s="40" t="str">
        <f aca="false">IF($B1715="","",IF(AND(OR(KARTU!$K$6="",$F1715=KARTU!$K$6),OR(KARTU!$K$7="",$G1715=KARTU!$K$7),OR(KARTU!$K$8="",$P1715=KARTU!$K$8)),MAX($AE$3:AE1714)+1,""))</f>
        <v/>
      </c>
    </row>
    <row r="1716" customFormat="false" ht="15" hidden="false" customHeight="false" outlineLevel="0" collapsed="false">
      <c r="A1716" s="35" t="str">
        <f aca="false">IF($B1716="","",COUNTA($B$4:$B1716))</f>
        <v/>
      </c>
      <c r="B1716" s="36"/>
      <c r="C1716" s="37"/>
      <c r="D1716" s="37"/>
      <c r="E1716" s="38"/>
      <c r="F1716" s="36"/>
      <c r="G1716" s="39"/>
      <c r="H1716" s="39"/>
      <c r="I1716" s="36"/>
      <c r="J1716" s="36"/>
      <c r="K1716" s="36"/>
      <c r="L1716" s="36"/>
      <c r="M1716" s="40" t="str">
        <f aca="false">IF($F1716="","",$F1716&amp;IF($G1716="",""," - RT "&amp;$G1716&amp;IF($H1716="","","/"&amp;$H1716)))</f>
        <v/>
      </c>
      <c r="N1716" s="36"/>
      <c r="O1716" s="37"/>
      <c r="P1716" s="39"/>
      <c r="Q1716" s="41"/>
      <c r="R1716" s="35" t="str">
        <f aca="true">IF(OR($B1716="",$Q1716=""),"",DATEDIF($Q1716,TODAY(),"Y"))</f>
        <v/>
      </c>
      <c r="S1716" s="40" t="str">
        <f aca="false">IF($R1716="","",INDEX(usia_label,MATCH($R1716,usia_min,1)))</f>
        <v/>
      </c>
      <c r="T1716" s="36"/>
      <c r="U1716" s="41"/>
      <c r="V1716" s="36"/>
      <c r="W1716" s="36"/>
      <c r="X1716" s="40" t="str">
        <f aca="false">IF($M1716="","",$M1716&amp;"#"&amp;COUNTIF($M$4:$M1716,$M1716))</f>
        <v/>
      </c>
      <c r="Y1716" s="40" t="str">
        <f aca="false">IF($B1716="","",IF($C1716="","NIK kosong",IF(LEN($C1716)&lt;&gt;16,"NIK bukan 16 digit",IF(COUNTIF($C$4:$C$2003,$C1716&amp;"*")&gt;1,"NIK ganda",IF(AND($D1716&lt;&gt;"",LEN($D1716)&lt;&gt;16),"No. KK bukan 16 digit",IF(AND($F1716="",$I1716=""),"Alamat kosong",IF($N1716="","Jabatan kosong",IF($O1716="","No. HP kosong",IF(AND($R1716&lt;&gt;"",$R1716&lt;17),"Usia di bawah 17","")))))))))</f>
        <v/>
      </c>
      <c r="Z1716" s="40" t="str">
        <f aca="false">IF($B1716="","",IF(AND(OR(CARI!$C$5="",ISNUMBER(SEARCH(CARI!$C$5,$B1716&amp;" "&amp;$C1716&amp;" "&amp;$D1716&amp;" "&amp;$O1716&amp;" "&amp;$I1716&amp;" "&amp;$F1716&amp;" "&amp;$J1716&amp;" "&amp;$K1716&amp;" "&amp;$L1716&amp;" "&amp;$V1716))),OR(CARI!$C$6="",$F1716=CARI!$C$6),OR(CARI!$C$7="",$G1716=CARI!$C$7),OR(CARI!$C$8="",$T1716=CARI!$C$8)),MAX($Z$3:Z1715)+1,""))</f>
        <v/>
      </c>
      <c r="AA1716" s="40" t="str">
        <f aca="false">IF($Y1716="","",MAX($AA$3:AA1715)+1)</f>
        <v/>
      </c>
      <c r="AB1716" s="40" t="str">
        <f aca="false">IF($F1716="","",$F1716&amp;"#"&amp;COUNTIF($F$4:$F1716,$F1716))</f>
        <v/>
      </c>
      <c r="AC1716" s="40" t="str">
        <f aca="false">IF($B1716="","",IF(AND(OR(CETAK!$J$10="",$F1716=CETAK!$J$10),OR(CETAK!$J$11="",$G1716=CETAK!$J$11),OR(CETAK!$J$12="",$P1716=CETAK!$J$12),OR(CETAK!$J$13="",$N1716=CETAK!$J$13),OR(CETAK!$J$14="",$T1716=CETAK!$J$14)),MAX($AC$3:AC1715)+1,""))</f>
        <v/>
      </c>
      <c r="AD1716" s="40" t="str">
        <f aca="false">IF($B1716="","",IF(AND(OR(ABSENSI!$H$10="",$F1716=ABSENSI!$H$10),OR(ABSENSI!$H$11="",$G1716=ABSENSI!$H$11),OR(ABSENSI!$H$12="",$P1716=ABSENSI!$H$12)),MAX($AD$3:AD1715)+1,""))</f>
        <v/>
      </c>
      <c r="AE1716" s="40" t="str">
        <f aca="false">IF($B1716="","",IF(AND(OR(KARTU!$K$6="",$F1716=KARTU!$K$6),OR(KARTU!$K$7="",$G1716=KARTU!$K$7),OR(KARTU!$K$8="",$P1716=KARTU!$K$8)),MAX($AE$3:AE1715)+1,""))</f>
        <v/>
      </c>
    </row>
    <row r="1717" customFormat="false" ht="15" hidden="false" customHeight="false" outlineLevel="0" collapsed="false">
      <c r="A1717" s="35" t="str">
        <f aca="false">IF($B1717="","",COUNTA($B$4:$B1717))</f>
        <v/>
      </c>
      <c r="B1717" s="36"/>
      <c r="C1717" s="37"/>
      <c r="D1717" s="37"/>
      <c r="E1717" s="38"/>
      <c r="F1717" s="36"/>
      <c r="G1717" s="39"/>
      <c r="H1717" s="39"/>
      <c r="I1717" s="36"/>
      <c r="J1717" s="36"/>
      <c r="K1717" s="36"/>
      <c r="L1717" s="36"/>
      <c r="M1717" s="40" t="str">
        <f aca="false">IF($F1717="","",$F1717&amp;IF($G1717="",""," - RT "&amp;$G1717&amp;IF($H1717="","","/"&amp;$H1717)))</f>
        <v/>
      </c>
      <c r="N1717" s="36"/>
      <c r="O1717" s="37"/>
      <c r="P1717" s="39"/>
      <c r="Q1717" s="41"/>
      <c r="R1717" s="35" t="str">
        <f aca="true">IF(OR($B1717="",$Q1717=""),"",DATEDIF($Q1717,TODAY(),"Y"))</f>
        <v/>
      </c>
      <c r="S1717" s="40" t="str">
        <f aca="false">IF($R1717="","",INDEX(usia_label,MATCH($R1717,usia_min,1)))</f>
        <v/>
      </c>
      <c r="T1717" s="36"/>
      <c r="U1717" s="41"/>
      <c r="V1717" s="36"/>
      <c r="W1717" s="36"/>
      <c r="X1717" s="40" t="str">
        <f aca="false">IF($M1717="","",$M1717&amp;"#"&amp;COUNTIF($M$4:$M1717,$M1717))</f>
        <v/>
      </c>
      <c r="Y1717" s="40" t="str">
        <f aca="false">IF($B1717="","",IF($C1717="","NIK kosong",IF(LEN($C1717)&lt;&gt;16,"NIK bukan 16 digit",IF(COUNTIF($C$4:$C$2003,$C1717&amp;"*")&gt;1,"NIK ganda",IF(AND($D1717&lt;&gt;"",LEN($D1717)&lt;&gt;16),"No. KK bukan 16 digit",IF(AND($F1717="",$I1717=""),"Alamat kosong",IF($N1717="","Jabatan kosong",IF($O1717="","No. HP kosong",IF(AND($R1717&lt;&gt;"",$R1717&lt;17),"Usia di bawah 17","")))))))))</f>
        <v/>
      </c>
      <c r="Z1717" s="40" t="str">
        <f aca="false">IF($B1717="","",IF(AND(OR(CARI!$C$5="",ISNUMBER(SEARCH(CARI!$C$5,$B1717&amp;" "&amp;$C1717&amp;" "&amp;$D1717&amp;" "&amp;$O1717&amp;" "&amp;$I1717&amp;" "&amp;$F1717&amp;" "&amp;$J1717&amp;" "&amp;$K1717&amp;" "&amp;$L1717&amp;" "&amp;$V1717))),OR(CARI!$C$6="",$F1717=CARI!$C$6),OR(CARI!$C$7="",$G1717=CARI!$C$7),OR(CARI!$C$8="",$T1717=CARI!$C$8)),MAX($Z$3:Z1716)+1,""))</f>
        <v/>
      </c>
      <c r="AA1717" s="40" t="str">
        <f aca="false">IF($Y1717="","",MAX($AA$3:AA1716)+1)</f>
        <v/>
      </c>
      <c r="AB1717" s="40" t="str">
        <f aca="false">IF($F1717="","",$F1717&amp;"#"&amp;COUNTIF($F$4:$F1717,$F1717))</f>
        <v/>
      </c>
      <c r="AC1717" s="40" t="str">
        <f aca="false">IF($B1717="","",IF(AND(OR(CETAK!$J$10="",$F1717=CETAK!$J$10),OR(CETAK!$J$11="",$G1717=CETAK!$J$11),OR(CETAK!$J$12="",$P1717=CETAK!$J$12),OR(CETAK!$J$13="",$N1717=CETAK!$J$13),OR(CETAK!$J$14="",$T1717=CETAK!$J$14)),MAX($AC$3:AC1716)+1,""))</f>
        <v/>
      </c>
      <c r="AD1717" s="40" t="str">
        <f aca="false">IF($B1717="","",IF(AND(OR(ABSENSI!$H$10="",$F1717=ABSENSI!$H$10),OR(ABSENSI!$H$11="",$G1717=ABSENSI!$H$11),OR(ABSENSI!$H$12="",$P1717=ABSENSI!$H$12)),MAX($AD$3:AD1716)+1,""))</f>
        <v/>
      </c>
      <c r="AE1717" s="40" t="str">
        <f aca="false">IF($B1717="","",IF(AND(OR(KARTU!$K$6="",$F1717=KARTU!$K$6),OR(KARTU!$K$7="",$G1717=KARTU!$K$7),OR(KARTU!$K$8="",$P1717=KARTU!$K$8)),MAX($AE$3:AE1716)+1,""))</f>
        <v/>
      </c>
    </row>
    <row r="1718" customFormat="false" ht="15" hidden="false" customHeight="false" outlineLevel="0" collapsed="false">
      <c r="A1718" s="35" t="str">
        <f aca="false">IF($B1718="","",COUNTA($B$4:$B1718))</f>
        <v/>
      </c>
      <c r="B1718" s="36"/>
      <c r="C1718" s="37"/>
      <c r="D1718" s="37"/>
      <c r="E1718" s="38"/>
      <c r="F1718" s="36"/>
      <c r="G1718" s="39"/>
      <c r="H1718" s="39"/>
      <c r="I1718" s="36"/>
      <c r="J1718" s="36"/>
      <c r="K1718" s="36"/>
      <c r="L1718" s="36"/>
      <c r="M1718" s="40" t="str">
        <f aca="false">IF($F1718="","",$F1718&amp;IF($G1718="",""," - RT "&amp;$G1718&amp;IF($H1718="","","/"&amp;$H1718)))</f>
        <v/>
      </c>
      <c r="N1718" s="36"/>
      <c r="O1718" s="37"/>
      <c r="P1718" s="39"/>
      <c r="Q1718" s="41"/>
      <c r="R1718" s="35" t="str">
        <f aca="true">IF(OR($B1718="",$Q1718=""),"",DATEDIF($Q1718,TODAY(),"Y"))</f>
        <v/>
      </c>
      <c r="S1718" s="40" t="str">
        <f aca="false">IF($R1718="","",INDEX(usia_label,MATCH($R1718,usia_min,1)))</f>
        <v/>
      </c>
      <c r="T1718" s="36"/>
      <c r="U1718" s="41"/>
      <c r="V1718" s="36"/>
      <c r="W1718" s="36"/>
      <c r="X1718" s="40" t="str">
        <f aca="false">IF($M1718="","",$M1718&amp;"#"&amp;COUNTIF($M$4:$M1718,$M1718))</f>
        <v/>
      </c>
      <c r="Y1718" s="40" t="str">
        <f aca="false">IF($B1718="","",IF($C1718="","NIK kosong",IF(LEN($C1718)&lt;&gt;16,"NIK bukan 16 digit",IF(COUNTIF($C$4:$C$2003,$C1718&amp;"*")&gt;1,"NIK ganda",IF(AND($D1718&lt;&gt;"",LEN($D1718)&lt;&gt;16),"No. KK bukan 16 digit",IF(AND($F1718="",$I1718=""),"Alamat kosong",IF($N1718="","Jabatan kosong",IF($O1718="","No. HP kosong",IF(AND($R1718&lt;&gt;"",$R1718&lt;17),"Usia di bawah 17","")))))))))</f>
        <v/>
      </c>
      <c r="Z1718" s="40" t="str">
        <f aca="false">IF($B1718="","",IF(AND(OR(CARI!$C$5="",ISNUMBER(SEARCH(CARI!$C$5,$B1718&amp;" "&amp;$C1718&amp;" "&amp;$D1718&amp;" "&amp;$O1718&amp;" "&amp;$I1718&amp;" "&amp;$F1718&amp;" "&amp;$J1718&amp;" "&amp;$K1718&amp;" "&amp;$L1718&amp;" "&amp;$V1718))),OR(CARI!$C$6="",$F1718=CARI!$C$6),OR(CARI!$C$7="",$G1718=CARI!$C$7),OR(CARI!$C$8="",$T1718=CARI!$C$8)),MAX($Z$3:Z1717)+1,""))</f>
        <v/>
      </c>
      <c r="AA1718" s="40" t="str">
        <f aca="false">IF($Y1718="","",MAX($AA$3:AA1717)+1)</f>
        <v/>
      </c>
      <c r="AB1718" s="40" t="str">
        <f aca="false">IF($F1718="","",$F1718&amp;"#"&amp;COUNTIF($F$4:$F1718,$F1718))</f>
        <v/>
      </c>
      <c r="AC1718" s="40" t="str">
        <f aca="false">IF($B1718="","",IF(AND(OR(CETAK!$J$10="",$F1718=CETAK!$J$10),OR(CETAK!$J$11="",$G1718=CETAK!$J$11),OR(CETAK!$J$12="",$P1718=CETAK!$J$12),OR(CETAK!$J$13="",$N1718=CETAK!$J$13),OR(CETAK!$J$14="",$T1718=CETAK!$J$14)),MAX($AC$3:AC1717)+1,""))</f>
        <v/>
      </c>
      <c r="AD1718" s="40" t="str">
        <f aca="false">IF($B1718="","",IF(AND(OR(ABSENSI!$H$10="",$F1718=ABSENSI!$H$10),OR(ABSENSI!$H$11="",$G1718=ABSENSI!$H$11),OR(ABSENSI!$H$12="",$P1718=ABSENSI!$H$12)),MAX($AD$3:AD1717)+1,""))</f>
        <v/>
      </c>
      <c r="AE1718" s="40" t="str">
        <f aca="false">IF($B1718="","",IF(AND(OR(KARTU!$K$6="",$F1718=KARTU!$K$6),OR(KARTU!$K$7="",$G1718=KARTU!$K$7),OR(KARTU!$K$8="",$P1718=KARTU!$K$8)),MAX($AE$3:AE1717)+1,""))</f>
        <v/>
      </c>
    </row>
    <row r="1719" customFormat="false" ht="15" hidden="false" customHeight="false" outlineLevel="0" collapsed="false">
      <c r="A1719" s="35" t="str">
        <f aca="false">IF($B1719="","",COUNTA($B$4:$B1719))</f>
        <v/>
      </c>
      <c r="B1719" s="36"/>
      <c r="C1719" s="37"/>
      <c r="D1719" s="37"/>
      <c r="E1719" s="38"/>
      <c r="F1719" s="36"/>
      <c r="G1719" s="39"/>
      <c r="H1719" s="39"/>
      <c r="I1719" s="36"/>
      <c r="J1719" s="36"/>
      <c r="K1719" s="36"/>
      <c r="L1719" s="36"/>
      <c r="M1719" s="40" t="str">
        <f aca="false">IF($F1719="","",$F1719&amp;IF($G1719="",""," - RT "&amp;$G1719&amp;IF($H1719="","","/"&amp;$H1719)))</f>
        <v/>
      </c>
      <c r="N1719" s="36"/>
      <c r="O1719" s="37"/>
      <c r="P1719" s="39"/>
      <c r="Q1719" s="41"/>
      <c r="R1719" s="35" t="str">
        <f aca="true">IF(OR($B1719="",$Q1719=""),"",DATEDIF($Q1719,TODAY(),"Y"))</f>
        <v/>
      </c>
      <c r="S1719" s="40" t="str">
        <f aca="false">IF($R1719="","",INDEX(usia_label,MATCH($R1719,usia_min,1)))</f>
        <v/>
      </c>
      <c r="T1719" s="36"/>
      <c r="U1719" s="41"/>
      <c r="V1719" s="36"/>
      <c r="W1719" s="36"/>
      <c r="X1719" s="40" t="str">
        <f aca="false">IF($M1719="","",$M1719&amp;"#"&amp;COUNTIF($M$4:$M1719,$M1719))</f>
        <v/>
      </c>
      <c r="Y1719" s="40" t="str">
        <f aca="false">IF($B1719="","",IF($C1719="","NIK kosong",IF(LEN($C1719)&lt;&gt;16,"NIK bukan 16 digit",IF(COUNTIF($C$4:$C$2003,$C1719&amp;"*")&gt;1,"NIK ganda",IF(AND($D1719&lt;&gt;"",LEN($D1719)&lt;&gt;16),"No. KK bukan 16 digit",IF(AND($F1719="",$I1719=""),"Alamat kosong",IF($N1719="","Jabatan kosong",IF($O1719="","No. HP kosong",IF(AND($R1719&lt;&gt;"",$R1719&lt;17),"Usia di bawah 17","")))))))))</f>
        <v/>
      </c>
      <c r="Z1719" s="40" t="str">
        <f aca="false">IF($B1719="","",IF(AND(OR(CARI!$C$5="",ISNUMBER(SEARCH(CARI!$C$5,$B1719&amp;" "&amp;$C1719&amp;" "&amp;$D1719&amp;" "&amp;$O1719&amp;" "&amp;$I1719&amp;" "&amp;$F1719&amp;" "&amp;$J1719&amp;" "&amp;$K1719&amp;" "&amp;$L1719&amp;" "&amp;$V1719))),OR(CARI!$C$6="",$F1719=CARI!$C$6),OR(CARI!$C$7="",$G1719=CARI!$C$7),OR(CARI!$C$8="",$T1719=CARI!$C$8)),MAX($Z$3:Z1718)+1,""))</f>
        <v/>
      </c>
      <c r="AA1719" s="40" t="str">
        <f aca="false">IF($Y1719="","",MAX($AA$3:AA1718)+1)</f>
        <v/>
      </c>
      <c r="AB1719" s="40" t="str">
        <f aca="false">IF($F1719="","",$F1719&amp;"#"&amp;COUNTIF($F$4:$F1719,$F1719))</f>
        <v/>
      </c>
      <c r="AC1719" s="40" t="str">
        <f aca="false">IF($B1719="","",IF(AND(OR(CETAK!$J$10="",$F1719=CETAK!$J$10),OR(CETAK!$J$11="",$G1719=CETAK!$J$11),OR(CETAK!$J$12="",$P1719=CETAK!$J$12),OR(CETAK!$J$13="",$N1719=CETAK!$J$13),OR(CETAK!$J$14="",$T1719=CETAK!$J$14)),MAX($AC$3:AC1718)+1,""))</f>
        <v/>
      </c>
      <c r="AD1719" s="40" t="str">
        <f aca="false">IF($B1719="","",IF(AND(OR(ABSENSI!$H$10="",$F1719=ABSENSI!$H$10),OR(ABSENSI!$H$11="",$G1719=ABSENSI!$H$11),OR(ABSENSI!$H$12="",$P1719=ABSENSI!$H$12)),MAX($AD$3:AD1718)+1,""))</f>
        <v/>
      </c>
      <c r="AE1719" s="40" t="str">
        <f aca="false">IF($B1719="","",IF(AND(OR(KARTU!$K$6="",$F1719=KARTU!$K$6),OR(KARTU!$K$7="",$G1719=KARTU!$K$7),OR(KARTU!$K$8="",$P1719=KARTU!$K$8)),MAX($AE$3:AE1718)+1,""))</f>
        <v/>
      </c>
    </row>
    <row r="1720" customFormat="false" ht="15" hidden="false" customHeight="false" outlineLevel="0" collapsed="false">
      <c r="A1720" s="35" t="str">
        <f aca="false">IF($B1720="","",COUNTA($B$4:$B1720))</f>
        <v/>
      </c>
      <c r="B1720" s="36"/>
      <c r="C1720" s="37"/>
      <c r="D1720" s="37"/>
      <c r="E1720" s="38"/>
      <c r="F1720" s="36"/>
      <c r="G1720" s="39"/>
      <c r="H1720" s="39"/>
      <c r="I1720" s="36"/>
      <c r="J1720" s="36"/>
      <c r="K1720" s="36"/>
      <c r="L1720" s="36"/>
      <c r="M1720" s="40" t="str">
        <f aca="false">IF($F1720="","",$F1720&amp;IF($G1720="",""," - RT "&amp;$G1720&amp;IF($H1720="","","/"&amp;$H1720)))</f>
        <v/>
      </c>
      <c r="N1720" s="36"/>
      <c r="O1720" s="37"/>
      <c r="P1720" s="39"/>
      <c r="Q1720" s="41"/>
      <c r="R1720" s="35" t="str">
        <f aca="true">IF(OR($B1720="",$Q1720=""),"",DATEDIF($Q1720,TODAY(),"Y"))</f>
        <v/>
      </c>
      <c r="S1720" s="40" t="str">
        <f aca="false">IF($R1720="","",INDEX(usia_label,MATCH($R1720,usia_min,1)))</f>
        <v/>
      </c>
      <c r="T1720" s="36"/>
      <c r="U1720" s="41"/>
      <c r="V1720" s="36"/>
      <c r="W1720" s="36"/>
      <c r="X1720" s="40" t="str">
        <f aca="false">IF($M1720="","",$M1720&amp;"#"&amp;COUNTIF($M$4:$M1720,$M1720))</f>
        <v/>
      </c>
      <c r="Y1720" s="40" t="str">
        <f aca="false">IF($B1720="","",IF($C1720="","NIK kosong",IF(LEN($C1720)&lt;&gt;16,"NIK bukan 16 digit",IF(COUNTIF($C$4:$C$2003,$C1720&amp;"*")&gt;1,"NIK ganda",IF(AND($D1720&lt;&gt;"",LEN($D1720)&lt;&gt;16),"No. KK bukan 16 digit",IF(AND($F1720="",$I1720=""),"Alamat kosong",IF($N1720="","Jabatan kosong",IF($O1720="","No. HP kosong",IF(AND($R1720&lt;&gt;"",$R1720&lt;17),"Usia di bawah 17","")))))))))</f>
        <v/>
      </c>
      <c r="Z1720" s="40" t="str">
        <f aca="false">IF($B1720="","",IF(AND(OR(CARI!$C$5="",ISNUMBER(SEARCH(CARI!$C$5,$B1720&amp;" "&amp;$C1720&amp;" "&amp;$D1720&amp;" "&amp;$O1720&amp;" "&amp;$I1720&amp;" "&amp;$F1720&amp;" "&amp;$J1720&amp;" "&amp;$K1720&amp;" "&amp;$L1720&amp;" "&amp;$V1720))),OR(CARI!$C$6="",$F1720=CARI!$C$6),OR(CARI!$C$7="",$G1720=CARI!$C$7),OR(CARI!$C$8="",$T1720=CARI!$C$8)),MAX($Z$3:Z1719)+1,""))</f>
        <v/>
      </c>
      <c r="AA1720" s="40" t="str">
        <f aca="false">IF($Y1720="","",MAX($AA$3:AA1719)+1)</f>
        <v/>
      </c>
      <c r="AB1720" s="40" t="str">
        <f aca="false">IF($F1720="","",$F1720&amp;"#"&amp;COUNTIF($F$4:$F1720,$F1720))</f>
        <v/>
      </c>
      <c r="AC1720" s="40" t="str">
        <f aca="false">IF($B1720="","",IF(AND(OR(CETAK!$J$10="",$F1720=CETAK!$J$10),OR(CETAK!$J$11="",$G1720=CETAK!$J$11),OR(CETAK!$J$12="",$P1720=CETAK!$J$12),OR(CETAK!$J$13="",$N1720=CETAK!$J$13),OR(CETAK!$J$14="",$T1720=CETAK!$J$14)),MAX($AC$3:AC1719)+1,""))</f>
        <v/>
      </c>
      <c r="AD1720" s="40" t="str">
        <f aca="false">IF($B1720="","",IF(AND(OR(ABSENSI!$H$10="",$F1720=ABSENSI!$H$10),OR(ABSENSI!$H$11="",$G1720=ABSENSI!$H$11),OR(ABSENSI!$H$12="",$P1720=ABSENSI!$H$12)),MAX($AD$3:AD1719)+1,""))</f>
        <v/>
      </c>
      <c r="AE1720" s="40" t="str">
        <f aca="false">IF($B1720="","",IF(AND(OR(KARTU!$K$6="",$F1720=KARTU!$K$6),OR(KARTU!$K$7="",$G1720=KARTU!$K$7),OR(KARTU!$K$8="",$P1720=KARTU!$K$8)),MAX($AE$3:AE1719)+1,""))</f>
        <v/>
      </c>
    </row>
    <row r="1721" customFormat="false" ht="15" hidden="false" customHeight="false" outlineLevel="0" collapsed="false">
      <c r="A1721" s="35" t="str">
        <f aca="false">IF($B1721="","",COUNTA($B$4:$B1721))</f>
        <v/>
      </c>
      <c r="B1721" s="36"/>
      <c r="C1721" s="37"/>
      <c r="D1721" s="37"/>
      <c r="E1721" s="38"/>
      <c r="F1721" s="36"/>
      <c r="G1721" s="39"/>
      <c r="H1721" s="39"/>
      <c r="I1721" s="36"/>
      <c r="J1721" s="36"/>
      <c r="K1721" s="36"/>
      <c r="L1721" s="36"/>
      <c r="M1721" s="40" t="str">
        <f aca="false">IF($F1721="","",$F1721&amp;IF($G1721="",""," - RT "&amp;$G1721&amp;IF($H1721="","","/"&amp;$H1721)))</f>
        <v/>
      </c>
      <c r="N1721" s="36"/>
      <c r="O1721" s="37"/>
      <c r="P1721" s="39"/>
      <c r="Q1721" s="41"/>
      <c r="R1721" s="35" t="str">
        <f aca="true">IF(OR($B1721="",$Q1721=""),"",DATEDIF($Q1721,TODAY(),"Y"))</f>
        <v/>
      </c>
      <c r="S1721" s="40" t="str">
        <f aca="false">IF($R1721="","",INDEX(usia_label,MATCH($R1721,usia_min,1)))</f>
        <v/>
      </c>
      <c r="T1721" s="36"/>
      <c r="U1721" s="41"/>
      <c r="V1721" s="36"/>
      <c r="W1721" s="36"/>
      <c r="X1721" s="40" t="str">
        <f aca="false">IF($M1721="","",$M1721&amp;"#"&amp;COUNTIF($M$4:$M1721,$M1721))</f>
        <v/>
      </c>
      <c r="Y1721" s="40" t="str">
        <f aca="false">IF($B1721="","",IF($C1721="","NIK kosong",IF(LEN($C1721)&lt;&gt;16,"NIK bukan 16 digit",IF(COUNTIF($C$4:$C$2003,$C1721&amp;"*")&gt;1,"NIK ganda",IF(AND($D1721&lt;&gt;"",LEN($D1721)&lt;&gt;16),"No. KK bukan 16 digit",IF(AND($F1721="",$I1721=""),"Alamat kosong",IF($N1721="","Jabatan kosong",IF($O1721="","No. HP kosong",IF(AND($R1721&lt;&gt;"",$R1721&lt;17),"Usia di bawah 17","")))))))))</f>
        <v/>
      </c>
      <c r="Z1721" s="40" t="str">
        <f aca="false">IF($B1721="","",IF(AND(OR(CARI!$C$5="",ISNUMBER(SEARCH(CARI!$C$5,$B1721&amp;" "&amp;$C1721&amp;" "&amp;$D1721&amp;" "&amp;$O1721&amp;" "&amp;$I1721&amp;" "&amp;$F1721&amp;" "&amp;$J1721&amp;" "&amp;$K1721&amp;" "&amp;$L1721&amp;" "&amp;$V1721))),OR(CARI!$C$6="",$F1721=CARI!$C$6),OR(CARI!$C$7="",$G1721=CARI!$C$7),OR(CARI!$C$8="",$T1721=CARI!$C$8)),MAX($Z$3:Z1720)+1,""))</f>
        <v/>
      </c>
      <c r="AA1721" s="40" t="str">
        <f aca="false">IF($Y1721="","",MAX($AA$3:AA1720)+1)</f>
        <v/>
      </c>
      <c r="AB1721" s="40" t="str">
        <f aca="false">IF($F1721="","",$F1721&amp;"#"&amp;COUNTIF($F$4:$F1721,$F1721))</f>
        <v/>
      </c>
      <c r="AC1721" s="40" t="str">
        <f aca="false">IF($B1721="","",IF(AND(OR(CETAK!$J$10="",$F1721=CETAK!$J$10),OR(CETAK!$J$11="",$G1721=CETAK!$J$11),OR(CETAK!$J$12="",$P1721=CETAK!$J$12),OR(CETAK!$J$13="",$N1721=CETAK!$J$13),OR(CETAK!$J$14="",$T1721=CETAK!$J$14)),MAX($AC$3:AC1720)+1,""))</f>
        <v/>
      </c>
      <c r="AD1721" s="40" t="str">
        <f aca="false">IF($B1721="","",IF(AND(OR(ABSENSI!$H$10="",$F1721=ABSENSI!$H$10),OR(ABSENSI!$H$11="",$G1721=ABSENSI!$H$11),OR(ABSENSI!$H$12="",$P1721=ABSENSI!$H$12)),MAX($AD$3:AD1720)+1,""))</f>
        <v/>
      </c>
      <c r="AE1721" s="40" t="str">
        <f aca="false">IF($B1721="","",IF(AND(OR(KARTU!$K$6="",$F1721=KARTU!$K$6),OR(KARTU!$K$7="",$G1721=KARTU!$K$7),OR(KARTU!$K$8="",$P1721=KARTU!$K$8)),MAX($AE$3:AE1720)+1,""))</f>
        <v/>
      </c>
    </row>
    <row r="1722" customFormat="false" ht="15" hidden="false" customHeight="false" outlineLevel="0" collapsed="false">
      <c r="A1722" s="35" t="str">
        <f aca="false">IF($B1722="","",COUNTA($B$4:$B1722))</f>
        <v/>
      </c>
      <c r="B1722" s="36"/>
      <c r="C1722" s="37"/>
      <c r="D1722" s="37"/>
      <c r="E1722" s="38"/>
      <c r="F1722" s="36"/>
      <c r="G1722" s="39"/>
      <c r="H1722" s="39"/>
      <c r="I1722" s="36"/>
      <c r="J1722" s="36"/>
      <c r="K1722" s="36"/>
      <c r="L1722" s="36"/>
      <c r="M1722" s="40" t="str">
        <f aca="false">IF($F1722="","",$F1722&amp;IF($G1722="",""," - RT "&amp;$G1722&amp;IF($H1722="","","/"&amp;$H1722)))</f>
        <v/>
      </c>
      <c r="N1722" s="36"/>
      <c r="O1722" s="37"/>
      <c r="P1722" s="39"/>
      <c r="Q1722" s="41"/>
      <c r="R1722" s="35" t="str">
        <f aca="true">IF(OR($B1722="",$Q1722=""),"",DATEDIF($Q1722,TODAY(),"Y"))</f>
        <v/>
      </c>
      <c r="S1722" s="40" t="str">
        <f aca="false">IF($R1722="","",INDEX(usia_label,MATCH($R1722,usia_min,1)))</f>
        <v/>
      </c>
      <c r="T1722" s="36"/>
      <c r="U1722" s="41"/>
      <c r="V1722" s="36"/>
      <c r="W1722" s="36"/>
      <c r="X1722" s="40" t="str">
        <f aca="false">IF($M1722="","",$M1722&amp;"#"&amp;COUNTIF($M$4:$M1722,$M1722))</f>
        <v/>
      </c>
      <c r="Y1722" s="40" t="str">
        <f aca="false">IF($B1722="","",IF($C1722="","NIK kosong",IF(LEN($C1722)&lt;&gt;16,"NIK bukan 16 digit",IF(COUNTIF($C$4:$C$2003,$C1722&amp;"*")&gt;1,"NIK ganda",IF(AND($D1722&lt;&gt;"",LEN($D1722)&lt;&gt;16),"No. KK bukan 16 digit",IF(AND($F1722="",$I1722=""),"Alamat kosong",IF($N1722="","Jabatan kosong",IF($O1722="","No. HP kosong",IF(AND($R1722&lt;&gt;"",$R1722&lt;17),"Usia di bawah 17","")))))))))</f>
        <v/>
      </c>
      <c r="Z1722" s="40" t="str">
        <f aca="false">IF($B1722="","",IF(AND(OR(CARI!$C$5="",ISNUMBER(SEARCH(CARI!$C$5,$B1722&amp;" "&amp;$C1722&amp;" "&amp;$D1722&amp;" "&amp;$O1722&amp;" "&amp;$I1722&amp;" "&amp;$F1722&amp;" "&amp;$J1722&amp;" "&amp;$K1722&amp;" "&amp;$L1722&amp;" "&amp;$V1722))),OR(CARI!$C$6="",$F1722=CARI!$C$6),OR(CARI!$C$7="",$G1722=CARI!$C$7),OR(CARI!$C$8="",$T1722=CARI!$C$8)),MAX($Z$3:Z1721)+1,""))</f>
        <v/>
      </c>
      <c r="AA1722" s="40" t="str">
        <f aca="false">IF($Y1722="","",MAX($AA$3:AA1721)+1)</f>
        <v/>
      </c>
      <c r="AB1722" s="40" t="str">
        <f aca="false">IF($F1722="","",$F1722&amp;"#"&amp;COUNTIF($F$4:$F1722,$F1722))</f>
        <v/>
      </c>
      <c r="AC1722" s="40" t="str">
        <f aca="false">IF($B1722="","",IF(AND(OR(CETAK!$J$10="",$F1722=CETAK!$J$10),OR(CETAK!$J$11="",$G1722=CETAK!$J$11),OR(CETAK!$J$12="",$P1722=CETAK!$J$12),OR(CETAK!$J$13="",$N1722=CETAK!$J$13),OR(CETAK!$J$14="",$T1722=CETAK!$J$14)),MAX($AC$3:AC1721)+1,""))</f>
        <v/>
      </c>
      <c r="AD1722" s="40" t="str">
        <f aca="false">IF($B1722="","",IF(AND(OR(ABSENSI!$H$10="",$F1722=ABSENSI!$H$10),OR(ABSENSI!$H$11="",$G1722=ABSENSI!$H$11),OR(ABSENSI!$H$12="",$P1722=ABSENSI!$H$12)),MAX($AD$3:AD1721)+1,""))</f>
        <v/>
      </c>
      <c r="AE1722" s="40" t="str">
        <f aca="false">IF($B1722="","",IF(AND(OR(KARTU!$K$6="",$F1722=KARTU!$K$6),OR(KARTU!$K$7="",$G1722=KARTU!$K$7),OR(KARTU!$K$8="",$P1722=KARTU!$K$8)),MAX($AE$3:AE1721)+1,""))</f>
        <v/>
      </c>
    </row>
    <row r="1723" customFormat="false" ht="15" hidden="false" customHeight="false" outlineLevel="0" collapsed="false">
      <c r="A1723" s="35" t="str">
        <f aca="false">IF($B1723="","",COUNTA($B$4:$B1723))</f>
        <v/>
      </c>
      <c r="B1723" s="36"/>
      <c r="C1723" s="37"/>
      <c r="D1723" s="37"/>
      <c r="E1723" s="38"/>
      <c r="F1723" s="36"/>
      <c r="G1723" s="39"/>
      <c r="H1723" s="39"/>
      <c r="I1723" s="36"/>
      <c r="J1723" s="36"/>
      <c r="K1723" s="36"/>
      <c r="L1723" s="36"/>
      <c r="M1723" s="40" t="str">
        <f aca="false">IF($F1723="","",$F1723&amp;IF($G1723="",""," - RT "&amp;$G1723&amp;IF($H1723="","","/"&amp;$H1723)))</f>
        <v/>
      </c>
      <c r="N1723" s="36"/>
      <c r="O1723" s="37"/>
      <c r="P1723" s="39"/>
      <c r="Q1723" s="41"/>
      <c r="R1723" s="35" t="str">
        <f aca="true">IF(OR($B1723="",$Q1723=""),"",DATEDIF($Q1723,TODAY(),"Y"))</f>
        <v/>
      </c>
      <c r="S1723" s="40" t="str">
        <f aca="false">IF($R1723="","",INDEX(usia_label,MATCH($R1723,usia_min,1)))</f>
        <v/>
      </c>
      <c r="T1723" s="36"/>
      <c r="U1723" s="41"/>
      <c r="V1723" s="36"/>
      <c r="W1723" s="36"/>
      <c r="X1723" s="40" t="str">
        <f aca="false">IF($M1723="","",$M1723&amp;"#"&amp;COUNTIF($M$4:$M1723,$M1723))</f>
        <v/>
      </c>
      <c r="Y1723" s="40" t="str">
        <f aca="false">IF($B1723="","",IF($C1723="","NIK kosong",IF(LEN($C1723)&lt;&gt;16,"NIK bukan 16 digit",IF(COUNTIF($C$4:$C$2003,$C1723&amp;"*")&gt;1,"NIK ganda",IF(AND($D1723&lt;&gt;"",LEN($D1723)&lt;&gt;16),"No. KK bukan 16 digit",IF(AND($F1723="",$I1723=""),"Alamat kosong",IF($N1723="","Jabatan kosong",IF($O1723="","No. HP kosong",IF(AND($R1723&lt;&gt;"",$R1723&lt;17),"Usia di bawah 17","")))))))))</f>
        <v/>
      </c>
      <c r="Z1723" s="40" t="str">
        <f aca="false">IF($B1723="","",IF(AND(OR(CARI!$C$5="",ISNUMBER(SEARCH(CARI!$C$5,$B1723&amp;" "&amp;$C1723&amp;" "&amp;$D1723&amp;" "&amp;$O1723&amp;" "&amp;$I1723&amp;" "&amp;$F1723&amp;" "&amp;$J1723&amp;" "&amp;$K1723&amp;" "&amp;$L1723&amp;" "&amp;$V1723))),OR(CARI!$C$6="",$F1723=CARI!$C$6),OR(CARI!$C$7="",$G1723=CARI!$C$7),OR(CARI!$C$8="",$T1723=CARI!$C$8)),MAX($Z$3:Z1722)+1,""))</f>
        <v/>
      </c>
      <c r="AA1723" s="40" t="str">
        <f aca="false">IF($Y1723="","",MAX($AA$3:AA1722)+1)</f>
        <v/>
      </c>
      <c r="AB1723" s="40" t="str">
        <f aca="false">IF($F1723="","",$F1723&amp;"#"&amp;COUNTIF($F$4:$F1723,$F1723))</f>
        <v/>
      </c>
      <c r="AC1723" s="40" t="str">
        <f aca="false">IF($B1723="","",IF(AND(OR(CETAK!$J$10="",$F1723=CETAK!$J$10),OR(CETAK!$J$11="",$G1723=CETAK!$J$11),OR(CETAK!$J$12="",$P1723=CETAK!$J$12),OR(CETAK!$J$13="",$N1723=CETAK!$J$13),OR(CETAK!$J$14="",$T1723=CETAK!$J$14)),MAX($AC$3:AC1722)+1,""))</f>
        <v/>
      </c>
      <c r="AD1723" s="40" t="str">
        <f aca="false">IF($B1723="","",IF(AND(OR(ABSENSI!$H$10="",$F1723=ABSENSI!$H$10),OR(ABSENSI!$H$11="",$G1723=ABSENSI!$H$11),OR(ABSENSI!$H$12="",$P1723=ABSENSI!$H$12)),MAX($AD$3:AD1722)+1,""))</f>
        <v/>
      </c>
      <c r="AE1723" s="40" t="str">
        <f aca="false">IF($B1723="","",IF(AND(OR(KARTU!$K$6="",$F1723=KARTU!$K$6),OR(KARTU!$K$7="",$G1723=KARTU!$K$7),OR(KARTU!$K$8="",$P1723=KARTU!$K$8)),MAX($AE$3:AE1722)+1,""))</f>
        <v/>
      </c>
    </row>
    <row r="1724" customFormat="false" ht="15" hidden="false" customHeight="false" outlineLevel="0" collapsed="false">
      <c r="A1724" s="35" t="str">
        <f aca="false">IF($B1724="","",COUNTA($B$4:$B1724))</f>
        <v/>
      </c>
      <c r="B1724" s="36"/>
      <c r="C1724" s="37"/>
      <c r="D1724" s="37"/>
      <c r="E1724" s="38"/>
      <c r="F1724" s="36"/>
      <c r="G1724" s="39"/>
      <c r="H1724" s="39"/>
      <c r="I1724" s="36"/>
      <c r="J1724" s="36"/>
      <c r="K1724" s="36"/>
      <c r="L1724" s="36"/>
      <c r="M1724" s="40" t="str">
        <f aca="false">IF($F1724="","",$F1724&amp;IF($G1724="",""," - RT "&amp;$G1724&amp;IF($H1724="","","/"&amp;$H1724)))</f>
        <v/>
      </c>
      <c r="N1724" s="36"/>
      <c r="O1724" s="37"/>
      <c r="P1724" s="39"/>
      <c r="Q1724" s="41"/>
      <c r="R1724" s="35" t="str">
        <f aca="true">IF(OR($B1724="",$Q1724=""),"",DATEDIF($Q1724,TODAY(),"Y"))</f>
        <v/>
      </c>
      <c r="S1724" s="40" t="str">
        <f aca="false">IF($R1724="","",INDEX(usia_label,MATCH($R1724,usia_min,1)))</f>
        <v/>
      </c>
      <c r="T1724" s="36"/>
      <c r="U1724" s="41"/>
      <c r="V1724" s="36"/>
      <c r="W1724" s="36"/>
      <c r="X1724" s="40" t="str">
        <f aca="false">IF($M1724="","",$M1724&amp;"#"&amp;COUNTIF($M$4:$M1724,$M1724))</f>
        <v/>
      </c>
      <c r="Y1724" s="40" t="str">
        <f aca="false">IF($B1724="","",IF($C1724="","NIK kosong",IF(LEN($C1724)&lt;&gt;16,"NIK bukan 16 digit",IF(COUNTIF($C$4:$C$2003,$C1724&amp;"*")&gt;1,"NIK ganda",IF(AND($D1724&lt;&gt;"",LEN($D1724)&lt;&gt;16),"No. KK bukan 16 digit",IF(AND($F1724="",$I1724=""),"Alamat kosong",IF($N1724="","Jabatan kosong",IF($O1724="","No. HP kosong",IF(AND($R1724&lt;&gt;"",$R1724&lt;17),"Usia di bawah 17","")))))))))</f>
        <v/>
      </c>
      <c r="Z1724" s="40" t="str">
        <f aca="false">IF($B1724="","",IF(AND(OR(CARI!$C$5="",ISNUMBER(SEARCH(CARI!$C$5,$B1724&amp;" "&amp;$C1724&amp;" "&amp;$D1724&amp;" "&amp;$O1724&amp;" "&amp;$I1724&amp;" "&amp;$F1724&amp;" "&amp;$J1724&amp;" "&amp;$K1724&amp;" "&amp;$L1724&amp;" "&amp;$V1724))),OR(CARI!$C$6="",$F1724=CARI!$C$6),OR(CARI!$C$7="",$G1724=CARI!$C$7),OR(CARI!$C$8="",$T1724=CARI!$C$8)),MAX($Z$3:Z1723)+1,""))</f>
        <v/>
      </c>
      <c r="AA1724" s="40" t="str">
        <f aca="false">IF($Y1724="","",MAX($AA$3:AA1723)+1)</f>
        <v/>
      </c>
      <c r="AB1724" s="40" t="str">
        <f aca="false">IF($F1724="","",$F1724&amp;"#"&amp;COUNTIF($F$4:$F1724,$F1724))</f>
        <v/>
      </c>
      <c r="AC1724" s="40" t="str">
        <f aca="false">IF($B1724="","",IF(AND(OR(CETAK!$J$10="",$F1724=CETAK!$J$10),OR(CETAK!$J$11="",$G1724=CETAK!$J$11),OR(CETAK!$J$12="",$P1724=CETAK!$J$12),OR(CETAK!$J$13="",$N1724=CETAK!$J$13),OR(CETAK!$J$14="",$T1724=CETAK!$J$14)),MAX($AC$3:AC1723)+1,""))</f>
        <v/>
      </c>
      <c r="AD1724" s="40" t="str">
        <f aca="false">IF($B1724="","",IF(AND(OR(ABSENSI!$H$10="",$F1724=ABSENSI!$H$10),OR(ABSENSI!$H$11="",$G1724=ABSENSI!$H$11),OR(ABSENSI!$H$12="",$P1724=ABSENSI!$H$12)),MAX($AD$3:AD1723)+1,""))</f>
        <v/>
      </c>
      <c r="AE1724" s="40" t="str">
        <f aca="false">IF($B1724="","",IF(AND(OR(KARTU!$K$6="",$F1724=KARTU!$K$6),OR(KARTU!$K$7="",$G1724=KARTU!$K$7),OR(KARTU!$K$8="",$P1724=KARTU!$K$8)),MAX($AE$3:AE1723)+1,""))</f>
        <v/>
      </c>
    </row>
    <row r="1725" customFormat="false" ht="15" hidden="false" customHeight="false" outlineLevel="0" collapsed="false">
      <c r="A1725" s="35" t="str">
        <f aca="false">IF($B1725="","",COUNTA($B$4:$B1725))</f>
        <v/>
      </c>
      <c r="B1725" s="36"/>
      <c r="C1725" s="37"/>
      <c r="D1725" s="37"/>
      <c r="E1725" s="38"/>
      <c r="F1725" s="36"/>
      <c r="G1725" s="39"/>
      <c r="H1725" s="39"/>
      <c r="I1725" s="36"/>
      <c r="J1725" s="36"/>
      <c r="K1725" s="36"/>
      <c r="L1725" s="36"/>
      <c r="M1725" s="40" t="str">
        <f aca="false">IF($F1725="","",$F1725&amp;IF($G1725="",""," - RT "&amp;$G1725&amp;IF($H1725="","","/"&amp;$H1725)))</f>
        <v/>
      </c>
      <c r="N1725" s="36"/>
      <c r="O1725" s="37"/>
      <c r="P1725" s="39"/>
      <c r="Q1725" s="41"/>
      <c r="R1725" s="35" t="str">
        <f aca="true">IF(OR($B1725="",$Q1725=""),"",DATEDIF($Q1725,TODAY(),"Y"))</f>
        <v/>
      </c>
      <c r="S1725" s="40" t="str">
        <f aca="false">IF($R1725="","",INDEX(usia_label,MATCH($R1725,usia_min,1)))</f>
        <v/>
      </c>
      <c r="T1725" s="36"/>
      <c r="U1725" s="41"/>
      <c r="V1725" s="36"/>
      <c r="W1725" s="36"/>
      <c r="X1725" s="40" t="str">
        <f aca="false">IF($M1725="","",$M1725&amp;"#"&amp;COUNTIF($M$4:$M1725,$M1725))</f>
        <v/>
      </c>
      <c r="Y1725" s="40" t="str">
        <f aca="false">IF($B1725="","",IF($C1725="","NIK kosong",IF(LEN($C1725)&lt;&gt;16,"NIK bukan 16 digit",IF(COUNTIF($C$4:$C$2003,$C1725&amp;"*")&gt;1,"NIK ganda",IF(AND($D1725&lt;&gt;"",LEN($D1725)&lt;&gt;16),"No. KK bukan 16 digit",IF(AND($F1725="",$I1725=""),"Alamat kosong",IF($N1725="","Jabatan kosong",IF($O1725="","No. HP kosong",IF(AND($R1725&lt;&gt;"",$R1725&lt;17),"Usia di bawah 17","")))))))))</f>
        <v/>
      </c>
      <c r="Z1725" s="40" t="str">
        <f aca="false">IF($B1725="","",IF(AND(OR(CARI!$C$5="",ISNUMBER(SEARCH(CARI!$C$5,$B1725&amp;" "&amp;$C1725&amp;" "&amp;$D1725&amp;" "&amp;$O1725&amp;" "&amp;$I1725&amp;" "&amp;$F1725&amp;" "&amp;$J1725&amp;" "&amp;$K1725&amp;" "&amp;$L1725&amp;" "&amp;$V1725))),OR(CARI!$C$6="",$F1725=CARI!$C$6),OR(CARI!$C$7="",$G1725=CARI!$C$7),OR(CARI!$C$8="",$T1725=CARI!$C$8)),MAX($Z$3:Z1724)+1,""))</f>
        <v/>
      </c>
      <c r="AA1725" s="40" t="str">
        <f aca="false">IF($Y1725="","",MAX($AA$3:AA1724)+1)</f>
        <v/>
      </c>
      <c r="AB1725" s="40" t="str">
        <f aca="false">IF($F1725="","",$F1725&amp;"#"&amp;COUNTIF($F$4:$F1725,$F1725))</f>
        <v/>
      </c>
      <c r="AC1725" s="40" t="str">
        <f aca="false">IF($B1725="","",IF(AND(OR(CETAK!$J$10="",$F1725=CETAK!$J$10),OR(CETAK!$J$11="",$G1725=CETAK!$J$11),OR(CETAK!$J$12="",$P1725=CETAK!$J$12),OR(CETAK!$J$13="",$N1725=CETAK!$J$13),OR(CETAK!$J$14="",$T1725=CETAK!$J$14)),MAX($AC$3:AC1724)+1,""))</f>
        <v/>
      </c>
      <c r="AD1725" s="40" t="str">
        <f aca="false">IF($B1725="","",IF(AND(OR(ABSENSI!$H$10="",$F1725=ABSENSI!$H$10),OR(ABSENSI!$H$11="",$G1725=ABSENSI!$H$11),OR(ABSENSI!$H$12="",$P1725=ABSENSI!$H$12)),MAX($AD$3:AD1724)+1,""))</f>
        <v/>
      </c>
      <c r="AE1725" s="40" t="str">
        <f aca="false">IF($B1725="","",IF(AND(OR(KARTU!$K$6="",$F1725=KARTU!$K$6),OR(KARTU!$K$7="",$G1725=KARTU!$K$7),OR(KARTU!$K$8="",$P1725=KARTU!$K$8)),MAX($AE$3:AE1724)+1,""))</f>
        <v/>
      </c>
    </row>
    <row r="1726" customFormat="false" ht="15" hidden="false" customHeight="false" outlineLevel="0" collapsed="false">
      <c r="A1726" s="35" t="str">
        <f aca="false">IF($B1726="","",COUNTA($B$4:$B1726))</f>
        <v/>
      </c>
      <c r="B1726" s="36"/>
      <c r="C1726" s="37"/>
      <c r="D1726" s="37"/>
      <c r="E1726" s="38"/>
      <c r="F1726" s="36"/>
      <c r="G1726" s="39"/>
      <c r="H1726" s="39"/>
      <c r="I1726" s="36"/>
      <c r="J1726" s="36"/>
      <c r="K1726" s="36"/>
      <c r="L1726" s="36"/>
      <c r="M1726" s="40" t="str">
        <f aca="false">IF($F1726="","",$F1726&amp;IF($G1726="",""," - RT "&amp;$G1726&amp;IF($H1726="","","/"&amp;$H1726)))</f>
        <v/>
      </c>
      <c r="N1726" s="36"/>
      <c r="O1726" s="37"/>
      <c r="P1726" s="39"/>
      <c r="Q1726" s="41"/>
      <c r="R1726" s="35" t="str">
        <f aca="true">IF(OR($B1726="",$Q1726=""),"",DATEDIF($Q1726,TODAY(),"Y"))</f>
        <v/>
      </c>
      <c r="S1726" s="40" t="str">
        <f aca="false">IF($R1726="","",INDEX(usia_label,MATCH($R1726,usia_min,1)))</f>
        <v/>
      </c>
      <c r="T1726" s="36"/>
      <c r="U1726" s="41"/>
      <c r="V1726" s="36"/>
      <c r="W1726" s="36"/>
      <c r="X1726" s="40" t="str">
        <f aca="false">IF($M1726="","",$M1726&amp;"#"&amp;COUNTIF($M$4:$M1726,$M1726))</f>
        <v/>
      </c>
      <c r="Y1726" s="40" t="str">
        <f aca="false">IF($B1726="","",IF($C1726="","NIK kosong",IF(LEN($C1726)&lt;&gt;16,"NIK bukan 16 digit",IF(COUNTIF($C$4:$C$2003,$C1726&amp;"*")&gt;1,"NIK ganda",IF(AND($D1726&lt;&gt;"",LEN($D1726)&lt;&gt;16),"No. KK bukan 16 digit",IF(AND($F1726="",$I1726=""),"Alamat kosong",IF($N1726="","Jabatan kosong",IF($O1726="","No. HP kosong",IF(AND($R1726&lt;&gt;"",$R1726&lt;17),"Usia di bawah 17","")))))))))</f>
        <v/>
      </c>
      <c r="Z1726" s="40" t="str">
        <f aca="false">IF($B1726="","",IF(AND(OR(CARI!$C$5="",ISNUMBER(SEARCH(CARI!$C$5,$B1726&amp;" "&amp;$C1726&amp;" "&amp;$D1726&amp;" "&amp;$O1726&amp;" "&amp;$I1726&amp;" "&amp;$F1726&amp;" "&amp;$J1726&amp;" "&amp;$K1726&amp;" "&amp;$L1726&amp;" "&amp;$V1726))),OR(CARI!$C$6="",$F1726=CARI!$C$6),OR(CARI!$C$7="",$G1726=CARI!$C$7),OR(CARI!$C$8="",$T1726=CARI!$C$8)),MAX($Z$3:Z1725)+1,""))</f>
        <v/>
      </c>
      <c r="AA1726" s="40" t="str">
        <f aca="false">IF($Y1726="","",MAX($AA$3:AA1725)+1)</f>
        <v/>
      </c>
      <c r="AB1726" s="40" t="str">
        <f aca="false">IF($F1726="","",$F1726&amp;"#"&amp;COUNTIF($F$4:$F1726,$F1726))</f>
        <v/>
      </c>
      <c r="AC1726" s="40" t="str">
        <f aca="false">IF($B1726="","",IF(AND(OR(CETAK!$J$10="",$F1726=CETAK!$J$10),OR(CETAK!$J$11="",$G1726=CETAK!$J$11),OR(CETAK!$J$12="",$P1726=CETAK!$J$12),OR(CETAK!$J$13="",$N1726=CETAK!$J$13),OR(CETAK!$J$14="",$T1726=CETAK!$J$14)),MAX($AC$3:AC1725)+1,""))</f>
        <v/>
      </c>
      <c r="AD1726" s="40" t="str">
        <f aca="false">IF($B1726="","",IF(AND(OR(ABSENSI!$H$10="",$F1726=ABSENSI!$H$10),OR(ABSENSI!$H$11="",$G1726=ABSENSI!$H$11),OR(ABSENSI!$H$12="",$P1726=ABSENSI!$H$12)),MAX($AD$3:AD1725)+1,""))</f>
        <v/>
      </c>
      <c r="AE1726" s="40" t="str">
        <f aca="false">IF($B1726="","",IF(AND(OR(KARTU!$K$6="",$F1726=KARTU!$K$6),OR(KARTU!$K$7="",$G1726=KARTU!$K$7),OR(KARTU!$K$8="",$P1726=KARTU!$K$8)),MAX($AE$3:AE1725)+1,""))</f>
        <v/>
      </c>
    </row>
    <row r="1727" customFormat="false" ht="15" hidden="false" customHeight="false" outlineLevel="0" collapsed="false">
      <c r="A1727" s="35" t="str">
        <f aca="false">IF($B1727="","",COUNTA($B$4:$B1727))</f>
        <v/>
      </c>
      <c r="B1727" s="36"/>
      <c r="C1727" s="37"/>
      <c r="D1727" s="37"/>
      <c r="E1727" s="38"/>
      <c r="F1727" s="36"/>
      <c r="G1727" s="39"/>
      <c r="H1727" s="39"/>
      <c r="I1727" s="36"/>
      <c r="J1727" s="36"/>
      <c r="K1727" s="36"/>
      <c r="L1727" s="36"/>
      <c r="M1727" s="40" t="str">
        <f aca="false">IF($F1727="","",$F1727&amp;IF($G1727="",""," - RT "&amp;$G1727&amp;IF($H1727="","","/"&amp;$H1727)))</f>
        <v/>
      </c>
      <c r="N1727" s="36"/>
      <c r="O1727" s="37"/>
      <c r="P1727" s="39"/>
      <c r="Q1727" s="41"/>
      <c r="R1727" s="35" t="str">
        <f aca="true">IF(OR($B1727="",$Q1727=""),"",DATEDIF($Q1727,TODAY(),"Y"))</f>
        <v/>
      </c>
      <c r="S1727" s="40" t="str">
        <f aca="false">IF($R1727="","",INDEX(usia_label,MATCH($R1727,usia_min,1)))</f>
        <v/>
      </c>
      <c r="T1727" s="36"/>
      <c r="U1727" s="41"/>
      <c r="V1727" s="36"/>
      <c r="W1727" s="36"/>
      <c r="X1727" s="40" t="str">
        <f aca="false">IF($M1727="","",$M1727&amp;"#"&amp;COUNTIF($M$4:$M1727,$M1727))</f>
        <v/>
      </c>
      <c r="Y1727" s="40" t="str">
        <f aca="false">IF($B1727="","",IF($C1727="","NIK kosong",IF(LEN($C1727)&lt;&gt;16,"NIK bukan 16 digit",IF(COUNTIF($C$4:$C$2003,$C1727&amp;"*")&gt;1,"NIK ganda",IF(AND($D1727&lt;&gt;"",LEN($D1727)&lt;&gt;16),"No. KK bukan 16 digit",IF(AND($F1727="",$I1727=""),"Alamat kosong",IF($N1727="","Jabatan kosong",IF($O1727="","No. HP kosong",IF(AND($R1727&lt;&gt;"",$R1727&lt;17),"Usia di bawah 17","")))))))))</f>
        <v/>
      </c>
      <c r="Z1727" s="40" t="str">
        <f aca="false">IF($B1727="","",IF(AND(OR(CARI!$C$5="",ISNUMBER(SEARCH(CARI!$C$5,$B1727&amp;" "&amp;$C1727&amp;" "&amp;$D1727&amp;" "&amp;$O1727&amp;" "&amp;$I1727&amp;" "&amp;$F1727&amp;" "&amp;$J1727&amp;" "&amp;$K1727&amp;" "&amp;$L1727&amp;" "&amp;$V1727))),OR(CARI!$C$6="",$F1727=CARI!$C$6),OR(CARI!$C$7="",$G1727=CARI!$C$7),OR(CARI!$C$8="",$T1727=CARI!$C$8)),MAX($Z$3:Z1726)+1,""))</f>
        <v/>
      </c>
      <c r="AA1727" s="40" t="str">
        <f aca="false">IF($Y1727="","",MAX($AA$3:AA1726)+1)</f>
        <v/>
      </c>
      <c r="AB1727" s="40" t="str">
        <f aca="false">IF($F1727="","",$F1727&amp;"#"&amp;COUNTIF($F$4:$F1727,$F1727))</f>
        <v/>
      </c>
      <c r="AC1727" s="40" t="str">
        <f aca="false">IF($B1727="","",IF(AND(OR(CETAK!$J$10="",$F1727=CETAK!$J$10),OR(CETAK!$J$11="",$G1727=CETAK!$J$11),OR(CETAK!$J$12="",$P1727=CETAK!$J$12),OR(CETAK!$J$13="",$N1727=CETAK!$J$13),OR(CETAK!$J$14="",$T1727=CETAK!$J$14)),MAX($AC$3:AC1726)+1,""))</f>
        <v/>
      </c>
      <c r="AD1727" s="40" t="str">
        <f aca="false">IF($B1727="","",IF(AND(OR(ABSENSI!$H$10="",$F1727=ABSENSI!$H$10),OR(ABSENSI!$H$11="",$G1727=ABSENSI!$H$11),OR(ABSENSI!$H$12="",$P1727=ABSENSI!$H$12)),MAX($AD$3:AD1726)+1,""))</f>
        <v/>
      </c>
      <c r="AE1727" s="40" t="str">
        <f aca="false">IF($B1727="","",IF(AND(OR(KARTU!$K$6="",$F1727=KARTU!$K$6),OR(KARTU!$K$7="",$G1727=KARTU!$K$7),OR(KARTU!$K$8="",$P1727=KARTU!$K$8)),MAX($AE$3:AE1726)+1,""))</f>
        <v/>
      </c>
    </row>
    <row r="1728" customFormat="false" ht="15" hidden="false" customHeight="false" outlineLevel="0" collapsed="false">
      <c r="A1728" s="35" t="str">
        <f aca="false">IF($B1728="","",COUNTA($B$4:$B1728))</f>
        <v/>
      </c>
      <c r="B1728" s="36"/>
      <c r="C1728" s="37"/>
      <c r="D1728" s="37"/>
      <c r="E1728" s="38"/>
      <c r="F1728" s="36"/>
      <c r="G1728" s="39"/>
      <c r="H1728" s="39"/>
      <c r="I1728" s="36"/>
      <c r="J1728" s="36"/>
      <c r="K1728" s="36"/>
      <c r="L1728" s="36"/>
      <c r="M1728" s="40" t="str">
        <f aca="false">IF($F1728="","",$F1728&amp;IF($G1728="",""," - RT "&amp;$G1728&amp;IF($H1728="","","/"&amp;$H1728)))</f>
        <v/>
      </c>
      <c r="N1728" s="36"/>
      <c r="O1728" s="37"/>
      <c r="P1728" s="39"/>
      <c r="Q1728" s="41"/>
      <c r="R1728" s="35" t="str">
        <f aca="true">IF(OR($B1728="",$Q1728=""),"",DATEDIF($Q1728,TODAY(),"Y"))</f>
        <v/>
      </c>
      <c r="S1728" s="40" t="str">
        <f aca="false">IF($R1728="","",INDEX(usia_label,MATCH($R1728,usia_min,1)))</f>
        <v/>
      </c>
      <c r="T1728" s="36"/>
      <c r="U1728" s="41"/>
      <c r="V1728" s="36"/>
      <c r="W1728" s="36"/>
      <c r="X1728" s="40" t="str">
        <f aca="false">IF($M1728="","",$M1728&amp;"#"&amp;COUNTIF($M$4:$M1728,$M1728))</f>
        <v/>
      </c>
      <c r="Y1728" s="40" t="str">
        <f aca="false">IF($B1728="","",IF($C1728="","NIK kosong",IF(LEN($C1728)&lt;&gt;16,"NIK bukan 16 digit",IF(COUNTIF($C$4:$C$2003,$C1728&amp;"*")&gt;1,"NIK ganda",IF(AND($D1728&lt;&gt;"",LEN($D1728)&lt;&gt;16),"No. KK bukan 16 digit",IF(AND($F1728="",$I1728=""),"Alamat kosong",IF($N1728="","Jabatan kosong",IF($O1728="","No. HP kosong",IF(AND($R1728&lt;&gt;"",$R1728&lt;17),"Usia di bawah 17","")))))))))</f>
        <v/>
      </c>
      <c r="Z1728" s="40" t="str">
        <f aca="false">IF($B1728="","",IF(AND(OR(CARI!$C$5="",ISNUMBER(SEARCH(CARI!$C$5,$B1728&amp;" "&amp;$C1728&amp;" "&amp;$D1728&amp;" "&amp;$O1728&amp;" "&amp;$I1728&amp;" "&amp;$F1728&amp;" "&amp;$J1728&amp;" "&amp;$K1728&amp;" "&amp;$L1728&amp;" "&amp;$V1728))),OR(CARI!$C$6="",$F1728=CARI!$C$6),OR(CARI!$C$7="",$G1728=CARI!$C$7),OR(CARI!$C$8="",$T1728=CARI!$C$8)),MAX($Z$3:Z1727)+1,""))</f>
        <v/>
      </c>
      <c r="AA1728" s="40" t="str">
        <f aca="false">IF($Y1728="","",MAX($AA$3:AA1727)+1)</f>
        <v/>
      </c>
      <c r="AB1728" s="40" t="str">
        <f aca="false">IF($F1728="","",$F1728&amp;"#"&amp;COUNTIF($F$4:$F1728,$F1728))</f>
        <v/>
      </c>
      <c r="AC1728" s="40" t="str">
        <f aca="false">IF($B1728="","",IF(AND(OR(CETAK!$J$10="",$F1728=CETAK!$J$10),OR(CETAK!$J$11="",$G1728=CETAK!$J$11),OR(CETAK!$J$12="",$P1728=CETAK!$J$12),OR(CETAK!$J$13="",$N1728=CETAK!$J$13),OR(CETAK!$J$14="",$T1728=CETAK!$J$14)),MAX($AC$3:AC1727)+1,""))</f>
        <v/>
      </c>
      <c r="AD1728" s="40" t="str">
        <f aca="false">IF($B1728="","",IF(AND(OR(ABSENSI!$H$10="",$F1728=ABSENSI!$H$10),OR(ABSENSI!$H$11="",$G1728=ABSENSI!$H$11),OR(ABSENSI!$H$12="",$P1728=ABSENSI!$H$12)),MAX($AD$3:AD1727)+1,""))</f>
        <v/>
      </c>
      <c r="AE1728" s="40" t="str">
        <f aca="false">IF($B1728="","",IF(AND(OR(KARTU!$K$6="",$F1728=KARTU!$K$6),OR(KARTU!$K$7="",$G1728=KARTU!$K$7),OR(KARTU!$K$8="",$P1728=KARTU!$K$8)),MAX($AE$3:AE1727)+1,""))</f>
        <v/>
      </c>
    </row>
    <row r="1729" customFormat="false" ht="15" hidden="false" customHeight="false" outlineLevel="0" collapsed="false">
      <c r="A1729" s="35" t="str">
        <f aca="false">IF($B1729="","",COUNTA($B$4:$B1729))</f>
        <v/>
      </c>
      <c r="B1729" s="36"/>
      <c r="C1729" s="37"/>
      <c r="D1729" s="37"/>
      <c r="E1729" s="38"/>
      <c r="F1729" s="36"/>
      <c r="G1729" s="39"/>
      <c r="H1729" s="39"/>
      <c r="I1729" s="36"/>
      <c r="J1729" s="36"/>
      <c r="K1729" s="36"/>
      <c r="L1729" s="36"/>
      <c r="M1729" s="40" t="str">
        <f aca="false">IF($F1729="","",$F1729&amp;IF($G1729="",""," - RT "&amp;$G1729&amp;IF($H1729="","","/"&amp;$H1729)))</f>
        <v/>
      </c>
      <c r="N1729" s="36"/>
      <c r="O1729" s="37"/>
      <c r="P1729" s="39"/>
      <c r="Q1729" s="41"/>
      <c r="R1729" s="35" t="str">
        <f aca="true">IF(OR($B1729="",$Q1729=""),"",DATEDIF($Q1729,TODAY(),"Y"))</f>
        <v/>
      </c>
      <c r="S1729" s="40" t="str">
        <f aca="false">IF($R1729="","",INDEX(usia_label,MATCH($R1729,usia_min,1)))</f>
        <v/>
      </c>
      <c r="T1729" s="36"/>
      <c r="U1729" s="41"/>
      <c r="V1729" s="36"/>
      <c r="W1729" s="36"/>
      <c r="X1729" s="40" t="str">
        <f aca="false">IF($M1729="","",$M1729&amp;"#"&amp;COUNTIF($M$4:$M1729,$M1729))</f>
        <v/>
      </c>
      <c r="Y1729" s="40" t="str">
        <f aca="false">IF($B1729="","",IF($C1729="","NIK kosong",IF(LEN($C1729)&lt;&gt;16,"NIK bukan 16 digit",IF(COUNTIF($C$4:$C$2003,$C1729&amp;"*")&gt;1,"NIK ganda",IF(AND($D1729&lt;&gt;"",LEN($D1729)&lt;&gt;16),"No. KK bukan 16 digit",IF(AND($F1729="",$I1729=""),"Alamat kosong",IF($N1729="","Jabatan kosong",IF($O1729="","No. HP kosong",IF(AND($R1729&lt;&gt;"",$R1729&lt;17),"Usia di bawah 17","")))))))))</f>
        <v/>
      </c>
      <c r="Z1729" s="40" t="str">
        <f aca="false">IF($B1729="","",IF(AND(OR(CARI!$C$5="",ISNUMBER(SEARCH(CARI!$C$5,$B1729&amp;" "&amp;$C1729&amp;" "&amp;$D1729&amp;" "&amp;$O1729&amp;" "&amp;$I1729&amp;" "&amp;$F1729&amp;" "&amp;$J1729&amp;" "&amp;$K1729&amp;" "&amp;$L1729&amp;" "&amp;$V1729))),OR(CARI!$C$6="",$F1729=CARI!$C$6),OR(CARI!$C$7="",$G1729=CARI!$C$7),OR(CARI!$C$8="",$T1729=CARI!$C$8)),MAX($Z$3:Z1728)+1,""))</f>
        <v/>
      </c>
      <c r="AA1729" s="40" t="str">
        <f aca="false">IF($Y1729="","",MAX($AA$3:AA1728)+1)</f>
        <v/>
      </c>
      <c r="AB1729" s="40" t="str">
        <f aca="false">IF($F1729="","",$F1729&amp;"#"&amp;COUNTIF($F$4:$F1729,$F1729))</f>
        <v/>
      </c>
      <c r="AC1729" s="40" t="str">
        <f aca="false">IF($B1729="","",IF(AND(OR(CETAK!$J$10="",$F1729=CETAK!$J$10),OR(CETAK!$J$11="",$G1729=CETAK!$J$11),OR(CETAK!$J$12="",$P1729=CETAK!$J$12),OR(CETAK!$J$13="",$N1729=CETAK!$J$13),OR(CETAK!$J$14="",$T1729=CETAK!$J$14)),MAX($AC$3:AC1728)+1,""))</f>
        <v/>
      </c>
      <c r="AD1729" s="40" t="str">
        <f aca="false">IF($B1729="","",IF(AND(OR(ABSENSI!$H$10="",$F1729=ABSENSI!$H$10),OR(ABSENSI!$H$11="",$G1729=ABSENSI!$H$11),OR(ABSENSI!$H$12="",$P1729=ABSENSI!$H$12)),MAX($AD$3:AD1728)+1,""))</f>
        <v/>
      </c>
      <c r="AE1729" s="40" t="str">
        <f aca="false">IF($B1729="","",IF(AND(OR(KARTU!$K$6="",$F1729=KARTU!$K$6),OR(KARTU!$K$7="",$G1729=KARTU!$K$7),OR(KARTU!$K$8="",$P1729=KARTU!$K$8)),MAX($AE$3:AE1728)+1,""))</f>
        <v/>
      </c>
    </row>
    <row r="1730" customFormat="false" ht="15" hidden="false" customHeight="false" outlineLevel="0" collapsed="false">
      <c r="A1730" s="35" t="str">
        <f aca="false">IF($B1730="","",COUNTA($B$4:$B1730))</f>
        <v/>
      </c>
      <c r="B1730" s="36"/>
      <c r="C1730" s="37"/>
      <c r="D1730" s="37"/>
      <c r="E1730" s="38"/>
      <c r="F1730" s="36"/>
      <c r="G1730" s="39"/>
      <c r="H1730" s="39"/>
      <c r="I1730" s="36"/>
      <c r="J1730" s="36"/>
      <c r="K1730" s="36"/>
      <c r="L1730" s="36"/>
      <c r="M1730" s="40" t="str">
        <f aca="false">IF($F1730="","",$F1730&amp;IF($G1730="",""," - RT "&amp;$G1730&amp;IF($H1730="","","/"&amp;$H1730)))</f>
        <v/>
      </c>
      <c r="N1730" s="36"/>
      <c r="O1730" s="37"/>
      <c r="P1730" s="39"/>
      <c r="Q1730" s="41"/>
      <c r="R1730" s="35" t="str">
        <f aca="true">IF(OR($B1730="",$Q1730=""),"",DATEDIF($Q1730,TODAY(),"Y"))</f>
        <v/>
      </c>
      <c r="S1730" s="40" t="str">
        <f aca="false">IF($R1730="","",INDEX(usia_label,MATCH($R1730,usia_min,1)))</f>
        <v/>
      </c>
      <c r="T1730" s="36"/>
      <c r="U1730" s="41"/>
      <c r="V1730" s="36"/>
      <c r="W1730" s="36"/>
      <c r="X1730" s="40" t="str">
        <f aca="false">IF($M1730="","",$M1730&amp;"#"&amp;COUNTIF($M$4:$M1730,$M1730))</f>
        <v/>
      </c>
      <c r="Y1730" s="40" t="str">
        <f aca="false">IF($B1730="","",IF($C1730="","NIK kosong",IF(LEN($C1730)&lt;&gt;16,"NIK bukan 16 digit",IF(COUNTIF($C$4:$C$2003,$C1730&amp;"*")&gt;1,"NIK ganda",IF(AND($D1730&lt;&gt;"",LEN($D1730)&lt;&gt;16),"No. KK bukan 16 digit",IF(AND($F1730="",$I1730=""),"Alamat kosong",IF($N1730="","Jabatan kosong",IF($O1730="","No. HP kosong",IF(AND($R1730&lt;&gt;"",$R1730&lt;17),"Usia di bawah 17","")))))))))</f>
        <v/>
      </c>
      <c r="Z1730" s="40" t="str">
        <f aca="false">IF($B1730="","",IF(AND(OR(CARI!$C$5="",ISNUMBER(SEARCH(CARI!$C$5,$B1730&amp;" "&amp;$C1730&amp;" "&amp;$D1730&amp;" "&amp;$O1730&amp;" "&amp;$I1730&amp;" "&amp;$F1730&amp;" "&amp;$J1730&amp;" "&amp;$K1730&amp;" "&amp;$L1730&amp;" "&amp;$V1730))),OR(CARI!$C$6="",$F1730=CARI!$C$6),OR(CARI!$C$7="",$G1730=CARI!$C$7),OR(CARI!$C$8="",$T1730=CARI!$C$8)),MAX($Z$3:Z1729)+1,""))</f>
        <v/>
      </c>
      <c r="AA1730" s="40" t="str">
        <f aca="false">IF($Y1730="","",MAX($AA$3:AA1729)+1)</f>
        <v/>
      </c>
      <c r="AB1730" s="40" t="str">
        <f aca="false">IF($F1730="","",$F1730&amp;"#"&amp;COUNTIF($F$4:$F1730,$F1730))</f>
        <v/>
      </c>
      <c r="AC1730" s="40" t="str">
        <f aca="false">IF($B1730="","",IF(AND(OR(CETAK!$J$10="",$F1730=CETAK!$J$10),OR(CETAK!$J$11="",$G1730=CETAK!$J$11),OR(CETAK!$J$12="",$P1730=CETAK!$J$12),OR(CETAK!$J$13="",$N1730=CETAK!$J$13),OR(CETAK!$J$14="",$T1730=CETAK!$J$14)),MAX($AC$3:AC1729)+1,""))</f>
        <v/>
      </c>
      <c r="AD1730" s="40" t="str">
        <f aca="false">IF($B1730="","",IF(AND(OR(ABSENSI!$H$10="",$F1730=ABSENSI!$H$10),OR(ABSENSI!$H$11="",$G1730=ABSENSI!$H$11),OR(ABSENSI!$H$12="",$P1730=ABSENSI!$H$12)),MAX($AD$3:AD1729)+1,""))</f>
        <v/>
      </c>
      <c r="AE1730" s="40" t="str">
        <f aca="false">IF($B1730="","",IF(AND(OR(KARTU!$K$6="",$F1730=KARTU!$K$6),OR(KARTU!$K$7="",$G1730=KARTU!$K$7),OR(KARTU!$K$8="",$P1730=KARTU!$K$8)),MAX($AE$3:AE1729)+1,""))</f>
        <v/>
      </c>
    </row>
    <row r="1731" customFormat="false" ht="15" hidden="false" customHeight="false" outlineLevel="0" collapsed="false">
      <c r="A1731" s="35" t="str">
        <f aca="false">IF($B1731="","",COUNTA($B$4:$B1731))</f>
        <v/>
      </c>
      <c r="B1731" s="36"/>
      <c r="C1731" s="37"/>
      <c r="D1731" s="37"/>
      <c r="E1731" s="38"/>
      <c r="F1731" s="36"/>
      <c r="G1731" s="39"/>
      <c r="H1731" s="39"/>
      <c r="I1731" s="36"/>
      <c r="J1731" s="36"/>
      <c r="K1731" s="36"/>
      <c r="L1731" s="36"/>
      <c r="M1731" s="40" t="str">
        <f aca="false">IF($F1731="","",$F1731&amp;IF($G1731="",""," - RT "&amp;$G1731&amp;IF($H1731="","","/"&amp;$H1731)))</f>
        <v/>
      </c>
      <c r="N1731" s="36"/>
      <c r="O1731" s="37"/>
      <c r="P1731" s="39"/>
      <c r="Q1731" s="41"/>
      <c r="R1731" s="35" t="str">
        <f aca="true">IF(OR($B1731="",$Q1731=""),"",DATEDIF($Q1731,TODAY(),"Y"))</f>
        <v/>
      </c>
      <c r="S1731" s="40" t="str">
        <f aca="false">IF($R1731="","",INDEX(usia_label,MATCH($R1731,usia_min,1)))</f>
        <v/>
      </c>
      <c r="T1731" s="36"/>
      <c r="U1731" s="41"/>
      <c r="V1731" s="36"/>
      <c r="W1731" s="36"/>
      <c r="X1731" s="40" t="str">
        <f aca="false">IF($M1731="","",$M1731&amp;"#"&amp;COUNTIF($M$4:$M1731,$M1731))</f>
        <v/>
      </c>
      <c r="Y1731" s="40" t="str">
        <f aca="false">IF($B1731="","",IF($C1731="","NIK kosong",IF(LEN($C1731)&lt;&gt;16,"NIK bukan 16 digit",IF(COUNTIF($C$4:$C$2003,$C1731&amp;"*")&gt;1,"NIK ganda",IF(AND($D1731&lt;&gt;"",LEN($D1731)&lt;&gt;16),"No. KK bukan 16 digit",IF(AND($F1731="",$I1731=""),"Alamat kosong",IF($N1731="","Jabatan kosong",IF($O1731="","No. HP kosong",IF(AND($R1731&lt;&gt;"",$R1731&lt;17),"Usia di bawah 17","")))))))))</f>
        <v/>
      </c>
      <c r="Z1731" s="40" t="str">
        <f aca="false">IF($B1731="","",IF(AND(OR(CARI!$C$5="",ISNUMBER(SEARCH(CARI!$C$5,$B1731&amp;" "&amp;$C1731&amp;" "&amp;$D1731&amp;" "&amp;$O1731&amp;" "&amp;$I1731&amp;" "&amp;$F1731&amp;" "&amp;$J1731&amp;" "&amp;$K1731&amp;" "&amp;$L1731&amp;" "&amp;$V1731))),OR(CARI!$C$6="",$F1731=CARI!$C$6),OR(CARI!$C$7="",$G1731=CARI!$C$7),OR(CARI!$C$8="",$T1731=CARI!$C$8)),MAX($Z$3:Z1730)+1,""))</f>
        <v/>
      </c>
      <c r="AA1731" s="40" t="str">
        <f aca="false">IF($Y1731="","",MAX($AA$3:AA1730)+1)</f>
        <v/>
      </c>
      <c r="AB1731" s="40" t="str">
        <f aca="false">IF($F1731="","",$F1731&amp;"#"&amp;COUNTIF($F$4:$F1731,$F1731))</f>
        <v/>
      </c>
      <c r="AC1731" s="40" t="str">
        <f aca="false">IF($B1731="","",IF(AND(OR(CETAK!$J$10="",$F1731=CETAK!$J$10),OR(CETAK!$J$11="",$G1731=CETAK!$J$11),OR(CETAK!$J$12="",$P1731=CETAK!$J$12),OR(CETAK!$J$13="",$N1731=CETAK!$J$13),OR(CETAK!$J$14="",$T1731=CETAK!$J$14)),MAX($AC$3:AC1730)+1,""))</f>
        <v/>
      </c>
      <c r="AD1731" s="40" t="str">
        <f aca="false">IF($B1731="","",IF(AND(OR(ABSENSI!$H$10="",$F1731=ABSENSI!$H$10),OR(ABSENSI!$H$11="",$G1731=ABSENSI!$H$11),OR(ABSENSI!$H$12="",$P1731=ABSENSI!$H$12)),MAX($AD$3:AD1730)+1,""))</f>
        <v/>
      </c>
      <c r="AE1731" s="40" t="str">
        <f aca="false">IF($B1731="","",IF(AND(OR(KARTU!$K$6="",$F1731=KARTU!$K$6),OR(KARTU!$K$7="",$G1731=KARTU!$K$7),OR(KARTU!$K$8="",$P1731=KARTU!$K$8)),MAX($AE$3:AE1730)+1,""))</f>
        <v/>
      </c>
    </row>
    <row r="1732" customFormat="false" ht="15" hidden="false" customHeight="false" outlineLevel="0" collapsed="false">
      <c r="A1732" s="35" t="str">
        <f aca="false">IF($B1732="","",COUNTA($B$4:$B1732))</f>
        <v/>
      </c>
      <c r="B1732" s="36"/>
      <c r="C1732" s="37"/>
      <c r="D1732" s="37"/>
      <c r="E1732" s="38"/>
      <c r="F1732" s="36"/>
      <c r="G1732" s="39"/>
      <c r="H1732" s="39"/>
      <c r="I1732" s="36"/>
      <c r="J1732" s="36"/>
      <c r="K1732" s="36"/>
      <c r="L1732" s="36"/>
      <c r="M1732" s="40" t="str">
        <f aca="false">IF($F1732="","",$F1732&amp;IF($G1732="",""," - RT "&amp;$G1732&amp;IF($H1732="","","/"&amp;$H1732)))</f>
        <v/>
      </c>
      <c r="N1732" s="36"/>
      <c r="O1732" s="37"/>
      <c r="P1732" s="39"/>
      <c r="Q1732" s="41"/>
      <c r="R1732" s="35" t="str">
        <f aca="true">IF(OR($B1732="",$Q1732=""),"",DATEDIF($Q1732,TODAY(),"Y"))</f>
        <v/>
      </c>
      <c r="S1732" s="40" t="str">
        <f aca="false">IF($R1732="","",INDEX(usia_label,MATCH($R1732,usia_min,1)))</f>
        <v/>
      </c>
      <c r="T1732" s="36"/>
      <c r="U1732" s="41"/>
      <c r="V1732" s="36"/>
      <c r="W1732" s="36"/>
      <c r="X1732" s="40" t="str">
        <f aca="false">IF($M1732="","",$M1732&amp;"#"&amp;COUNTIF($M$4:$M1732,$M1732))</f>
        <v/>
      </c>
      <c r="Y1732" s="40" t="str">
        <f aca="false">IF($B1732="","",IF($C1732="","NIK kosong",IF(LEN($C1732)&lt;&gt;16,"NIK bukan 16 digit",IF(COUNTIF($C$4:$C$2003,$C1732&amp;"*")&gt;1,"NIK ganda",IF(AND($D1732&lt;&gt;"",LEN($D1732)&lt;&gt;16),"No. KK bukan 16 digit",IF(AND($F1732="",$I1732=""),"Alamat kosong",IF($N1732="","Jabatan kosong",IF($O1732="","No. HP kosong",IF(AND($R1732&lt;&gt;"",$R1732&lt;17),"Usia di bawah 17","")))))))))</f>
        <v/>
      </c>
      <c r="Z1732" s="40" t="str">
        <f aca="false">IF($B1732="","",IF(AND(OR(CARI!$C$5="",ISNUMBER(SEARCH(CARI!$C$5,$B1732&amp;" "&amp;$C1732&amp;" "&amp;$D1732&amp;" "&amp;$O1732&amp;" "&amp;$I1732&amp;" "&amp;$F1732&amp;" "&amp;$J1732&amp;" "&amp;$K1732&amp;" "&amp;$L1732&amp;" "&amp;$V1732))),OR(CARI!$C$6="",$F1732=CARI!$C$6),OR(CARI!$C$7="",$G1732=CARI!$C$7),OR(CARI!$C$8="",$T1732=CARI!$C$8)),MAX($Z$3:Z1731)+1,""))</f>
        <v/>
      </c>
      <c r="AA1732" s="40" t="str">
        <f aca="false">IF($Y1732="","",MAX($AA$3:AA1731)+1)</f>
        <v/>
      </c>
      <c r="AB1732" s="40" t="str">
        <f aca="false">IF($F1732="","",$F1732&amp;"#"&amp;COUNTIF($F$4:$F1732,$F1732))</f>
        <v/>
      </c>
      <c r="AC1732" s="40" t="str">
        <f aca="false">IF($B1732="","",IF(AND(OR(CETAK!$J$10="",$F1732=CETAK!$J$10),OR(CETAK!$J$11="",$G1732=CETAK!$J$11),OR(CETAK!$J$12="",$P1732=CETAK!$J$12),OR(CETAK!$J$13="",$N1732=CETAK!$J$13),OR(CETAK!$J$14="",$T1732=CETAK!$J$14)),MAX($AC$3:AC1731)+1,""))</f>
        <v/>
      </c>
      <c r="AD1732" s="40" t="str">
        <f aca="false">IF($B1732="","",IF(AND(OR(ABSENSI!$H$10="",$F1732=ABSENSI!$H$10),OR(ABSENSI!$H$11="",$G1732=ABSENSI!$H$11),OR(ABSENSI!$H$12="",$P1732=ABSENSI!$H$12)),MAX($AD$3:AD1731)+1,""))</f>
        <v/>
      </c>
      <c r="AE1732" s="40" t="str">
        <f aca="false">IF($B1732="","",IF(AND(OR(KARTU!$K$6="",$F1732=KARTU!$K$6),OR(KARTU!$K$7="",$G1732=KARTU!$K$7),OR(KARTU!$K$8="",$P1732=KARTU!$K$8)),MAX($AE$3:AE1731)+1,""))</f>
        <v/>
      </c>
    </row>
    <row r="1733" customFormat="false" ht="15" hidden="false" customHeight="false" outlineLevel="0" collapsed="false">
      <c r="A1733" s="35" t="str">
        <f aca="false">IF($B1733="","",COUNTA($B$4:$B1733))</f>
        <v/>
      </c>
      <c r="B1733" s="36"/>
      <c r="C1733" s="37"/>
      <c r="D1733" s="37"/>
      <c r="E1733" s="38"/>
      <c r="F1733" s="36"/>
      <c r="G1733" s="39"/>
      <c r="H1733" s="39"/>
      <c r="I1733" s="36"/>
      <c r="J1733" s="36"/>
      <c r="K1733" s="36"/>
      <c r="L1733" s="36"/>
      <c r="M1733" s="40" t="str">
        <f aca="false">IF($F1733="","",$F1733&amp;IF($G1733="",""," - RT "&amp;$G1733&amp;IF($H1733="","","/"&amp;$H1733)))</f>
        <v/>
      </c>
      <c r="N1733" s="36"/>
      <c r="O1733" s="37"/>
      <c r="P1733" s="39"/>
      <c r="Q1733" s="41"/>
      <c r="R1733" s="35" t="str">
        <f aca="true">IF(OR($B1733="",$Q1733=""),"",DATEDIF($Q1733,TODAY(),"Y"))</f>
        <v/>
      </c>
      <c r="S1733" s="40" t="str">
        <f aca="false">IF($R1733="","",INDEX(usia_label,MATCH($R1733,usia_min,1)))</f>
        <v/>
      </c>
      <c r="T1733" s="36"/>
      <c r="U1733" s="41"/>
      <c r="V1733" s="36"/>
      <c r="W1733" s="36"/>
      <c r="X1733" s="40" t="str">
        <f aca="false">IF($M1733="","",$M1733&amp;"#"&amp;COUNTIF($M$4:$M1733,$M1733))</f>
        <v/>
      </c>
      <c r="Y1733" s="40" t="str">
        <f aca="false">IF($B1733="","",IF($C1733="","NIK kosong",IF(LEN($C1733)&lt;&gt;16,"NIK bukan 16 digit",IF(COUNTIF($C$4:$C$2003,$C1733&amp;"*")&gt;1,"NIK ganda",IF(AND($D1733&lt;&gt;"",LEN($D1733)&lt;&gt;16),"No. KK bukan 16 digit",IF(AND($F1733="",$I1733=""),"Alamat kosong",IF($N1733="","Jabatan kosong",IF($O1733="","No. HP kosong",IF(AND($R1733&lt;&gt;"",$R1733&lt;17),"Usia di bawah 17","")))))))))</f>
        <v/>
      </c>
      <c r="Z1733" s="40" t="str">
        <f aca="false">IF($B1733="","",IF(AND(OR(CARI!$C$5="",ISNUMBER(SEARCH(CARI!$C$5,$B1733&amp;" "&amp;$C1733&amp;" "&amp;$D1733&amp;" "&amp;$O1733&amp;" "&amp;$I1733&amp;" "&amp;$F1733&amp;" "&amp;$J1733&amp;" "&amp;$K1733&amp;" "&amp;$L1733&amp;" "&amp;$V1733))),OR(CARI!$C$6="",$F1733=CARI!$C$6),OR(CARI!$C$7="",$G1733=CARI!$C$7),OR(CARI!$C$8="",$T1733=CARI!$C$8)),MAX($Z$3:Z1732)+1,""))</f>
        <v/>
      </c>
      <c r="AA1733" s="40" t="str">
        <f aca="false">IF($Y1733="","",MAX($AA$3:AA1732)+1)</f>
        <v/>
      </c>
      <c r="AB1733" s="40" t="str">
        <f aca="false">IF($F1733="","",$F1733&amp;"#"&amp;COUNTIF($F$4:$F1733,$F1733))</f>
        <v/>
      </c>
      <c r="AC1733" s="40" t="str">
        <f aca="false">IF($B1733="","",IF(AND(OR(CETAK!$J$10="",$F1733=CETAK!$J$10),OR(CETAK!$J$11="",$G1733=CETAK!$J$11),OR(CETAK!$J$12="",$P1733=CETAK!$J$12),OR(CETAK!$J$13="",$N1733=CETAK!$J$13),OR(CETAK!$J$14="",$T1733=CETAK!$J$14)),MAX($AC$3:AC1732)+1,""))</f>
        <v/>
      </c>
      <c r="AD1733" s="40" t="str">
        <f aca="false">IF($B1733="","",IF(AND(OR(ABSENSI!$H$10="",$F1733=ABSENSI!$H$10),OR(ABSENSI!$H$11="",$G1733=ABSENSI!$H$11),OR(ABSENSI!$H$12="",$P1733=ABSENSI!$H$12)),MAX($AD$3:AD1732)+1,""))</f>
        <v/>
      </c>
      <c r="AE1733" s="40" t="str">
        <f aca="false">IF($B1733="","",IF(AND(OR(KARTU!$K$6="",$F1733=KARTU!$K$6),OR(KARTU!$K$7="",$G1733=KARTU!$K$7),OR(KARTU!$K$8="",$P1733=KARTU!$K$8)),MAX($AE$3:AE1732)+1,""))</f>
        <v/>
      </c>
    </row>
    <row r="1734" customFormat="false" ht="15" hidden="false" customHeight="false" outlineLevel="0" collapsed="false">
      <c r="A1734" s="35" t="str">
        <f aca="false">IF($B1734="","",COUNTA($B$4:$B1734))</f>
        <v/>
      </c>
      <c r="B1734" s="36"/>
      <c r="C1734" s="37"/>
      <c r="D1734" s="37"/>
      <c r="E1734" s="38"/>
      <c r="F1734" s="36"/>
      <c r="G1734" s="39"/>
      <c r="H1734" s="39"/>
      <c r="I1734" s="36"/>
      <c r="J1734" s="36"/>
      <c r="K1734" s="36"/>
      <c r="L1734" s="36"/>
      <c r="M1734" s="40" t="str">
        <f aca="false">IF($F1734="","",$F1734&amp;IF($G1734="",""," - RT "&amp;$G1734&amp;IF($H1734="","","/"&amp;$H1734)))</f>
        <v/>
      </c>
      <c r="N1734" s="36"/>
      <c r="O1734" s="37"/>
      <c r="P1734" s="39"/>
      <c r="Q1734" s="41"/>
      <c r="R1734" s="35" t="str">
        <f aca="true">IF(OR($B1734="",$Q1734=""),"",DATEDIF($Q1734,TODAY(),"Y"))</f>
        <v/>
      </c>
      <c r="S1734" s="40" t="str">
        <f aca="false">IF($R1734="","",INDEX(usia_label,MATCH($R1734,usia_min,1)))</f>
        <v/>
      </c>
      <c r="T1734" s="36"/>
      <c r="U1734" s="41"/>
      <c r="V1734" s="36"/>
      <c r="W1734" s="36"/>
      <c r="X1734" s="40" t="str">
        <f aca="false">IF($M1734="","",$M1734&amp;"#"&amp;COUNTIF($M$4:$M1734,$M1734))</f>
        <v/>
      </c>
      <c r="Y1734" s="40" t="str">
        <f aca="false">IF($B1734="","",IF($C1734="","NIK kosong",IF(LEN($C1734)&lt;&gt;16,"NIK bukan 16 digit",IF(COUNTIF($C$4:$C$2003,$C1734&amp;"*")&gt;1,"NIK ganda",IF(AND($D1734&lt;&gt;"",LEN($D1734)&lt;&gt;16),"No. KK bukan 16 digit",IF(AND($F1734="",$I1734=""),"Alamat kosong",IF($N1734="","Jabatan kosong",IF($O1734="","No. HP kosong",IF(AND($R1734&lt;&gt;"",$R1734&lt;17),"Usia di bawah 17","")))))))))</f>
        <v/>
      </c>
      <c r="Z1734" s="40" t="str">
        <f aca="false">IF($B1734="","",IF(AND(OR(CARI!$C$5="",ISNUMBER(SEARCH(CARI!$C$5,$B1734&amp;" "&amp;$C1734&amp;" "&amp;$D1734&amp;" "&amp;$O1734&amp;" "&amp;$I1734&amp;" "&amp;$F1734&amp;" "&amp;$J1734&amp;" "&amp;$K1734&amp;" "&amp;$L1734&amp;" "&amp;$V1734))),OR(CARI!$C$6="",$F1734=CARI!$C$6),OR(CARI!$C$7="",$G1734=CARI!$C$7),OR(CARI!$C$8="",$T1734=CARI!$C$8)),MAX($Z$3:Z1733)+1,""))</f>
        <v/>
      </c>
      <c r="AA1734" s="40" t="str">
        <f aca="false">IF($Y1734="","",MAX($AA$3:AA1733)+1)</f>
        <v/>
      </c>
      <c r="AB1734" s="40" t="str">
        <f aca="false">IF($F1734="","",$F1734&amp;"#"&amp;COUNTIF($F$4:$F1734,$F1734))</f>
        <v/>
      </c>
      <c r="AC1734" s="40" t="str">
        <f aca="false">IF($B1734="","",IF(AND(OR(CETAK!$J$10="",$F1734=CETAK!$J$10),OR(CETAK!$J$11="",$G1734=CETAK!$J$11),OR(CETAK!$J$12="",$P1734=CETAK!$J$12),OR(CETAK!$J$13="",$N1734=CETAK!$J$13),OR(CETAK!$J$14="",$T1734=CETAK!$J$14)),MAX($AC$3:AC1733)+1,""))</f>
        <v/>
      </c>
      <c r="AD1734" s="40" t="str">
        <f aca="false">IF($B1734="","",IF(AND(OR(ABSENSI!$H$10="",$F1734=ABSENSI!$H$10),OR(ABSENSI!$H$11="",$G1734=ABSENSI!$H$11),OR(ABSENSI!$H$12="",$P1734=ABSENSI!$H$12)),MAX($AD$3:AD1733)+1,""))</f>
        <v/>
      </c>
      <c r="AE1734" s="40" t="str">
        <f aca="false">IF($B1734="","",IF(AND(OR(KARTU!$K$6="",$F1734=KARTU!$K$6),OR(KARTU!$K$7="",$G1734=KARTU!$K$7),OR(KARTU!$K$8="",$P1734=KARTU!$K$8)),MAX($AE$3:AE1733)+1,""))</f>
        <v/>
      </c>
    </row>
    <row r="1735" customFormat="false" ht="15" hidden="false" customHeight="false" outlineLevel="0" collapsed="false">
      <c r="A1735" s="35" t="str">
        <f aca="false">IF($B1735="","",COUNTA($B$4:$B1735))</f>
        <v/>
      </c>
      <c r="B1735" s="36"/>
      <c r="C1735" s="37"/>
      <c r="D1735" s="37"/>
      <c r="E1735" s="38"/>
      <c r="F1735" s="36"/>
      <c r="G1735" s="39"/>
      <c r="H1735" s="39"/>
      <c r="I1735" s="36"/>
      <c r="J1735" s="36"/>
      <c r="K1735" s="36"/>
      <c r="L1735" s="36"/>
      <c r="M1735" s="40" t="str">
        <f aca="false">IF($F1735="","",$F1735&amp;IF($G1735="",""," - RT "&amp;$G1735&amp;IF($H1735="","","/"&amp;$H1735)))</f>
        <v/>
      </c>
      <c r="N1735" s="36"/>
      <c r="O1735" s="37"/>
      <c r="P1735" s="39"/>
      <c r="Q1735" s="41"/>
      <c r="R1735" s="35" t="str">
        <f aca="true">IF(OR($B1735="",$Q1735=""),"",DATEDIF($Q1735,TODAY(),"Y"))</f>
        <v/>
      </c>
      <c r="S1735" s="40" t="str">
        <f aca="false">IF($R1735="","",INDEX(usia_label,MATCH($R1735,usia_min,1)))</f>
        <v/>
      </c>
      <c r="T1735" s="36"/>
      <c r="U1735" s="41"/>
      <c r="V1735" s="36"/>
      <c r="W1735" s="36"/>
      <c r="X1735" s="40" t="str">
        <f aca="false">IF($M1735="","",$M1735&amp;"#"&amp;COUNTIF($M$4:$M1735,$M1735))</f>
        <v/>
      </c>
      <c r="Y1735" s="40" t="str">
        <f aca="false">IF($B1735="","",IF($C1735="","NIK kosong",IF(LEN($C1735)&lt;&gt;16,"NIK bukan 16 digit",IF(COUNTIF($C$4:$C$2003,$C1735&amp;"*")&gt;1,"NIK ganda",IF(AND($D1735&lt;&gt;"",LEN($D1735)&lt;&gt;16),"No. KK bukan 16 digit",IF(AND($F1735="",$I1735=""),"Alamat kosong",IF($N1735="","Jabatan kosong",IF($O1735="","No. HP kosong",IF(AND($R1735&lt;&gt;"",$R1735&lt;17),"Usia di bawah 17","")))))))))</f>
        <v/>
      </c>
      <c r="Z1735" s="40" t="str">
        <f aca="false">IF($B1735="","",IF(AND(OR(CARI!$C$5="",ISNUMBER(SEARCH(CARI!$C$5,$B1735&amp;" "&amp;$C1735&amp;" "&amp;$D1735&amp;" "&amp;$O1735&amp;" "&amp;$I1735&amp;" "&amp;$F1735&amp;" "&amp;$J1735&amp;" "&amp;$K1735&amp;" "&amp;$L1735&amp;" "&amp;$V1735))),OR(CARI!$C$6="",$F1735=CARI!$C$6),OR(CARI!$C$7="",$G1735=CARI!$C$7),OR(CARI!$C$8="",$T1735=CARI!$C$8)),MAX($Z$3:Z1734)+1,""))</f>
        <v/>
      </c>
      <c r="AA1735" s="40" t="str">
        <f aca="false">IF($Y1735="","",MAX($AA$3:AA1734)+1)</f>
        <v/>
      </c>
      <c r="AB1735" s="40" t="str">
        <f aca="false">IF($F1735="","",$F1735&amp;"#"&amp;COUNTIF($F$4:$F1735,$F1735))</f>
        <v/>
      </c>
      <c r="AC1735" s="40" t="str">
        <f aca="false">IF($B1735="","",IF(AND(OR(CETAK!$J$10="",$F1735=CETAK!$J$10),OR(CETAK!$J$11="",$G1735=CETAK!$J$11),OR(CETAK!$J$12="",$P1735=CETAK!$J$12),OR(CETAK!$J$13="",$N1735=CETAK!$J$13),OR(CETAK!$J$14="",$T1735=CETAK!$J$14)),MAX($AC$3:AC1734)+1,""))</f>
        <v/>
      </c>
      <c r="AD1735" s="40" t="str">
        <f aca="false">IF($B1735="","",IF(AND(OR(ABSENSI!$H$10="",$F1735=ABSENSI!$H$10),OR(ABSENSI!$H$11="",$G1735=ABSENSI!$H$11),OR(ABSENSI!$H$12="",$P1735=ABSENSI!$H$12)),MAX($AD$3:AD1734)+1,""))</f>
        <v/>
      </c>
      <c r="AE1735" s="40" t="str">
        <f aca="false">IF($B1735="","",IF(AND(OR(KARTU!$K$6="",$F1735=KARTU!$K$6),OR(KARTU!$K$7="",$G1735=KARTU!$K$7),OR(KARTU!$K$8="",$P1735=KARTU!$K$8)),MAX($AE$3:AE1734)+1,""))</f>
        <v/>
      </c>
    </row>
    <row r="1736" customFormat="false" ht="15" hidden="false" customHeight="false" outlineLevel="0" collapsed="false">
      <c r="A1736" s="35" t="str">
        <f aca="false">IF($B1736="","",COUNTA($B$4:$B1736))</f>
        <v/>
      </c>
      <c r="B1736" s="36"/>
      <c r="C1736" s="37"/>
      <c r="D1736" s="37"/>
      <c r="E1736" s="38"/>
      <c r="F1736" s="36"/>
      <c r="G1736" s="39"/>
      <c r="H1736" s="39"/>
      <c r="I1736" s="36"/>
      <c r="J1736" s="36"/>
      <c r="K1736" s="36"/>
      <c r="L1736" s="36"/>
      <c r="M1736" s="40" t="str">
        <f aca="false">IF($F1736="","",$F1736&amp;IF($G1736="",""," - RT "&amp;$G1736&amp;IF($H1736="","","/"&amp;$H1736)))</f>
        <v/>
      </c>
      <c r="N1736" s="36"/>
      <c r="O1736" s="37"/>
      <c r="P1736" s="39"/>
      <c r="Q1736" s="41"/>
      <c r="R1736" s="35" t="str">
        <f aca="true">IF(OR($B1736="",$Q1736=""),"",DATEDIF($Q1736,TODAY(),"Y"))</f>
        <v/>
      </c>
      <c r="S1736" s="40" t="str">
        <f aca="false">IF($R1736="","",INDEX(usia_label,MATCH($R1736,usia_min,1)))</f>
        <v/>
      </c>
      <c r="T1736" s="36"/>
      <c r="U1736" s="41"/>
      <c r="V1736" s="36"/>
      <c r="W1736" s="36"/>
      <c r="X1736" s="40" t="str">
        <f aca="false">IF($M1736="","",$M1736&amp;"#"&amp;COUNTIF($M$4:$M1736,$M1736))</f>
        <v/>
      </c>
      <c r="Y1736" s="40" t="str">
        <f aca="false">IF($B1736="","",IF($C1736="","NIK kosong",IF(LEN($C1736)&lt;&gt;16,"NIK bukan 16 digit",IF(COUNTIF($C$4:$C$2003,$C1736&amp;"*")&gt;1,"NIK ganda",IF(AND($D1736&lt;&gt;"",LEN($D1736)&lt;&gt;16),"No. KK bukan 16 digit",IF(AND($F1736="",$I1736=""),"Alamat kosong",IF($N1736="","Jabatan kosong",IF($O1736="","No. HP kosong",IF(AND($R1736&lt;&gt;"",$R1736&lt;17),"Usia di bawah 17","")))))))))</f>
        <v/>
      </c>
      <c r="Z1736" s="40" t="str">
        <f aca="false">IF($B1736="","",IF(AND(OR(CARI!$C$5="",ISNUMBER(SEARCH(CARI!$C$5,$B1736&amp;" "&amp;$C1736&amp;" "&amp;$D1736&amp;" "&amp;$O1736&amp;" "&amp;$I1736&amp;" "&amp;$F1736&amp;" "&amp;$J1736&amp;" "&amp;$K1736&amp;" "&amp;$L1736&amp;" "&amp;$V1736))),OR(CARI!$C$6="",$F1736=CARI!$C$6),OR(CARI!$C$7="",$G1736=CARI!$C$7),OR(CARI!$C$8="",$T1736=CARI!$C$8)),MAX($Z$3:Z1735)+1,""))</f>
        <v/>
      </c>
      <c r="AA1736" s="40" t="str">
        <f aca="false">IF($Y1736="","",MAX($AA$3:AA1735)+1)</f>
        <v/>
      </c>
      <c r="AB1736" s="40" t="str">
        <f aca="false">IF($F1736="","",$F1736&amp;"#"&amp;COUNTIF($F$4:$F1736,$F1736))</f>
        <v/>
      </c>
      <c r="AC1736" s="40" t="str">
        <f aca="false">IF($B1736="","",IF(AND(OR(CETAK!$J$10="",$F1736=CETAK!$J$10),OR(CETAK!$J$11="",$G1736=CETAK!$J$11),OR(CETAK!$J$12="",$P1736=CETAK!$J$12),OR(CETAK!$J$13="",$N1736=CETAK!$J$13),OR(CETAK!$J$14="",$T1736=CETAK!$J$14)),MAX($AC$3:AC1735)+1,""))</f>
        <v/>
      </c>
      <c r="AD1736" s="40" t="str">
        <f aca="false">IF($B1736="","",IF(AND(OR(ABSENSI!$H$10="",$F1736=ABSENSI!$H$10),OR(ABSENSI!$H$11="",$G1736=ABSENSI!$H$11),OR(ABSENSI!$H$12="",$P1736=ABSENSI!$H$12)),MAX($AD$3:AD1735)+1,""))</f>
        <v/>
      </c>
      <c r="AE1736" s="40" t="str">
        <f aca="false">IF($B1736="","",IF(AND(OR(KARTU!$K$6="",$F1736=KARTU!$K$6),OR(KARTU!$K$7="",$G1736=KARTU!$K$7),OR(KARTU!$K$8="",$P1736=KARTU!$K$8)),MAX($AE$3:AE1735)+1,""))</f>
        <v/>
      </c>
    </row>
    <row r="1737" customFormat="false" ht="15" hidden="false" customHeight="false" outlineLevel="0" collapsed="false">
      <c r="A1737" s="35" t="str">
        <f aca="false">IF($B1737="","",COUNTA($B$4:$B1737))</f>
        <v/>
      </c>
      <c r="B1737" s="36"/>
      <c r="C1737" s="37"/>
      <c r="D1737" s="37"/>
      <c r="E1737" s="38"/>
      <c r="F1737" s="36"/>
      <c r="G1737" s="39"/>
      <c r="H1737" s="39"/>
      <c r="I1737" s="36"/>
      <c r="J1737" s="36"/>
      <c r="K1737" s="36"/>
      <c r="L1737" s="36"/>
      <c r="M1737" s="40" t="str">
        <f aca="false">IF($F1737="","",$F1737&amp;IF($G1737="",""," - RT "&amp;$G1737&amp;IF($H1737="","","/"&amp;$H1737)))</f>
        <v/>
      </c>
      <c r="N1737" s="36"/>
      <c r="O1737" s="37"/>
      <c r="P1737" s="39"/>
      <c r="Q1737" s="41"/>
      <c r="R1737" s="35" t="str">
        <f aca="true">IF(OR($B1737="",$Q1737=""),"",DATEDIF($Q1737,TODAY(),"Y"))</f>
        <v/>
      </c>
      <c r="S1737" s="40" t="str">
        <f aca="false">IF($R1737="","",INDEX(usia_label,MATCH($R1737,usia_min,1)))</f>
        <v/>
      </c>
      <c r="T1737" s="36"/>
      <c r="U1737" s="41"/>
      <c r="V1737" s="36"/>
      <c r="W1737" s="36"/>
      <c r="X1737" s="40" t="str">
        <f aca="false">IF($M1737="","",$M1737&amp;"#"&amp;COUNTIF($M$4:$M1737,$M1737))</f>
        <v/>
      </c>
      <c r="Y1737" s="40" t="str">
        <f aca="false">IF($B1737="","",IF($C1737="","NIK kosong",IF(LEN($C1737)&lt;&gt;16,"NIK bukan 16 digit",IF(COUNTIF($C$4:$C$2003,$C1737&amp;"*")&gt;1,"NIK ganda",IF(AND($D1737&lt;&gt;"",LEN($D1737)&lt;&gt;16),"No. KK bukan 16 digit",IF(AND($F1737="",$I1737=""),"Alamat kosong",IF($N1737="","Jabatan kosong",IF($O1737="","No. HP kosong",IF(AND($R1737&lt;&gt;"",$R1737&lt;17),"Usia di bawah 17","")))))))))</f>
        <v/>
      </c>
      <c r="Z1737" s="40" t="str">
        <f aca="false">IF($B1737="","",IF(AND(OR(CARI!$C$5="",ISNUMBER(SEARCH(CARI!$C$5,$B1737&amp;" "&amp;$C1737&amp;" "&amp;$D1737&amp;" "&amp;$O1737&amp;" "&amp;$I1737&amp;" "&amp;$F1737&amp;" "&amp;$J1737&amp;" "&amp;$K1737&amp;" "&amp;$L1737&amp;" "&amp;$V1737))),OR(CARI!$C$6="",$F1737=CARI!$C$6),OR(CARI!$C$7="",$G1737=CARI!$C$7),OR(CARI!$C$8="",$T1737=CARI!$C$8)),MAX($Z$3:Z1736)+1,""))</f>
        <v/>
      </c>
      <c r="AA1737" s="40" t="str">
        <f aca="false">IF($Y1737="","",MAX($AA$3:AA1736)+1)</f>
        <v/>
      </c>
      <c r="AB1737" s="40" t="str">
        <f aca="false">IF($F1737="","",$F1737&amp;"#"&amp;COUNTIF($F$4:$F1737,$F1737))</f>
        <v/>
      </c>
      <c r="AC1737" s="40" t="str">
        <f aca="false">IF($B1737="","",IF(AND(OR(CETAK!$J$10="",$F1737=CETAK!$J$10),OR(CETAK!$J$11="",$G1737=CETAK!$J$11),OR(CETAK!$J$12="",$P1737=CETAK!$J$12),OR(CETAK!$J$13="",$N1737=CETAK!$J$13),OR(CETAK!$J$14="",$T1737=CETAK!$J$14)),MAX($AC$3:AC1736)+1,""))</f>
        <v/>
      </c>
      <c r="AD1737" s="40" t="str">
        <f aca="false">IF($B1737="","",IF(AND(OR(ABSENSI!$H$10="",$F1737=ABSENSI!$H$10),OR(ABSENSI!$H$11="",$G1737=ABSENSI!$H$11),OR(ABSENSI!$H$12="",$P1737=ABSENSI!$H$12)),MAX($AD$3:AD1736)+1,""))</f>
        <v/>
      </c>
      <c r="AE1737" s="40" t="str">
        <f aca="false">IF($B1737="","",IF(AND(OR(KARTU!$K$6="",$F1737=KARTU!$K$6),OR(KARTU!$K$7="",$G1737=KARTU!$K$7),OR(KARTU!$K$8="",$P1737=KARTU!$K$8)),MAX($AE$3:AE1736)+1,""))</f>
        <v/>
      </c>
    </row>
    <row r="1738" customFormat="false" ht="15" hidden="false" customHeight="false" outlineLevel="0" collapsed="false">
      <c r="A1738" s="35" t="str">
        <f aca="false">IF($B1738="","",COUNTA($B$4:$B1738))</f>
        <v/>
      </c>
      <c r="B1738" s="36"/>
      <c r="C1738" s="37"/>
      <c r="D1738" s="37"/>
      <c r="E1738" s="38"/>
      <c r="F1738" s="36"/>
      <c r="G1738" s="39"/>
      <c r="H1738" s="39"/>
      <c r="I1738" s="36"/>
      <c r="J1738" s="36"/>
      <c r="K1738" s="36"/>
      <c r="L1738" s="36"/>
      <c r="M1738" s="40" t="str">
        <f aca="false">IF($F1738="","",$F1738&amp;IF($G1738="",""," - RT "&amp;$G1738&amp;IF($H1738="","","/"&amp;$H1738)))</f>
        <v/>
      </c>
      <c r="N1738" s="36"/>
      <c r="O1738" s="37"/>
      <c r="P1738" s="39"/>
      <c r="Q1738" s="41"/>
      <c r="R1738" s="35" t="str">
        <f aca="true">IF(OR($B1738="",$Q1738=""),"",DATEDIF($Q1738,TODAY(),"Y"))</f>
        <v/>
      </c>
      <c r="S1738" s="40" t="str">
        <f aca="false">IF($R1738="","",INDEX(usia_label,MATCH($R1738,usia_min,1)))</f>
        <v/>
      </c>
      <c r="T1738" s="36"/>
      <c r="U1738" s="41"/>
      <c r="V1738" s="36"/>
      <c r="W1738" s="36"/>
      <c r="X1738" s="40" t="str">
        <f aca="false">IF($M1738="","",$M1738&amp;"#"&amp;COUNTIF($M$4:$M1738,$M1738))</f>
        <v/>
      </c>
      <c r="Y1738" s="40" t="str">
        <f aca="false">IF($B1738="","",IF($C1738="","NIK kosong",IF(LEN($C1738)&lt;&gt;16,"NIK bukan 16 digit",IF(COUNTIF($C$4:$C$2003,$C1738&amp;"*")&gt;1,"NIK ganda",IF(AND($D1738&lt;&gt;"",LEN($D1738)&lt;&gt;16),"No. KK bukan 16 digit",IF(AND($F1738="",$I1738=""),"Alamat kosong",IF($N1738="","Jabatan kosong",IF($O1738="","No. HP kosong",IF(AND($R1738&lt;&gt;"",$R1738&lt;17),"Usia di bawah 17","")))))))))</f>
        <v/>
      </c>
      <c r="Z1738" s="40" t="str">
        <f aca="false">IF($B1738="","",IF(AND(OR(CARI!$C$5="",ISNUMBER(SEARCH(CARI!$C$5,$B1738&amp;" "&amp;$C1738&amp;" "&amp;$D1738&amp;" "&amp;$O1738&amp;" "&amp;$I1738&amp;" "&amp;$F1738&amp;" "&amp;$J1738&amp;" "&amp;$K1738&amp;" "&amp;$L1738&amp;" "&amp;$V1738))),OR(CARI!$C$6="",$F1738=CARI!$C$6),OR(CARI!$C$7="",$G1738=CARI!$C$7),OR(CARI!$C$8="",$T1738=CARI!$C$8)),MAX($Z$3:Z1737)+1,""))</f>
        <v/>
      </c>
      <c r="AA1738" s="40" t="str">
        <f aca="false">IF($Y1738="","",MAX($AA$3:AA1737)+1)</f>
        <v/>
      </c>
      <c r="AB1738" s="40" t="str">
        <f aca="false">IF($F1738="","",$F1738&amp;"#"&amp;COUNTIF($F$4:$F1738,$F1738))</f>
        <v/>
      </c>
      <c r="AC1738" s="40" t="str">
        <f aca="false">IF($B1738="","",IF(AND(OR(CETAK!$J$10="",$F1738=CETAK!$J$10),OR(CETAK!$J$11="",$G1738=CETAK!$J$11),OR(CETAK!$J$12="",$P1738=CETAK!$J$12),OR(CETAK!$J$13="",$N1738=CETAK!$J$13),OR(CETAK!$J$14="",$T1738=CETAK!$J$14)),MAX($AC$3:AC1737)+1,""))</f>
        <v/>
      </c>
      <c r="AD1738" s="40" t="str">
        <f aca="false">IF($B1738="","",IF(AND(OR(ABSENSI!$H$10="",$F1738=ABSENSI!$H$10),OR(ABSENSI!$H$11="",$G1738=ABSENSI!$H$11),OR(ABSENSI!$H$12="",$P1738=ABSENSI!$H$12)),MAX($AD$3:AD1737)+1,""))</f>
        <v/>
      </c>
      <c r="AE1738" s="40" t="str">
        <f aca="false">IF($B1738="","",IF(AND(OR(KARTU!$K$6="",$F1738=KARTU!$K$6),OR(KARTU!$K$7="",$G1738=KARTU!$K$7),OR(KARTU!$K$8="",$P1738=KARTU!$K$8)),MAX($AE$3:AE1737)+1,""))</f>
        <v/>
      </c>
    </row>
    <row r="1739" customFormat="false" ht="15" hidden="false" customHeight="false" outlineLevel="0" collapsed="false">
      <c r="A1739" s="35" t="str">
        <f aca="false">IF($B1739="","",COUNTA($B$4:$B1739))</f>
        <v/>
      </c>
      <c r="B1739" s="36"/>
      <c r="C1739" s="37"/>
      <c r="D1739" s="37"/>
      <c r="E1739" s="38"/>
      <c r="F1739" s="36"/>
      <c r="G1739" s="39"/>
      <c r="H1739" s="39"/>
      <c r="I1739" s="36"/>
      <c r="J1739" s="36"/>
      <c r="K1739" s="36"/>
      <c r="L1739" s="36"/>
      <c r="M1739" s="40" t="str">
        <f aca="false">IF($F1739="","",$F1739&amp;IF($G1739="",""," - RT "&amp;$G1739&amp;IF($H1739="","","/"&amp;$H1739)))</f>
        <v/>
      </c>
      <c r="N1739" s="36"/>
      <c r="O1739" s="37"/>
      <c r="P1739" s="39"/>
      <c r="Q1739" s="41"/>
      <c r="R1739" s="35" t="str">
        <f aca="true">IF(OR($B1739="",$Q1739=""),"",DATEDIF($Q1739,TODAY(),"Y"))</f>
        <v/>
      </c>
      <c r="S1739" s="40" t="str">
        <f aca="false">IF($R1739="","",INDEX(usia_label,MATCH($R1739,usia_min,1)))</f>
        <v/>
      </c>
      <c r="T1739" s="36"/>
      <c r="U1739" s="41"/>
      <c r="V1739" s="36"/>
      <c r="W1739" s="36"/>
      <c r="X1739" s="40" t="str">
        <f aca="false">IF($M1739="","",$M1739&amp;"#"&amp;COUNTIF($M$4:$M1739,$M1739))</f>
        <v/>
      </c>
      <c r="Y1739" s="40" t="str">
        <f aca="false">IF($B1739="","",IF($C1739="","NIK kosong",IF(LEN($C1739)&lt;&gt;16,"NIK bukan 16 digit",IF(COUNTIF($C$4:$C$2003,$C1739&amp;"*")&gt;1,"NIK ganda",IF(AND($D1739&lt;&gt;"",LEN($D1739)&lt;&gt;16),"No. KK bukan 16 digit",IF(AND($F1739="",$I1739=""),"Alamat kosong",IF($N1739="","Jabatan kosong",IF($O1739="","No. HP kosong",IF(AND($R1739&lt;&gt;"",$R1739&lt;17),"Usia di bawah 17","")))))))))</f>
        <v/>
      </c>
      <c r="Z1739" s="40" t="str">
        <f aca="false">IF($B1739="","",IF(AND(OR(CARI!$C$5="",ISNUMBER(SEARCH(CARI!$C$5,$B1739&amp;" "&amp;$C1739&amp;" "&amp;$D1739&amp;" "&amp;$O1739&amp;" "&amp;$I1739&amp;" "&amp;$F1739&amp;" "&amp;$J1739&amp;" "&amp;$K1739&amp;" "&amp;$L1739&amp;" "&amp;$V1739))),OR(CARI!$C$6="",$F1739=CARI!$C$6),OR(CARI!$C$7="",$G1739=CARI!$C$7),OR(CARI!$C$8="",$T1739=CARI!$C$8)),MAX($Z$3:Z1738)+1,""))</f>
        <v/>
      </c>
      <c r="AA1739" s="40" t="str">
        <f aca="false">IF($Y1739="","",MAX($AA$3:AA1738)+1)</f>
        <v/>
      </c>
      <c r="AB1739" s="40" t="str">
        <f aca="false">IF($F1739="","",$F1739&amp;"#"&amp;COUNTIF($F$4:$F1739,$F1739))</f>
        <v/>
      </c>
      <c r="AC1739" s="40" t="str">
        <f aca="false">IF($B1739="","",IF(AND(OR(CETAK!$J$10="",$F1739=CETAK!$J$10),OR(CETAK!$J$11="",$G1739=CETAK!$J$11),OR(CETAK!$J$12="",$P1739=CETAK!$J$12),OR(CETAK!$J$13="",$N1739=CETAK!$J$13),OR(CETAK!$J$14="",$T1739=CETAK!$J$14)),MAX($AC$3:AC1738)+1,""))</f>
        <v/>
      </c>
      <c r="AD1739" s="40" t="str">
        <f aca="false">IF($B1739="","",IF(AND(OR(ABSENSI!$H$10="",$F1739=ABSENSI!$H$10),OR(ABSENSI!$H$11="",$G1739=ABSENSI!$H$11),OR(ABSENSI!$H$12="",$P1739=ABSENSI!$H$12)),MAX($AD$3:AD1738)+1,""))</f>
        <v/>
      </c>
      <c r="AE1739" s="40" t="str">
        <f aca="false">IF($B1739="","",IF(AND(OR(KARTU!$K$6="",$F1739=KARTU!$K$6),OR(KARTU!$K$7="",$G1739=KARTU!$K$7),OR(KARTU!$K$8="",$P1739=KARTU!$K$8)),MAX($AE$3:AE1738)+1,""))</f>
        <v/>
      </c>
    </row>
    <row r="1740" customFormat="false" ht="15" hidden="false" customHeight="false" outlineLevel="0" collapsed="false">
      <c r="A1740" s="35" t="str">
        <f aca="false">IF($B1740="","",COUNTA($B$4:$B1740))</f>
        <v/>
      </c>
      <c r="B1740" s="36"/>
      <c r="C1740" s="37"/>
      <c r="D1740" s="37"/>
      <c r="E1740" s="38"/>
      <c r="F1740" s="36"/>
      <c r="G1740" s="39"/>
      <c r="H1740" s="39"/>
      <c r="I1740" s="36"/>
      <c r="J1740" s="36"/>
      <c r="K1740" s="36"/>
      <c r="L1740" s="36"/>
      <c r="M1740" s="40" t="str">
        <f aca="false">IF($F1740="","",$F1740&amp;IF($G1740="",""," - RT "&amp;$G1740&amp;IF($H1740="","","/"&amp;$H1740)))</f>
        <v/>
      </c>
      <c r="N1740" s="36"/>
      <c r="O1740" s="37"/>
      <c r="P1740" s="39"/>
      <c r="Q1740" s="41"/>
      <c r="R1740" s="35" t="str">
        <f aca="true">IF(OR($B1740="",$Q1740=""),"",DATEDIF($Q1740,TODAY(),"Y"))</f>
        <v/>
      </c>
      <c r="S1740" s="40" t="str">
        <f aca="false">IF($R1740="","",INDEX(usia_label,MATCH($R1740,usia_min,1)))</f>
        <v/>
      </c>
      <c r="T1740" s="36"/>
      <c r="U1740" s="41"/>
      <c r="V1740" s="36"/>
      <c r="W1740" s="36"/>
      <c r="X1740" s="40" t="str">
        <f aca="false">IF($M1740="","",$M1740&amp;"#"&amp;COUNTIF($M$4:$M1740,$M1740))</f>
        <v/>
      </c>
      <c r="Y1740" s="40" t="str">
        <f aca="false">IF($B1740="","",IF($C1740="","NIK kosong",IF(LEN($C1740)&lt;&gt;16,"NIK bukan 16 digit",IF(COUNTIF($C$4:$C$2003,$C1740&amp;"*")&gt;1,"NIK ganda",IF(AND($D1740&lt;&gt;"",LEN($D1740)&lt;&gt;16),"No. KK bukan 16 digit",IF(AND($F1740="",$I1740=""),"Alamat kosong",IF($N1740="","Jabatan kosong",IF($O1740="","No. HP kosong",IF(AND($R1740&lt;&gt;"",$R1740&lt;17),"Usia di bawah 17","")))))))))</f>
        <v/>
      </c>
      <c r="Z1740" s="40" t="str">
        <f aca="false">IF($B1740="","",IF(AND(OR(CARI!$C$5="",ISNUMBER(SEARCH(CARI!$C$5,$B1740&amp;" "&amp;$C1740&amp;" "&amp;$D1740&amp;" "&amp;$O1740&amp;" "&amp;$I1740&amp;" "&amp;$F1740&amp;" "&amp;$J1740&amp;" "&amp;$K1740&amp;" "&amp;$L1740&amp;" "&amp;$V1740))),OR(CARI!$C$6="",$F1740=CARI!$C$6),OR(CARI!$C$7="",$G1740=CARI!$C$7),OR(CARI!$C$8="",$T1740=CARI!$C$8)),MAX($Z$3:Z1739)+1,""))</f>
        <v/>
      </c>
      <c r="AA1740" s="40" t="str">
        <f aca="false">IF($Y1740="","",MAX($AA$3:AA1739)+1)</f>
        <v/>
      </c>
      <c r="AB1740" s="40" t="str">
        <f aca="false">IF($F1740="","",$F1740&amp;"#"&amp;COUNTIF($F$4:$F1740,$F1740))</f>
        <v/>
      </c>
      <c r="AC1740" s="40" t="str">
        <f aca="false">IF($B1740="","",IF(AND(OR(CETAK!$J$10="",$F1740=CETAK!$J$10),OR(CETAK!$J$11="",$G1740=CETAK!$J$11),OR(CETAK!$J$12="",$P1740=CETAK!$J$12),OR(CETAK!$J$13="",$N1740=CETAK!$J$13),OR(CETAK!$J$14="",$T1740=CETAK!$J$14)),MAX($AC$3:AC1739)+1,""))</f>
        <v/>
      </c>
      <c r="AD1740" s="40" t="str">
        <f aca="false">IF($B1740="","",IF(AND(OR(ABSENSI!$H$10="",$F1740=ABSENSI!$H$10),OR(ABSENSI!$H$11="",$G1740=ABSENSI!$H$11),OR(ABSENSI!$H$12="",$P1740=ABSENSI!$H$12)),MAX($AD$3:AD1739)+1,""))</f>
        <v/>
      </c>
      <c r="AE1740" s="40" t="str">
        <f aca="false">IF($B1740="","",IF(AND(OR(KARTU!$K$6="",$F1740=KARTU!$K$6),OR(KARTU!$K$7="",$G1740=KARTU!$K$7),OR(KARTU!$K$8="",$P1740=KARTU!$K$8)),MAX($AE$3:AE1739)+1,""))</f>
        <v/>
      </c>
    </row>
    <row r="1741" customFormat="false" ht="15" hidden="false" customHeight="false" outlineLevel="0" collapsed="false">
      <c r="A1741" s="35" t="str">
        <f aca="false">IF($B1741="","",COUNTA($B$4:$B1741))</f>
        <v/>
      </c>
      <c r="B1741" s="36"/>
      <c r="C1741" s="37"/>
      <c r="D1741" s="37"/>
      <c r="E1741" s="38"/>
      <c r="F1741" s="36"/>
      <c r="G1741" s="39"/>
      <c r="H1741" s="39"/>
      <c r="I1741" s="36"/>
      <c r="J1741" s="36"/>
      <c r="K1741" s="36"/>
      <c r="L1741" s="36"/>
      <c r="M1741" s="40" t="str">
        <f aca="false">IF($F1741="","",$F1741&amp;IF($G1741="",""," - RT "&amp;$G1741&amp;IF($H1741="","","/"&amp;$H1741)))</f>
        <v/>
      </c>
      <c r="N1741" s="36"/>
      <c r="O1741" s="37"/>
      <c r="P1741" s="39"/>
      <c r="Q1741" s="41"/>
      <c r="R1741" s="35" t="str">
        <f aca="true">IF(OR($B1741="",$Q1741=""),"",DATEDIF($Q1741,TODAY(),"Y"))</f>
        <v/>
      </c>
      <c r="S1741" s="40" t="str">
        <f aca="false">IF($R1741="","",INDEX(usia_label,MATCH($R1741,usia_min,1)))</f>
        <v/>
      </c>
      <c r="T1741" s="36"/>
      <c r="U1741" s="41"/>
      <c r="V1741" s="36"/>
      <c r="W1741" s="36"/>
      <c r="X1741" s="40" t="str">
        <f aca="false">IF($M1741="","",$M1741&amp;"#"&amp;COUNTIF($M$4:$M1741,$M1741))</f>
        <v/>
      </c>
      <c r="Y1741" s="40" t="str">
        <f aca="false">IF($B1741="","",IF($C1741="","NIK kosong",IF(LEN($C1741)&lt;&gt;16,"NIK bukan 16 digit",IF(COUNTIF($C$4:$C$2003,$C1741&amp;"*")&gt;1,"NIK ganda",IF(AND($D1741&lt;&gt;"",LEN($D1741)&lt;&gt;16),"No. KK bukan 16 digit",IF(AND($F1741="",$I1741=""),"Alamat kosong",IF($N1741="","Jabatan kosong",IF($O1741="","No. HP kosong",IF(AND($R1741&lt;&gt;"",$R1741&lt;17),"Usia di bawah 17","")))))))))</f>
        <v/>
      </c>
      <c r="Z1741" s="40" t="str">
        <f aca="false">IF($B1741="","",IF(AND(OR(CARI!$C$5="",ISNUMBER(SEARCH(CARI!$C$5,$B1741&amp;" "&amp;$C1741&amp;" "&amp;$D1741&amp;" "&amp;$O1741&amp;" "&amp;$I1741&amp;" "&amp;$F1741&amp;" "&amp;$J1741&amp;" "&amp;$K1741&amp;" "&amp;$L1741&amp;" "&amp;$V1741))),OR(CARI!$C$6="",$F1741=CARI!$C$6),OR(CARI!$C$7="",$G1741=CARI!$C$7),OR(CARI!$C$8="",$T1741=CARI!$C$8)),MAX($Z$3:Z1740)+1,""))</f>
        <v/>
      </c>
      <c r="AA1741" s="40" t="str">
        <f aca="false">IF($Y1741="","",MAX($AA$3:AA1740)+1)</f>
        <v/>
      </c>
      <c r="AB1741" s="40" t="str">
        <f aca="false">IF($F1741="","",$F1741&amp;"#"&amp;COUNTIF($F$4:$F1741,$F1741))</f>
        <v/>
      </c>
      <c r="AC1741" s="40" t="str">
        <f aca="false">IF($B1741="","",IF(AND(OR(CETAK!$J$10="",$F1741=CETAK!$J$10),OR(CETAK!$J$11="",$G1741=CETAK!$J$11),OR(CETAK!$J$12="",$P1741=CETAK!$J$12),OR(CETAK!$J$13="",$N1741=CETAK!$J$13),OR(CETAK!$J$14="",$T1741=CETAK!$J$14)),MAX($AC$3:AC1740)+1,""))</f>
        <v/>
      </c>
      <c r="AD1741" s="40" t="str">
        <f aca="false">IF($B1741="","",IF(AND(OR(ABSENSI!$H$10="",$F1741=ABSENSI!$H$10),OR(ABSENSI!$H$11="",$G1741=ABSENSI!$H$11),OR(ABSENSI!$H$12="",$P1741=ABSENSI!$H$12)),MAX($AD$3:AD1740)+1,""))</f>
        <v/>
      </c>
      <c r="AE1741" s="40" t="str">
        <f aca="false">IF($B1741="","",IF(AND(OR(KARTU!$K$6="",$F1741=KARTU!$K$6),OR(KARTU!$K$7="",$G1741=KARTU!$K$7),OR(KARTU!$K$8="",$P1741=KARTU!$K$8)),MAX($AE$3:AE1740)+1,""))</f>
        <v/>
      </c>
    </row>
    <row r="1742" customFormat="false" ht="15" hidden="false" customHeight="false" outlineLevel="0" collapsed="false">
      <c r="A1742" s="35" t="str">
        <f aca="false">IF($B1742="","",COUNTA($B$4:$B1742))</f>
        <v/>
      </c>
      <c r="B1742" s="36"/>
      <c r="C1742" s="37"/>
      <c r="D1742" s="37"/>
      <c r="E1742" s="38"/>
      <c r="F1742" s="36"/>
      <c r="G1742" s="39"/>
      <c r="H1742" s="39"/>
      <c r="I1742" s="36"/>
      <c r="J1742" s="36"/>
      <c r="K1742" s="36"/>
      <c r="L1742" s="36"/>
      <c r="M1742" s="40" t="str">
        <f aca="false">IF($F1742="","",$F1742&amp;IF($G1742="",""," - RT "&amp;$G1742&amp;IF($H1742="","","/"&amp;$H1742)))</f>
        <v/>
      </c>
      <c r="N1742" s="36"/>
      <c r="O1742" s="37"/>
      <c r="P1742" s="39"/>
      <c r="Q1742" s="41"/>
      <c r="R1742" s="35" t="str">
        <f aca="true">IF(OR($B1742="",$Q1742=""),"",DATEDIF($Q1742,TODAY(),"Y"))</f>
        <v/>
      </c>
      <c r="S1742" s="40" t="str">
        <f aca="false">IF($R1742="","",INDEX(usia_label,MATCH($R1742,usia_min,1)))</f>
        <v/>
      </c>
      <c r="T1742" s="36"/>
      <c r="U1742" s="41"/>
      <c r="V1742" s="36"/>
      <c r="W1742" s="36"/>
      <c r="X1742" s="40" t="str">
        <f aca="false">IF($M1742="","",$M1742&amp;"#"&amp;COUNTIF($M$4:$M1742,$M1742))</f>
        <v/>
      </c>
      <c r="Y1742" s="40" t="str">
        <f aca="false">IF($B1742="","",IF($C1742="","NIK kosong",IF(LEN($C1742)&lt;&gt;16,"NIK bukan 16 digit",IF(COUNTIF($C$4:$C$2003,$C1742&amp;"*")&gt;1,"NIK ganda",IF(AND($D1742&lt;&gt;"",LEN($D1742)&lt;&gt;16),"No. KK bukan 16 digit",IF(AND($F1742="",$I1742=""),"Alamat kosong",IF($N1742="","Jabatan kosong",IF($O1742="","No. HP kosong",IF(AND($R1742&lt;&gt;"",$R1742&lt;17),"Usia di bawah 17","")))))))))</f>
        <v/>
      </c>
      <c r="Z1742" s="40" t="str">
        <f aca="false">IF($B1742="","",IF(AND(OR(CARI!$C$5="",ISNUMBER(SEARCH(CARI!$C$5,$B1742&amp;" "&amp;$C1742&amp;" "&amp;$D1742&amp;" "&amp;$O1742&amp;" "&amp;$I1742&amp;" "&amp;$F1742&amp;" "&amp;$J1742&amp;" "&amp;$K1742&amp;" "&amp;$L1742&amp;" "&amp;$V1742))),OR(CARI!$C$6="",$F1742=CARI!$C$6),OR(CARI!$C$7="",$G1742=CARI!$C$7),OR(CARI!$C$8="",$T1742=CARI!$C$8)),MAX($Z$3:Z1741)+1,""))</f>
        <v/>
      </c>
      <c r="AA1742" s="40" t="str">
        <f aca="false">IF($Y1742="","",MAX($AA$3:AA1741)+1)</f>
        <v/>
      </c>
      <c r="AB1742" s="40" t="str">
        <f aca="false">IF($F1742="","",$F1742&amp;"#"&amp;COUNTIF($F$4:$F1742,$F1742))</f>
        <v/>
      </c>
      <c r="AC1742" s="40" t="str">
        <f aca="false">IF($B1742="","",IF(AND(OR(CETAK!$J$10="",$F1742=CETAK!$J$10),OR(CETAK!$J$11="",$G1742=CETAK!$J$11),OR(CETAK!$J$12="",$P1742=CETAK!$J$12),OR(CETAK!$J$13="",$N1742=CETAK!$J$13),OR(CETAK!$J$14="",$T1742=CETAK!$J$14)),MAX($AC$3:AC1741)+1,""))</f>
        <v/>
      </c>
      <c r="AD1742" s="40" t="str">
        <f aca="false">IF($B1742="","",IF(AND(OR(ABSENSI!$H$10="",$F1742=ABSENSI!$H$10),OR(ABSENSI!$H$11="",$G1742=ABSENSI!$H$11),OR(ABSENSI!$H$12="",$P1742=ABSENSI!$H$12)),MAX($AD$3:AD1741)+1,""))</f>
        <v/>
      </c>
      <c r="AE1742" s="40" t="str">
        <f aca="false">IF($B1742="","",IF(AND(OR(KARTU!$K$6="",$F1742=KARTU!$K$6),OR(KARTU!$K$7="",$G1742=KARTU!$K$7),OR(KARTU!$K$8="",$P1742=KARTU!$K$8)),MAX($AE$3:AE1741)+1,""))</f>
        <v/>
      </c>
    </row>
    <row r="1743" customFormat="false" ht="15" hidden="false" customHeight="false" outlineLevel="0" collapsed="false">
      <c r="A1743" s="35" t="str">
        <f aca="false">IF($B1743="","",COUNTA($B$4:$B1743))</f>
        <v/>
      </c>
      <c r="B1743" s="36"/>
      <c r="C1743" s="37"/>
      <c r="D1743" s="37"/>
      <c r="E1743" s="38"/>
      <c r="F1743" s="36"/>
      <c r="G1743" s="39"/>
      <c r="H1743" s="39"/>
      <c r="I1743" s="36"/>
      <c r="J1743" s="36"/>
      <c r="K1743" s="36"/>
      <c r="L1743" s="36"/>
      <c r="M1743" s="40" t="str">
        <f aca="false">IF($F1743="","",$F1743&amp;IF($G1743="",""," - RT "&amp;$G1743&amp;IF($H1743="","","/"&amp;$H1743)))</f>
        <v/>
      </c>
      <c r="N1743" s="36"/>
      <c r="O1743" s="37"/>
      <c r="P1743" s="39"/>
      <c r="Q1743" s="41"/>
      <c r="R1743" s="35" t="str">
        <f aca="true">IF(OR($B1743="",$Q1743=""),"",DATEDIF($Q1743,TODAY(),"Y"))</f>
        <v/>
      </c>
      <c r="S1743" s="40" t="str">
        <f aca="false">IF($R1743="","",INDEX(usia_label,MATCH($R1743,usia_min,1)))</f>
        <v/>
      </c>
      <c r="T1743" s="36"/>
      <c r="U1743" s="41"/>
      <c r="V1743" s="36"/>
      <c r="W1743" s="36"/>
      <c r="X1743" s="40" t="str">
        <f aca="false">IF($M1743="","",$M1743&amp;"#"&amp;COUNTIF($M$4:$M1743,$M1743))</f>
        <v/>
      </c>
      <c r="Y1743" s="40" t="str">
        <f aca="false">IF($B1743="","",IF($C1743="","NIK kosong",IF(LEN($C1743)&lt;&gt;16,"NIK bukan 16 digit",IF(COUNTIF($C$4:$C$2003,$C1743&amp;"*")&gt;1,"NIK ganda",IF(AND($D1743&lt;&gt;"",LEN($D1743)&lt;&gt;16),"No. KK bukan 16 digit",IF(AND($F1743="",$I1743=""),"Alamat kosong",IF($N1743="","Jabatan kosong",IF($O1743="","No. HP kosong",IF(AND($R1743&lt;&gt;"",$R1743&lt;17),"Usia di bawah 17","")))))))))</f>
        <v/>
      </c>
      <c r="Z1743" s="40" t="str">
        <f aca="false">IF($B1743="","",IF(AND(OR(CARI!$C$5="",ISNUMBER(SEARCH(CARI!$C$5,$B1743&amp;" "&amp;$C1743&amp;" "&amp;$D1743&amp;" "&amp;$O1743&amp;" "&amp;$I1743&amp;" "&amp;$F1743&amp;" "&amp;$J1743&amp;" "&amp;$K1743&amp;" "&amp;$L1743&amp;" "&amp;$V1743))),OR(CARI!$C$6="",$F1743=CARI!$C$6),OR(CARI!$C$7="",$G1743=CARI!$C$7),OR(CARI!$C$8="",$T1743=CARI!$C$8)),MAX($Z$3:Z1742)+1,""))</f>
        <v/>
      </c>
      <c r="AA1743" s="40" t="str">
        <f aca="false">IF($Y1743="","",MAX($AA$3:AA1742)+1)</f>
        <v/>
      </c>
      <c r="AB1743" s="40" t="str">
        <f aca="false">IF($F1743="","",$F1743&amp;"#"&amp;COUNTIF($F$4:$F1743,$F1743))</f>
        <v/>
      </c>
      <c r="AC1743" s="40" t="str">
        <f aca="false">IF($B1743="","",IF(AND(OR(CETAK!$J$10="",$F1743=CETAK!$J$10),OR(CETAK!$J$11="",$G1743=CETAK!$J$11),OR(CETAK!$J$12="",$P1743=CETAK!$J$12),OR(CETAK!$J$13="",$N1743=CETAK!$J$13),OR(CETAK!$J$14="",$T1743=CETAK!$J$14)),MAX($AC$3:AC1742)+1,""))</f>
        <v/>
      </c>
      <c r="AD1743" s="40" t="str">
        <f aca="false">IF($B1743="","",IF(AND(OR(ABSENSI!$H$10="",$F1743=ABSENSI!$H$10),OR(ABSENSI!$H$11="",$G1743=ABSENSI!$H$11),OR(ABSENSI!$H$12="",$P1743=ABSENSI!$H$12)),MAX($AD$3:AD1742)+1,""))</f>
        <v/>
      </c>
      <c r="AE1743" s="40" t="str">
        <f aca="false">IF($B1743="","",IF(AND(OR(KARTU!$K$6="",$F1743=KARTU!$K$6),OR(KARTU!$K$7="",$G1743=KARTU!$K$7),OR(KARTU!$K$8="",$P1743=KARTU!$K$8)),MAX($AE$3:AE1742)+1,""))</f>
        <v/>
      </c>
    </row>
    <row r="1744" customFormat="false" ht="15" hidden="false" customHeight="false" outlineLevel="0" collapsed="false">
      <c r="A1744" s="35" t="str">
        <f aca="false">IF($B1744="","",COUNTA($B$4:$B1744))</f>
        <v/>
      </c>
      <c r="B1744" s="36"/>
      <c r="C1744" s="37"/>
      <c r="D1744" s="37"/>
      <c r="E1744" s="38"/>
      <c r="F1744" s="36"/>
      <c r="G1744" s="39"/>
      <c r="H1744" s="39"/>
      <c r="I1744" s="36"/>
      <c r="J1744" s="36"/>
      <c r="K1744" s="36"/>
      <c r="L1744" s="36"/>
      <c r="M1744" s="40" t="str">
        <f aca="false">IF($F1744="","",$F1744&amp;IF($G1744="",""," - RT "&amp;$G1744&amp;IF($H1744="","","/"&amp;$H1744)))</f>
        <v/>
      </c>
      <c r="N1744" s="36"/>
      <c r="O1744" s="37"/>
      <c r="P1744" s="39"/>
      <c r="Q1744" s="41"/>
      <c r="R1744" s="35" t="str">
        <f aca="true">IF(OR($B1744="",$Q1744=""),"",DATEDIF($Q1744,TODAY(),"Y"))</f>
        <v/>
      </c>
      <c r="S1744" s="40" t="str">
        <f aca="false">IF($R1744="","",INDEX(usia_label,MATCH($R1744,usia_min,1)))</f>
        <v/>
      </c>
      <c r="T1744" s="36"/>
      <c r="U1744" s="41"/>
      <c r="V1744" s="36"/>
      <c r="W1744" s="36"/>
      <c r="X1744" s="40" t="str">
        <f aca="false">IF($M1744="","",$M1744&amp;"#"&amp;COUNTIF($M$4:$M1744,$M1744))</f>
        <v/>
      </c>
      <c r="Y1744" s="40" t="str">
        <f aca="false">IF($B1744="","",IF($C1744="","NIK kosong",IF(LEN($C1744)&lt;&gt;16,"NIK bukan 16 digit",IF(COUNTIF($C$4:$C$2003,$C1744&amp;"*")&gt;1,"NIK ganda",IF(AND($D1744&lt;&gt;"",LEN($D1744)&lt;&gt;16),"No. KK bukan 16 digit",IF(AND($F1744="",$I1744=""),"Alamat kosong",IF($N1744="","Jabatan kosong",IF($O1744="","No. HP kosong",IF(AND($R1744&lt;&gt;"",$R1744&lt;17),"Usia di bawah 17","")))))))))</f>
        <v/>
      </c>
      <c r="Z1744" s="40" t="str">
        <f aca="false">IF($B1744="","",IF(AND(OR(CARI!$C$5="",ISNUMBER(SEARCH(CARI!$C$5,$B1744&amp;" "&amp;$C1744&amp;" "&amp;$D1744&amp;" "&amp;$O1744&amp;" "&amp;$I1744&amp;" "&amp;$F1744&amp;" "&amp;$J1744&amp;" "&amp;$K1744&amp;" "&amp;$L1744&amp;" "&amp;$V1744))),OR(CARI!$C$6="",$F1744=CARI!$C$6),OR(CARI!$C$7="",$G1744=CARI!$C$7),OR(CARI!$C$8="",$T1744=CARI!$C$8)),MAX($Z$3:Z1743)+1,""))</f>
        <v/>
      </c>
      <c r="AA1744" s="40" t="str">
        <f aca="false">IF($Y1744="","",MAX($AA$3:AA1743)+1)</f>
        <v/>
      </c>
      <c r="AB1744" s="40" t="str">
        <f aca="false">IF($F1744="","",$F1744&amp;"#"&amp;COUNTIF($F$4:$F1744,$F1744))</f>
        <v/>
      </c>
      <c r="AC1744" s="40" t="str">
        <f aca="false">IF($B1744="","",IF(AND(OR(CETAK!$J$10="",$F1744=CETAK!$J$10),OR(CETAK!$J$11="",$G1744=CETAK!$J$11),OR(CETAK!$J$12="",$P1744=CETAK!$J$12),OR(CETAK!$J$13="",$N1744=CETAK!$J$13),OR(CETAK!$J$14="",$T1744=CETAK!$J$14)),MAX($AC$3:AC1743)+1,""))</f>
        <v/>
      </c>
      <c r="AD1744" s="40" t="str">
        <f aca="false">IF($B1744="","",IF(AND(OR(ABSENSI!$H$10="",$F1744=ABSENSI!$H$10),OR(ABSENSI!$H$11="",$G1744=ABSENSI!$H$11),OR(ABSENSI!$H$12="",$P1744=ABSENSI!$H$12)),MAX($AD$3:AD1743)+1,""))</f>
        <v/>
      </c>
      <c r="AE1744" s="40" t="str">
        <f aca="false">IF($B1744="","",IF(AND(OR(KARTU!$K$6="",$F1744=KARTU!$K$6),OR(KARTU!$K$7="",$G1744=KARTU!$K$7),OR(KARTU!$K$8="",$P1744=KARTU!$K$8)),MAX($AE$3:AE1743)+1,""))</f>
        <v/>
      </c>
    </row>
    <row r="1745" customFormat="false" ht="15" hidden="false" customHeight="false" outlineLevel="0" collapsed="false">
      <c r="A1745" s="35" t="str">
        <f aca="false">IF($B1745="","",COUNTA($B$4:$B1745))</f>
        <v/>
      </c>
      <c r="B1745" s="36"/>
      <c r="C1745" s="37"/>
      <c r="D1745" s="37"/>
      <c r="E1745" s="38"/>
      <c r="F1745" s="36"/>
      <c r="G1745" s="39"/>
      <c r="H1745" s="39"/>
      <c r="I1745" s="36"/>
      <c r="J1745" s="36"/>
      <c r="K1745" s="36"/>
      <c r="L1745" s="36"/>
      <c r="M1745" s="40" t="str">
        <f aca="false">IF($F1745="","",$F1745&amp;IF($G1745="",""," - RT "&amp;$G1745&amp;IF($H1745="","","/"&amp;$H1745)))</f>
        <v/>
      </c>
      <c r="N1745" s="36"/>
      <c r="O1745" s="37"/>
      <c r="P1745" s="39"/>
      <c r="Q1745" s="41"/>
      <c r="R1745" s="35" t="str">
        <f aca="true">IF(OR($B1745="",$Q1745=""),"",DATEDIF($Q1745,TODAY(),"Y"))</f>
        <v/>
      </c>
      <c r="S1745" s="40" t="str">
        <f aca="false">IF($R1745="","",INDEX(usia_label,MATCH($R1745,usia_min,1)))</f>
        <v/>
      </c>
      <c r="T1745" s="36"/>
      <c r="U1745" s="41"/>
      <c r="V1745" s="36"/>
      <c r="W1745" s="36"/>
      <c r="X1745" s="40" t="str">
        <f aca="false">IF($M1745="","",$M1745&amp;"#"&amp;COUNTIF($M$4:$M1745,$M1745))</f>
        <v/>
      </c>
      <c r="Y1745" s="40" t="str">
        <f aca="false">IF($B1745="","",IF($C1745="","NIK kosong",IF(LEN($C1745)&lt;&gt;16,"NIK bukan 16 digit",IF(COUNTIF($C$4:$C$2003,$C1745&amp;"*")&gt;1,"NIK ganda",IF(AND($D1745&lt;&gt;"",LEN($D1745)&lt;&gt;16),"No. KK bukan 16 digit",IF(AND($F1745="",$I1745=""),"Alamat kosong",IF($N1745="","Jabatan kosong",IF($O1745="","No. HP kosong",IF(AND($R1745&lt;&gt;"",$R1745&lt;17),"Usia di bawah 17","")))))))))</f>
        <v/>
      </c>
      <c r="Z1745" s="40" t="str">
        <f aca="false">IF($B1745="","",IF(AND(OR(CARI!$C$5="",ISNUMBER(SEARCH(CARI!$C$5,$B1745&amp;" "&amp;$C1745&amp;" "&amp;$D1745&amp;" "&amp;$O1745&amp;" "&amp;$I1745&amp;" "&amp;$F1745&amp;" "&amp;$J1745&amp;" "&amp;$K1745&amp;" "&amp;$L1745&amp;" "&amp;$V1745))),OR(CARI!$C$6="",$F1745=CARI!$C$6),OR(CARI!$C$7="",$G1745=CARI!$C$7),OR(CARI!$C$8="",$T1745=CARI!$C$8)),MAX($Z$3:Z1744)+1,""))</f>
        <v/>
      </c>
      <c r="AA1745" s="40" t="str">
        <f aca="false">IF($Y1745="","",MAX($AA$3:AA1744)+1)</f>
        <v/>
      </c>
      <c r="AB1745" s="40" t="str">
        <f aca="false">IF($F1745="","",$F1745&amp;"#"&amp;COUNTIF($F$4:$F1745,$F1745))</f>
        <v/>
      </c>
      <c r="AC1745" s="40" t="str">
        <f aca="false">IF($B1745="","",IF(AND(OR(CETAK!$J$10="",$F1745=CETAK!$J$10),OR(CETAK!$J$11="",$G1745=CETAK!$J$11),OR(CETAK!$J$12="",$P1745=CETAK!$J$12),OR(CETAK!$J$13="",$N1745=CETAK!$J$13),OR(CETAK!$J$14="",$T1745=CETAK!$J$14)),MAX($AC$3:AC1744)+1,""))</f>
        <v/>
      </c>
      <c r="AD1745" s="40" t="str">
        <f aca="false">IF($B1745="","",IF(AND(OR(ABSENSI!$H$10="",$F1745=ABSENSI!$H$10),OR(ABSENSI!$H$11="",$G1745=ABSENSI!$H$11),OR(ABSENSI!$H$12="",$P1745=ABSENSI!$H$12)),MAX($AD$3:AD1744)+1,""))</f>
        <v/>
      </c>
      <c r="AE1745" s="40" t="str">
        <f aca="false">IF($B1745="","",IF(AND(OR(KARTU!$K$6="",$F1745=KARTU!$K$6),OR(KARTU!$K$7="",$G1745=KARTU!$K$7),OR(KARTU!$K$8="",$P1745=KARTU!$K$8)),MAX($AE$3:AE1744)+1,""))</f>
        <v/>
      </c>
    </row>
    <row r="1746" customFormat="false" ht="15" hidden="false" customHeight="false" outlineLevel="0" collapsed="false">
      <c r="A1746" s="35" t="str">
        <f aca="false">IF($B1746="","",COUNTA($B$4:$B1746))</f>
        <v/>
      </c>
      <c r="B1746" s="36"/>
      <c r="C1746" s="37"/>
      <c r="D1746" s="37"/>
      <c r="E1746" s="38"/>
      <c r="F1746" s="36"/>
      <c r="G1746" s="39"/>
      <c r="H1746" s="39"/>
      <c r="I1746" s="36"/>
      <c r="J1746" s="36"/>
      <c r="K1746" s="36"/>
      <c r="L1746" s="36"/>
      <c r="M1746" s="40" t="str">
        <f aca="false">IF($F1746="","",$F1746&amp;IF($G1746="",""," - RT "&amp;$G1746&amp;IF($H1746="","","/"&amp;$H1746)))</f>
        <v/>
      </c>
      <c r="N1746" s="36"/>
      <c r="O1746" s="37"/>
      <c r="P1746" s="39"/>
      <c r="Q1746" s="41"/>
      <c r="R1746" s="35" t="str">
        <f aca="true">IF(OR($B1746="",$Q1746=""),"",DATEDIF($Q1746,TODAY(),"Y"))</f>
        <v/>
      </c>
      <c r="S1746" s="40" t="str">
        <f aca="false">IF($R1746="","",INDEX(usia_label,MATCH($R1746,usia_min,1)))</f>
        <v/>
      </c>
      <c r="T1746" s="36"/>
      <c r="U1746" s="41"/>
      <c r="V1746" s="36"/>
      <c r="W1746" s="36"/>
      <c r="X1746" s="40" t="str">
        <f aca="false">IF($M1746="","",$M1746&amp;"#"&amp;COUNTIF($M$4:$M1746,$M1746))</f>
        <v/>
      </c>
      <c r="Y1746" s="40" t="str">
        <f aca="false">IF($B1746="","",IF($C1746="","NIK kosong",IF(LEN($C1746)&lt;&gt;16,"NIK bukan 16 digit",IF(COUNTIF($C$4:$C$2003,$C1746&amp;"*")&gt;1,"NIK ganda",IF(AND($D1746&lt;&gt;"",LEN($D1746)&lt;&gt;16),"No. KK bukan 16 digit",IF(AND($F1746="",$I1746=""),"Alamat kosong",IF($N1746="","Jabatan kosong",IF($O1746="","No. HP kosong",IF(AND($R1746&lt;&gt;"",$R1746&lt;17),"Usia di bawah 17","")))))))))</f>
        <v/>
      </c>
      <c r="Z1746" s="40" t="str">
        <f aca="false">IF($B1746="","",IF(AND(OR(CARI!$C$5="",ISNUMBER(SEARCH(CARI!$C$5,$B1746&amp;" "&amp;$C1746&amp;" "&amp;$D1746&amp;" "&amp;$O1746&amp;" "&amp;$I1746&amp;" "&amp;$F1746&amp;" "&amp;$J1746&amp;" "&amp;$K1746&amp;" "&amp;$L1746&amp;" "&amp;$V1746))),OR(CARI!$C$6="",$F1746=CARI!$C$6),OR(CARI!$C$7="",$G1746=CARI!$C$7),OR(CARI!$C$8="",$T1746=CARI!$C$8)),MAX($Z$3:Z1745)+1,""))</f>
        <v/>
      </c>
      <c r="AA1746" s="40" t="str">
        <f aca="false">IF($Y1746="","",MAX($AA$3:AA1745)+1)</f>
        <v/>
      </c>
      <c r="AB1746" s="40" t="str">
        <f aca="false">IF($F1746="","",$F1746&amp;"#"&amp;COUNTIF($F$4:$F1746,$F1746))</f>
        <v/>
      </c>
      <c r="AC1746" s="40" t="str">
        <f aca="false">IF($B1746="","",IF(AND(OR(CETAK!$J$10="",$F1746=CETAK!$J$10),OR(CETAK!$J$11="",$G1746=CETAK!$J$11),OR(CETAK!$J$12="",$P1746=CETAK!$J$12),OR(CETAK!$J$13="",$N1746=CETAK!$J$13),OR(CETAK!$J$14="",$T1746=CETAK!$J$14)),MAX($AC$3:AC1745)+1,""))</f>
        <v/>
      </c>
      <c r="AD1746" s="40" t="str">
        <f aca="false">IF($B1746="","",IF(AND(OR(ABSENSI!$H$10="",$F1746=ABSENSI!$H$10),OR(ABSENSI!$H$11="",$G1746=ABSENSI!$H$11),OR(ABSENSI!$H$12="",$P1746=ABSENSI!$H$12)),MAX($AD$3:AD1745)+1,""))</f>
        <v/>
      </c>
      <c r="AE1746" s="40" t="str">
        <f aca="false">IF($B1746="","",IF(AND(OR(KARTU!$K$6="",$F1746=KARTU!$K$6),OR(KARTU!$K$7="",$G1746=KARTU!$K$7),OR(KARTU!$K$8="",$P1746=KARTU!$K$8)),MAX($AE$3:AE1745)+1,""))</f>
        <v/>
      </c>
    </row>
    <row r="1747" customFormat="false" ht="15" hidden="false" customHeight="false" outlineLevel="0" collapsed="false">
      <c r="A1747" s="35" t="str">
        <f aca="false">IF($B1747="","",COUNTA($B$4:$B1747))</f>
        <v/>
      </c>
      <c r="B1747" s="36"/>
      <c r="C1747" s="37"/>
      <c r="D1747" s="37"/>
      <c r="E1747" s="38"/>
      <c r="F1747" s="36"/>
      <c r="G1747" s="39"/>
      <c r="H1747" s="39"/>
      <c r="I1747" s="36"/>
      <c r="J1747" s="36"/>
      <c r="K1747" s="36"/>
      <c r="L1747" s="36"/>
      <c r="M1747" s="40" t="str">
        <f aca="false">IF($F1747="","",$F1747&amp;IF($G1747="",""," - RT "&amp;$G1747&amp;IF($H1747="","","/"&amp;$H1747)))</f>
        <v/>
      </c>
      <c r="N1747" s="36"/>
      <c r="O1747" s="37"/>
      <c r="P1747" s="39"/>
      <c r="Q1747" s="41"/>
      <c r="R1747" s="35" t="str">
        <f aca="true">IF(OR($B1747="",$Q1747=""),"",DATEDIF($Q1747,TODAY(),"Y"))</f>
        <v/>
      </c>
      <c r="S1747" s="40" t="str">
        <f aca="false">IF($R1747="","",INDEX(usia_label,MATCH($R1747,usia_min,1)))</f>
        <v/>
      </c>
      <c r="T1747" s="36"/>
      <c r="U1747" s="41"/>
      <c r="V1747" s="36"/>
      <c r="W1747" s="36"/>
      <c r="X1747" s="40" t="str">
        <f aca="false">IF($M1747="","",$M1747&amp;"#"&amp;COUNTIF($M$4:$M1747,$M1747))</f>
        <v/>
      </c>
      <c r="Y1747" s="40" t="str">
        <f aca="false">IF($B1747="","",IF($C1747="","NIK kosong",IF(LEN($C1747)&lt;&gt;16,"NIK bukan 16 digit",IF(COUNTIF($C$4:$C$2003,$C1747&amp;"*")&gt;1,"NIK ganda",IF(AND($D1747&lt;&gt;"",LEN($D1747)&lt;&gt;16),"No. KK bukan 16 digit",IF(AND($F1747="",$I1747=""),"Alamat kosong",IF($N1747="","Jabatan kosong",IF($O1747="","No. HP kosong",IF(AND($R1747&lt;&gt;"",$R1747&lt;17),"Usia di bawah 17","")))))))))</f>
        <v/>
      </c>
      <c r="Z1747" s="40" t="str">
        <f aca="false">IF($B1747="","",IF(AND(OR(CARI!$C$5="",ISNUMBER(SEARCH(CARI!$C$5,$B1747&amp;" "&amp;$C1747&amp;" "&amp;$D1747&amp;" "&amp;$O1747&amp;" "&amp;$I1747&amp;" "&amp;$F1747&amp;" "&amp;$J1747&amp;" "&amp;$K1747&amp;" "&amp;$L1747&amp;" "&amp;$V1747))),OR(CARI!$C$6="",$F1747=CARI!$C$6),OR(CARI!$C$7="",$G1747=CARI!$C$7),OR(CARI!$C$8="",$T1747=CARI!$C$8)),MAX($Z$3:Z1746)+1,""))</f>
        <v/>
      </c>
      <c r="AA1747" s="40" t="str">
        <f aca="false">IF($Y1747="","",MAX($AA$3:AA1746)+1)</f>
        <v/>
      </c>
      <c r="AB1747" s="40" t="str">
        <f aca="false">IF($F1747="","",$F1747&amp;"#"&amp;COUNTIF($F$4:$F1747,$F1747))</f>
        <v/>
      </c>
      <c r="AC1747" s="40" t="str">
        <f aca="false">IF($B1747="","",IF(AND(OR(CETAK!$J$10="",$F1747=CETAK!$J$10),OR(CETAK!$J$11="",$G1747=CETAK!$J$11),OR(CETAK!$J$12="",$P1747=CETAK!$J$12),OR(CETAK!$J$13="",$N1747=CETAK!$J$13),OR(CETAK!$J$14="",$T1747=CETAK!$J$14)),MAX($AC$3:AC1746)+1,""))</f>
        <v/>
      </c>
      <c r="AD1747" s="40" t="str">
        <f aca="false">IF($B1747="","",IF(AND(OR(ABSENSI!$H$10="",$F1747=ABSENSI!$H$10),OR(ABSENSI!$H$11="",$G1747=ABSENSI!$H$11),OR(ABSENSI!$H$12="",$P1747=ABSENSI!$H$12)),MAX($AD$3:AD1746)+1,""))</f>
        <v/>
      </c>
      <c r="AE1747" s="40" t="str">
        <f aca="false">IF($B1747="","",IF(AND(OR(KARTU!$K$6="",$F1747=KARTU!$K$6),OR(KARTU!$K$7="",$G1747=KARTU!$K$7),OR(KARTU!$K$8="",$P1747=KARTU!$K$8)),MAX($AE$3:AE1746)+1,""))</f>
        <v/>
      </c>
    </row>
    <row r="1748" customFormat="false" ht="15" hidden="false" customHeight="false" outlineLevel="0" collapsed="false">
      <c r="A1748" s="35" t="str">
        <f aca="false">IF($B1748="","",COUNTA($B$4:$B1748))</f>
        <v/>
      </c>
      <c r="B1748" s="36"/>
      <c r="C1748" s="37"/>
      <c r="D1748" s="37"/>
      <c r="E1748" s="38"/>
      <c r="F1748" s="36"/>
      <c r="G1748" s="39"/>
      <c r="H1748" s="39"/>
      <c r="I1748" s="36"/>
      <c r="J1748" s="36"/>
      <c r="K1748" s="36"/>
      <c r="L1748" s="36"/>
      <c r="M1748" s="40" t="str">
        <f aca="false">IF($F1748="","",$F1748&amp;IF($G1748="",""," - RT "&amp;$G1748&amp;IF($H1748="","","/"&amp;$H1748)))</f>
        <v/>
      </c>
      <c r="N1748" s="36"/>
      <c r="O1748" s="37"/>
      <c r="P1748" s="39"/>
      <c r="Q1748" s="41"/>
      <c r="R1748" s="35" t="str">
        <f aca="true">IF(OR($B1748="",$Q1748=""),"",DATEDIF($Q1748,TODAY(),"Y"))</f>
        <v/>
      </c>
      <c r="S1748" s="40" t="str">
        <f aca="false">IF($R1748="","",INDEX(usia_label,MATCH($R1748,usia_min,1)))</f>
        <v/>
      </c>
      <c r="T1748" s="36"/>
      <c r="U1748" s="41"/>
      <c r="V1748" s="36"/>
      <c r="W1748" s="36"/>
      <c r="X1748" s="40" t="str">
        <f aca="false">IF($M1748="","",$M1748&amp;"#"&amp;COUNTIF($M$4:$M1748,$M1748))</f>
        <v/>
      </c>
      <c r="Y1748" s="40" t="str">
        <f aca="false">IF($B1748="","",IF($C1748="","NIK kosong",IF(LEN($C1748)&lt;&gt;16,"NIK bukan 16 digit",IF(COUNTIF($C$4:$C$2003,$C1748&amp;"*")&gt;1,"NIK ganda",IF(AND($D1748&lt;&gt;"",LEN($D1748)&lt;&gt;16),"No. KK bukan 16 digit",IF(AND($F1748="",$I1748=""),"Alamat kosong",IF($N1748="","Jabatan kosong",IF($O1748="","No. HP kosong",IF(AND($R1748&lt;&gt;"",$R1748&lt;17),"Usia di bawah 17","")))))))))</f>
        <v/>
      </c>
      <c r="Z1748" s="40" t="str">
        <f aca="false">IF($B1748="","",IF(AND(OR(CARI!$C$5="",ISNUMBER(SEARCH(CARI!$C$5,$B1748&amp;" "&amp;$C1748&amp;" "&amp;$D1748&amp;" "&amp;$O1748&amp;" "&amp;$I1748&amp;" "&amp;$F1748&amp;" "&amp;$J1748&amp;" "&amp;$K1748&amp;" "&amp;$L1748&amp;" "&amp;$V1748))),OR(CARI!$C$6="",$F1748=CARI!$C$6),OR(CARI!$C$7="",$G1748=CARI!$C$7),OR(CARI!$C$8="",$T1748=CARI!$C$8)),MAX($Z$3:Z1747)+1,""))</f>
        <v/>
      </c>
      <c r="AA1748" s="40" t="str">
        <f aca="false">IF($Y1748="","",MAX($AA$3:AA1747)+1)</f>
        <v/>
      </c>
      <c r="AB1748" s="40" t="str">
        <f aca="false">IF($F1748="","",$F1748&amp;"#"&amp;COUNTIF($F$4:$F1748,$F1748))</f>
        <v/>
      </c>
      <c r="AC1748" s="40" t="str">
        <f aca="false">IF($B1748="","",IF(AND(OR(CETAK!$J$10="",$F1748=CETAK!$J$10),OR(CETAK!$J$11="",$G1748=CETAK!$J$11),OR(CETAK!$J$12="",$P1748=CETAK!$J$12),OR(CETAK!$J$13="",$N1748=CETAK!$J$13),OR(CETAK!$J$14="",$T1748=CETAK!$J$14)),MAX($AC$3:AC1747)+1,""))</f>
        <v/>
      </c>
      <c r="AD1748" s="40" t="str">
        <f aca="false">IF($B1748="","",IF(AND(OR(ABSENSI!$H$10="",$F1748=ABSENSI!$H$10),OR(ABSENSI!$H$11="",$G1748=ABSENSI!$H$11),OR(ABSENSI!$H$12="",$P1748=ABSENSI!$H$12)),MAX($AD$3:AD1747)+1,""))</f>
        <v/>
      </c>
      <c r="AE1748" s="40" t="str">
        <f aca="false">IF($B1748="","",IF(AND(OR(KARTU!$K$6="",$F1748=KARTU!$K$6),OR(KARTU!$K$7="",$G1748=KARTU!$K$7),OR(KARTU!$K$8="",$P1748=KARTU!$K$8)),MAX($AE$3:AE1747)+1,""))</f>
        <v/>
      </c>
    </row>
    <row r="1749" customFormat="false" ht="15" hidden="false" customHeight="false" outlineLevel="0" collapsed="false">
      <c r="A1749" s="35" t="str">
        <f aca="false">IF($B1749="","",COUNTA($B$4:$B1749))</f>
        <v/>
      </c>
      <c r="B1749" s="36"/>
      <c r="C1749" s="37"/>
      <c r="D1749" s="37"/>
      <c r="E1749" s="38"/>
      <c r="F1749" s="36"/>
      <c r="G1749" s="39"/>
      <c r="H1749" s="39"/>
      <c r="I1749" s="36"/>
      <c r="J1749" s="36"/>
      <c r="K1749" s="36"/>
      <c r="L1749" s="36"/>
      <c r="M1749" s="40" t="str">
        <f aca="false">IF($F1749="","",$F1749&amp;IF($G1749="",""," - RT "&amp;$G1749&amp;IF($H1749="","","/"&amp;$H1749)))</f>
        <v/>
      </c>
      <c r="N1749" s="36"/>
      <c r="O1749" s="37"/>
      <c r="P1749" s="39"/>
      <c r="Q1749" s="41"/>
      <c r="R1749" s="35" t="str">
        <f aca="true">IF(OR($B1749="",$Q1749=""),"",DATEDIF($Q1749,TODAY(),"Y"))</f>
        <v/>
      </c>
      <c r="S1749" s="40" t="str">
        <f aca="false">IF($R1749="","",INDEX(usia_label,MATCH($R1749,usia_min,1)))</f>
        <v/>
      </c>
      <c r="T1749" s="36"/>
      <c r="U1749" s="41"/>
      <c r="V1749" s="36"/>
      <c r="W1749" s="36"/>
      <c r="X1749" s="40" t="str">
        <f aca="false">IF($M1749="","",$M1749&amp;"#"&amp;COUNTIF($M$4:$M1749,$M1749))</f>
        <v/>
      </c>
      <c r="Y1749" s="40" t="str">
        <f aca="false">IF($B1749="","",IF($C1749="","NIK kosong",IF(LEN($C1749)&lt;&gt;16,"NIK bukan 16 digit",IF(COUNTIF($C$4:$C$2003,$C1749&amp;"*")&gt;1,"NIK ganda",IF(AND($D1749&lt;&gt;"",LEN($D1749)&lt;&gt;16),"No. KK bukan 16 digit",IF(AND($F1749="",$I1749=""),"Alamat kosong",IF($N1749="","Jabatan kosong",IF($O1749="","No. HP kosong",IF(AND($R1749&lt;&gt;"",$R1749&lt;17),"Usia di bawah 17","")))))))))</f>
        <v/>
      </c>
      <c r="Z1749" s="40" t="str">
        <f aca="false">IF($B1749="","",IF(AND(OR(CARI!$C$5="",ISNUMBER(SEARCH(CARI!$C$5,$B1749&amp;" "&amp;$C1749&amp;" "&amp;$D1749&amp;" "&amp;$O1749&amp;" "&amp;$I1749&amp;" "&amp;$F1749&amp;" "&amp;$J1749&amp;" "&amp;$K1749&amp;" "&amp;$L1749&amp;" "&amp;$V1749))),OR(CARI!$C$6="",$F1749=CARI!$C$6),OR(CARI!$C$7="",$G1749=CARI!$C$7),OR(CARI!$C$8="",$T1749=CARI!$C$8)),MAX($Z$3:Z1748)+1,""))</f>
        <v/>
      </c>
      <c r="AA1749" s="40" t="str">
        <f aca="false">IF($Y1749="","",MAX($AA$3:AA1748)+1)</f>
        <v/>
      </c>
      <c r="AB1749" s="40" t="str">
        <f aca="false">IF($F1749="","",$F1749&amp;"#"&amp;COUNTIF($F$4:$F1749,$F1749))</f>
        <v/>
      </c>
      <c r="AC1749" s="40" t="str">
        <f aca="false">IF($B1749="","",IF(AND(OR(CETAK!$J$10="",$F1749=CETAK!$J$10),OR(CETAK!$J$11="",$G1749=CETAK!$J$11),OR(CETAK!$J$12="",$P1749=CETAK!$J$12),OR(CETAK!$J$13="",$N1749=CETAK!$J$13),OR(CETAK!$J$14="",$T1749=CETAK!$J$14)),MAX($AC$3:AC1748)+1,""))</f>
        <v/>
      </c>
      <c r="AD1749" s="40" t="str">
        <f aca="false">IF($B1749="","",IF(AND(OR(ABSENSI!$H$10="",$F1749=ABSENSI!$H$10),OR(ABSENSI!$H$11="",$G1749=ABSENSI!$H$11),OR(ABSENSI!$H$12="",$P1749=ABSENSI!$H$12)),MAX($AD$3:AD1748)+1,""))</f>
        <v/>
      </c>
      <c r="AE1749" s="40" t="str">
        <f aca="false">IF($B1749="","",IF(AND(OR(KARTU!$K$6="",$F1749=KARTU!$K$6),OR(KARTU!$K$7="",$G1749=KARTU!$K$7),OR(KARTU!$K$8="",$P1749=KARTU!$K$8)),MAX($AE$3:AE1748)+1,""))</f>
        <v/>
      </c>
    </row>
    <row r="1750" customFormat="false" ht="15" hidden="false" customHeight="false" outlineLevel="0" collapsed="false">
      <c r="A1750" s="35" t="str">
        <f aca="false">IF($B1750="","",COUNTA($B$4:$B1750))</f>
        <v/>
      </c>
      <c r="B1750" s="36"/>
      <c r="C1750" s="37"/>
      <c r="D1750" s="37"/>
      <c r="E1750" s="38"/>
      <c r="F1750" s="36"/>
      <c r="G1750" s="39"/>
      <c r="H1750" s="39"/>
      <c r="I1750" s="36"/>
      <c r="J1750" s="36"/>
      <c r="K1750" s="36"/>
      <c r="L1750" s="36"/>
      <c r="M1750" s="40" t="str">
        <f aca="false">IF($F1750="","",$F1750&amp;IF($G1750="",""," - RT "&amp;$G1750&amp;IF($H1750="","","/"&amp;$H1750)))</f>
        <v/>
      </c>
      <c r="N1750" s="36"/>
      <c r="O1750" s="37"/>
      <c r="P1750" s="39"/>
      <c r="Q1750" s="41"/>
      <c r="R1750" s="35" t="str">
        <f aca="true">IF(OR($B1750="",$Q1750=""),"",DATEDIF($Q1750,TODAY(),"Y"))</f>
        <v/>
      </c>
      <c r="S1750" s="40" t="str">
        <f aca="false">IF($R1750="","",INDEX(usia_label,MATCH($R1750,usia_min,1)))</f>
        <v/>
      </c>
      <c r="T1750" s="36"/>
      <c r="U1750" s="41"/>
      <c r="V1750" s="36"/>
      <c r="W1750" s="36"/>
      <c r="X1750" s="40" t="str">
        <f aca="false">IF($M1750="","",$M1750&amp;"#"&amp;COUNTIF($M$4:$M1750,$M1750))</f>
        <v/>
      </c>
      <c r="Y1750" s="40" t="str">
        <f aca="false">IF($B1750="","",IF($C1750="","NIK kosong",IF(LEN($C1750)&lt;&gt;16,"NIK bukan 16 digit",IF(COUNTIF($C$4:$C$2003,$C1750&amp;"*")&gt;1,"NIK ganda",IF(AND($D1750&lt;&gt;"",LEN($D1750)&lt;&gt;16),"No. KK bukan 16 digit",IF(AND($F1750="",$I1750=""),"Alamat kosong",IF($N1750="","Jabatan kosong",IF($O1750="","No. HP kosong",IF(AND($R1750&lt;&gt;"",$R1750&lt;17),"Usia di bawah 17","")))))))))</f>
        <v/>
      </c>
      <c r="Z1750" s="40" t="str">
        <f aca="false">IF($B1750="","",IF(AND(OR(CARI!$C$5="",ISNUMBER(SEARCH(CARI!$C$5,$B1750&amp;" "&amp;$C1750&amp;" "&amp;$D1750&amp;" "&amp;$O1750&amp;" "&amp;$I1750&amp;" "&amp;$F1750&amp;" "&amp;$J1750&amp;" "&amp;$K1750&amp;" "&amp;$L1750&amp;" "&amp;$V1750))),OR(CARI!$C$6="",$F1750=CARI!$C$6),OR(CARI!$C$7="",$G1750=CARI!$C$7),OR(CARI!$C$8="",$T1750=CARI!$C$8)),MAX($Z$3:Z1749)+1,""))</f>
        <v/>
      </c>
      <c r="AA1750" s="40" t="str">
        <f aca="false">IF($Y1750="","",MAX($AA$3:AA1749)+1)</f>
        <v/>
      </c>
      <c r="AB1750" s="40" t="str">
        <f aca="false">IF($F1750="","",$F1750&amp;"#"&amp;COUNTIF($F$4:$F1750,$F1750))</f>
        <v/>
      </c>
      <c r="AC1750" s="40" t="str">
        <f aca="false">IF($B1750="","",IF(AND(OR(CETAK!$J$10="",$F1750=CETAK!$J$10),OR(CETAK!$J$11="",$G1750=CETAK!$J$11),OR(CETAK!$J$12="",$P1750=CETAK!$J$12),OR(CETAK!$J$13="",$N1750=CETAK!$J$13),OR(CETAK!$J$14="",$T1750=CETAK!$J$14)),MAX($AC$3:AC1749)+1,""))</f>
        <v/>
      </c>
      <c r="AD1750" s="40" t="str">
        <f aca="false">IF($B1750="","",IF(AND(OR(ABSENSI!$H$10="",$F1750=ABSENSI!$H$10),OR(ABSENSI!$H$11="",$G1750=ABSENSI!$H$11),OR(ABSENSI!$H$12="",$P1750=ABSENSI!$H$12)),MAX($AD$3:AD1749)+1,""))</f>
        <v/>
      </c>
      <c r="AE1750" s="40" t="str">
        <f aca="false">IF($B1750="","",IF(AND(OR(KARTU!$K$6="",$F1750=KARTU!$K$6),OR(KARTU!$K$7="",$G1750=KARTU!$K$7),OR(KARTU!$K$8="",$P1750=KARTU!$K$8)),MAX($AE$3:AE1749)+1,""))</f>
        <v/>
      </c>
    </row>
    <row r="1751" customFormat="false" ht="15" hidden="false" customHeight="false" outlineLevel="0" collapsed="false">
      <c r="A1751" s="35" t="str">
        <f aca="false">IF($B1751="","",COUNTA($B$4:$B1751))</f>
        <v/>
      </c>
      <c r="B1751" s="36"/>
      <c r="C1751" s="37"/>
      <c r="D1751" s="37"/>
      <c r="E1751" s="38"/>
      <c r="F1751" s="36"/>
      <c r="G1751" s="39"/>
      <c r="H1751" s="39"/>
      <c r="I1751" s="36"/>
      <c r="J1751" s="36"/>
      <c r="K1751" s="36"/>
      <c r="L1751" s="36"/>
      <c r="M1751" s="40" t="str">
        <f aca="false">IF($F1751="","",$F1751&amp;IF($G1751="",""," - RT "&amp;$G1751&amp;IF($H1751="","","/"&amp;$H1751)))</f>
        <v/>
      </c>
      <c r="N1751" s="36"/>
      <c r="O1751" s="37"/>
      <c r="P1751" s="39"/>
      <c r="Q1751" s="41"/>
      <c r="R1751" s="35" t="str">
        <f aca="true">IF(OR($B1751="",$Q1751=""),"",DATEDIF($Q1751,TODAY(),"Y"))</f>
        <v/>
      </c>
      <c r="S1751" s="40" t="str">
        <f aca="false">IF($R1751="","",INDEX(usia_label,MATCH($R1751,usia_min,1)))</f>
        <v/>
      </c>
      <c r="T1751" s="36"/>
      <c r="U1751" s="41"/>
      <c r="V1751" s="36"/>
      <c r="W1751" s="36"/>
      <c r="X1751" s="40" t="str">
        <f aca="false">IF($M1751="","",$M1751&amp;"#"&amp;COUNTIF($M$4:$M1751,$M1751))</f>
        <v/>
      </c>
      <c r="Y1751" s="40" t="str">
        <f aca="false">IF($B1751="","",IF($C1751="","NIK kosong",IF(LEN($C1751)&lt;&gt;16,"NIK bukan 16 digit",IF(COUNTIF($C$4:$C$2003,$C1751&amp;"*")&gt;1,"NIK ganda",IF(AND($D1751&lt;&gt;"",LEN($D1751)&lt;&gt;16),"No. KK bukan 16 digit",IF(AND($F1751="",$I1751=""),"Alamat kosong",IF($N1751="","Jabatan kosong",IF($O1751="","No. HP kosong",IF(AND($R1751&lt;&gt;"",$R1751&lt;17),"Usia di bawah 17","")))))))))</f>
        <v/>
      </c>
      <c r="Z1751" s="40" t="str">
        <f aca="false">IF($B1751="","",IF(AND(OR(CARI!$C$5="",ISNUMBER(SEARCH(CARI!$C$5,$B1751&amp;" "&amp;$C1751&amp;" "&amp;$D1751&amp;" "&amp;$O1751&amp;" "&amp;$I1751&amp;" "&amp;$F1751&amp;" "&amp;$J1751&amp;" "&amp;$K1751&amp;" "&amp;$L1751&amp;" "&amp;$V1751))),OR(CARI!$C$6="",$F1751=CARI!$C$6),OR(CARI!$C$7="",$G1751=CARI!$C$7),OR(CARI!$C$8="",$T1751=CARI!$C$8)),MAX($Z$3:Z1750)+1,""))</f>
        <v/>
      </c>
      <c r="AA1751" s="40" t="str">
        <f aca="false">IF($Y1751="","",MAX($AA$3:AA1750)+1)</f>
        <v/>
      </c>
      <c r="AB1751" s="40" t="str">
        <f aca="false">IF($F1751="","",$F1751&amp;"#"&amp;COUNTIF($F$4:$F1751,$F1751))</f>
        <v/>
      </c>
      <c r="AC1751" s="40" t="str">
        <f aca="false">IF($B1751="","",IF(AND(OR(CETAK!$J$10="",$F1751=CETAK!$J$10),OR(CETAK!$J$11="",$G1751=CETAK!$J$11),OR(CETAK!$J$12="",$P1751=CETAK!$J$12),OR(CETAK!$J$13="",$N1751=CETAK!$J$13),OR(CETAK!$J$14="",$T1751=CETAK!$J$14)),MAX($AC$3:AC1750)+1,""))</f>
        <v/>
      </c>
      <c r="AD1751" s="40" t="str">
        <f aca="false">IF($B1751="","",IF(AND(OR(ABSENSI!$H$10="",$F1751=ABSENSI!$H$10),OR(ABSENSI!$H$11="",$G1751=ABSENSI!$H$11),OR(ABSENSI!$H$12="",$P1751=ABSENSI!$H$12)),MAX($AD$3:AD1750)+1,""))</f>
        <v/>
      </c>
      <c r="AE1751" s="40" t="str">
        <f aca="false">IF($B1751="","",IF(AND(OR(KARTU!$K$6="",$F1751=KARTU!$K$6),OR(KARTU!$K$7="",$G1751=KARTU!$K$7),OR(KARTU!$K$8="",$P1751=KARTU!$K$8)),MAX($AE$3:AE1750)+1,""))</f>
        <v/>
      </c>
    </row>
    <row r="1752" customFormat="false" ht="15" hidden="false" customHeight="false" outlineLevel="0" collapsed="false">
      <c r="A1752" s="35" t="str">
        <f aca="false">IF($B1752="","",COUNTA($B$4:$B1752))</f>
        <v/>
      </c>
      <c r="B1752" s="36"/>
      <c r="C1752" s="37"/>
      <c r="D1752" s="37"/>
      <c r="E1752" s="38"/>
      <c r="F1752" s="36"/>
      <c r="G1752" s="39"/>
      <c r="H1752" s="39"/>
      <c r="I1752" s="36"/>
      <c r="J1752" s="36"/>
      <c r="K1752" s="36"/>
      <c r="L1752" s="36"/>
      <c r="M1752" s="40" t="str">
        <f aca="false">IF($F1752="","",$F1752&amp;IF($G1752="",""," - RT "&amp;$G1752&amp;IF($H1752="","","/"&amp;$H1752)))</f>
        <v/>
      </c>
      <c r="N1752" s="36"/>
      <c r="O1752" s="37"/>
      <c r="P1752" s="39"/>
      <c r="Q1752" s="41"/>
      <c r="R1752" s="35" t="str">
        <f aca="true">IF(OR($B1752="",$Q1752=""),"",DATEDIF($Q1752,TODAY(),"Y"))</f>
        <v/>
      </c>
      <c r="S1752" s="40" t="str">
        <f aca="false">IF($R1752="","",INDEX(usia_label,MATCH($R1752,usia_min,1)))</f>
        <v/>
      </c>
      <c r="T1752" s="36"/>
      <c r="U1752" s="41"/>
      <c r="V1752" s="36"/>
      <c r="W1752" s="36"/>
      <c r="X1752" s="40" t="str">
        <f aca="false">IF($M1752="","",$M1752&amp;"#"&amp;COUNTIF($M$4:$M1752,$M1752))</f>
        <v/>
      </c>
      <c r="Y1752" s="40" t="str">
        <f aca="false">IF($B1752="","",IF($C1752="","NIK kosong",IF(LEN($C1752)&lt;&gt;16,"NIK bukan 16 digit",IF(COUNTIF($C$4:$C$2003,$C1752&amp;"*")&gt;1,"NIK ganda",IF(AND($D1752&lt;&gt;"",LEN($D1752)&lt;&gt;16),"No. KK bukan 16 digit",IF(AND($F1752="",$I1752=""),"Alamat kosong",IF($N1752="","Jabatan kosong",IF($O1752="","No. HP kosong",IF(AND($R1752&lt;&gt;"",$R1752&lt;17),"Usia di bawah 17","")))))))))</f>
        <v/>
      </c>
      <c r="Z1752" s="40" t="str">
        <f aca="false">IF($B1752="","",IF(AND(OR(CARI!$C$5="",ISNUMBER(SEARCH(CARI!$C$5,$B1752&amp;" "&amp;$C1752&amp;" "&amp;$D1752&amp;" "&amp;$O1752&amp;" "&amp;$I1752&amp;" "&amp;$F1752&amp;" "&amp;$J1752&amp;" "&amp;$K1752&amp;" "&amp;$L1752&amp;" "&amp;$V1752))),OR(CARI!$C$6="",$F1752=CARI!$C$6),OR(CARI!$C$7="",$G1752=CARI!$C$7),OR(CARI!$C$8="",$T1752=CARI!$C$8)),MAX($Z$3:Z1751)+1,""))</f>
        <v/>
      </c>
      <c r="AA1752" s="40" t="str">
        <f aca="false">IF($Y1752="","",MAX($AA$3:AA1751)+1)</f>
        <v/>
      </c>
      <c r="AB1752" s="40" t="str">
        <f aca="false">IF($F1752="","",$F1752&amp;"#"&amp;COUNTIF($F$4:$F1752,$F1752))</f>
        <v/>
      </c>
      <c r="AC1752" s="40" t="str">
        <f aca="false">IF($B1752="","",IF(AND(OR(CETAK!$J$10="",$F1752=CETAK!$J$10),OR(CETAK!$J$11="",$G1752=CETAK!$J$11),OR(CETAK!$J$12="",$P1752=CETAK!$J$12),OR(CETAK!$J$13="",$N1752=CETAK!$J$13),OR(CETAK!$J$14="",$T1752=CETAK!$J$14)),MAX($AC$3:AC1751)+1,""))</f>
        <v/>
      </c>
      <c r="AD1752" s="40" t="str">
        <f aca="false">IF($B1752="","",IF(AND(OR(ABSENSI!$H$10="",$F1752=ABSENSI!$H$10),OR(ABSENSI!$H$11="",$G1752=ABSENSI!$H$11),OR(ABSENSI!$H$12="",$P1752=ABSENSI!$H$12)),MAX($AD$3:AD1751)+1,""))</f>
        <v/>
      </c>
      <c r="AE1752" s="40" t="str">
        <f aca="false">IF($B1752="","",IF(AND(OR(KARTU!$K$6="",$F1752=KARTU!$K$6),OR(KARTU!$K$7="",$G1752=KARTU!$K$7),OR(KARTU!$K$8="",$P1752=KARTU!$K$8)),MAX($AE$3:AE1751)+1,""))</f>
        <v/>
      </c>
    </row>
    <row r="1753" customFormat="false" ht="15" hidden="false" customHeight="false" outlineLevel="0" collapsed="false">
      <c r="A1753" s="35" t="str">
        <f aca="false">IF($B1753="","",COUNTA($B$4:$B1753))</f>
        <v/>
      </c>
      <c r="B1753" s="36"/>
      <c r="C1753" s="37"/>
      <c r="D1753" s="37"/>
      <c r="E1753" s="38"/>
      <c r="F1753" s="36"/>
      <c r="G1753" s="39"/>
      <c r="H1753" s="39"/>
      <c r="I1753" s="36"/>
      <c r="J1753" s="36"/>
      <c r="K1753" s="36"/>
      <c r="L1753" s="36"/>
      <c r="M1753" s="40" t="str">
        <f aca="false">IF($F1753="","",$F1753&amp;IF($G1753="",""," - RT "&amp;$G1753&amp;IF($H1753="","","/"&amp;$H1753)))</f>
        <v/>
      </c>
      <c r="N1753" s="36"/>
      <c r="O1753" s="37"/>
      <c r="P1753" s="39"/>
      <c r="Q1753" s="41"/>
      <c r="R1753" s="35" t="str">
        <f aca="true">IF(OR($B1753="",$Q1753=""),"",DATEDIF($Q1753,TODAY(),"Y"))</f>
        <v/>
      </c>
      <c r="S1753" s="40" t="str">
        <f aca="false">IF($R1753="","",INDEX(usia_label,MATCH($R1753,usia_min,1)))</f>
        <v/>
      </c>
      <c r="T1753" s="36"/>
      <c r="U1753" s="41"/>
      <c r="V1753" s="36"/>
      <c r="W1753" s="36"/>
      <c r="X1753" s="40" t="str">
        <f aca="false">IF($M1753="","",$M1753&amp;"#"&amp;COUNTIF($M$4:$M1753,$M1753))</f>
        <v/>
      </c>
      <c r="Y1753" s="40" t="str">
        <f aca="false">IF($B1753="","",IF($C1753="","NIK kosong",IF(LEN($C1753)&lt;&gt;16,"NIK bukan 16 digit",IF(COUNTIF($C$4:$C$2003,$C1753&amp;"*")&gt;1,"NIK ganda",IF(AND($D1753&lt;&gt;"",LEN($D1753)&lt;&gt;16),"No. KK bukan 16 digit",IF(AND($F1753="",$I1753=""),"Alamat kosong",IF($N1753="","Jabatan kosong",IF($O1753="","No. HP kosong",IF(AND($R1753&lt;&gt;"",$R1753&lt;17),"Usia di bawah 17","")))))))))</f>
        <v/>
      </c>
      <c r="Z1753" s="40" t="str">
        <f aca="false">IF($B1753="","",IF(AND(OR(CARI!$C$5="",ISNUMBER(SEARCH(CARI!$C$5,$B1753&amp;" "&amp;$C1753&amp;" "&amp;$D1753&amp;" "&amp;$O1753&amp;" "&amp;$I1753&amp;" "&amp;$F1753&amp;" "&amp;$J1753&amp;" "&amp;$K1753&amp;" "&amp;$L1753&amp;" "&amp;$V1753))),OR(CARI!$C$6="",$F1753=CARI!$C$6),OR(CARI!$C$7="",$G1753=CARI!$C$7),OR(CARI!$C$8="",$T1753=CARI!$C$8)),MAX($Z$3:Z1752)+1,""))</f>
        <v/>
      </c>
      <c r="AA1753" s="40" t="str">
        <f aca="false">IF($Y1753="","",MAX($AA$3:AA1752)+1)</f>
        <v/>
      </c>
      <c r="AB1753" s="40" t="str">
        <f aca="false">IF($F1753="","",$F1753&amp;"#"&amp;COUNTIF($F$4:$F1753,$F1753))</f>
        <v/>
      </c>
      <c r="AC1753" s="40" t="str">
        <f aca="false">IF($B1753="","",IF(AND(OR(CETAK!$J$10="",$F1753=CETAK!$J$10),OR(CETAK!$J$11="",$G1753=CETAK!$J$11),OR(CETAK!$J$12="",$P1753=CETAK!$J$12),OR(CETAK!$J$13="",$N1753=CETAK!$J$13),OR(CETAK!$J$14="",$T1753=CETAK!$J$14)),MAX($AC$3:AC1752)+1,""))</f>
        <v/>
      </c>
      <c r="AD1753" s="40" t="str">
        <f aca="false">IF($B1753="","",IF(AND(OR(ABSENSI!$H$10="",$F1753=ABSENSI!$H$10),OR(ABSENSI!$H$11="",$G1753=ABSENSI!$H$11),OR(ABSENSI!$H$12="",$P1753=ABSENSI!$H$12)),MAX($AD$3:AD1752)+1,""))</f>
        <v/>
      </c>
      <c r="AE1753" s="40" t="str">
        <f aca="false">IF($B1753="","",IF(AND(OR(KARTU!$K$6="",$F1753=KARTU!$K$6),OR(KARTU!$K$7="",$G1753=KARTU!$K$7),OR(KARTU!$K$8="",$P1753=KARTU!$K$8)),MAX($AE$3:AE1752)+1,""))</f>
        <v/>
      </c>
    </row>
    <row r="1754" customFormat="false" ht="15" hidden="false" customHeight="false" outlineLevel="0" collapsed="false">
      <c r="A1754" s="35" t="str">
        <f aca="false">IF($B1754="","",COUNTA($B$4:$B1754))</f>
        <v/>
      </c>
      <c r="B1754" s="36"/>
      <c r="C1754" s="37"/>
      <c r="D1754" s="37"/>
      <c r="E1754" s="38"/>
      <c r="F1754" s="36"/>
      <c r="G1754" s="39"/>
      <c r="H1754" s="39"/>
      <c r="I1754" s="36"/>
      <c r="J1754" s="36"/>
      <c r="K1754" s="36"/>
      <c r="L1754" s="36"/>
      <c r="M1754" s="40" t="str">
        <f aca="false">IF($F1754="","",$F1754&amp;IF($G1754="",""," - RT "&amp;$G1754&amp;IF($H1754="","","/"&amp;$H1754)))</f>
        <v/>
      </c>
      <c r="N1754" s="36"/>
      <c r="O1754" s="37"/>
      <c r="P1754" s="39"/>
      <c r="Q1754" s="41"/>
      <c r="R1754" s="35" t="str">
        <f aca="true">IF(OR($B1754="",$Q1754=""),"",DATEDIF($Q1754,TODAY(),"Y"))</f>
        <v/>
      </c>
      <c r="S1754" s="40" t="str">
        <f aca="false">IF($R1754="","",INDEX(usia_label,MATCH($R1754,usia_min,1)))</f>
        <v/>
      </c>
      <c r="T1754" s="36"/>
      <c r="U1754" s="41"/>
      <c r="V1754" s="36"/>
      <c r="W1754" s="36"/>
      <c r="X1754" s="40" t="str">
        <f aca="false">IF($M1754="","",$M1754&amp;"#"&amp;COUNTIF($M$4:$M1754,$M1754))</f>
        <v/>
      </c>
      <c r="Y1754" s="40" t="str">
        <f aca="false">IF($B1754="","",IF($C1754="","NIK kosong",IF(LEN($C1754)&lt;&gt;16,"NIK bukan 16 digit",IF(COUNTIF($C$4:$C$2003,$C1754&amp;"*")&gt;1,"NIK ganda",IF(AND($D1754&lt;&gt;"",LEN($D1754)&lt;&gt;16),"No. KK bukan 16 digit",IF(AND($F1754="",$I1754=""),"Alamat kosong",IF($N1754="","Jabatan kosong",IF($O1754="","No. HP kosong",IF(AND($R1754&lt;&gt;"",$R1754&lt;17),"Usia di bawah 17","")))))))))</f>
        <v/>
      </c>
      <c r="Z1754" s="40" t="str">
        <f aca="false">IF($B1754="","",IF(AND(OR(CARI!$C$5="",ISNUMBER(SEARCH(CARI!$C$5,$B1754&amp;" "&amp;$C1754&amp;" "&amp;$D1754&amp;" "&amp;$O1754&amp;" "&amp;$I1754&amp;" "&amp;$F1754&amp;" "&amp;$J1754&amp;" "&amp;$K1754&amp;" "&amp;$L1754&amp;" "&amp;$V1754))),OR(CARI!$C$6="",$F1754=CARI!$C$6),OR(CARI!$C$7="",$G1754=CARI!$C$7),OR(CARI!$C$8="",$T1754=CARI!$C$8)),MAX($Z$3:Z1753)+1,""))</f>
        <v/>
      </c>
      <c r="AA1754" s="40" t="str">
        <f aca="false">IF($Y1754="","",MAX($AA$3:AA1753)+1)</f>
        <v/>
      </c>
      <c r="AB1754" s="40" t="str">
        <f aca="false">IF($F1754="","",$F1754&amp;"#"&amp;COUNTIF($F$4:$F1754,$F1754))</f>
        <v/>
      </c>
      <c r="AC1754" s="40" t="str">
        <f aca="false">IF($B1754="","",IF(AND(OR(CETAK!$J$10="",$F1754=CETAK!$J$10),OR(CETAK!$J$11="",$G1754=CETAK!$J$11),OR(CETAK!$J$12="",$P1754=CETAK!$J$12),OR(CETAK!$J$13="",$N1754=CETAK!$J$13),OR(CETAK!$J$14="",$T1754=CETAK!$J$14)),MAX($AC$3:AC1753)+1,""))</f>
        <v/>
      </c>
      <c r="AD1754" s="40" t="str">
        <f aca="false">IF($B1754="","",IF(AND(OR(ABSENSI!$H$10="",$F1754=ABSENSI!$H$10),OR(ABSENSI!$H$11="",$G1754=ABSENSI!$H$11),OR(ABSENSI!$H$12="",$P1754=ABSENSI!$H$12)),MAX($AD$3:AD1753)+1,""))</f>
        <v/>
      </c>
      <c r="AE1754" s="40" t="str">
        <f aca="false">IF($B1754="","",IF(AND(OR(KARTU!$K$6="",$F1754=KARTU!$K$6),OR(KARTU!$K$7="",$G1754=KARTU!$K$7),OR(KARTU!$K$8="",$P1754=KARTU!$K$8)),MAX($AE$3:AE1753)+1,""))</f>
        <v/>
      </c>
    </row>
    <row r="1755" customFormat="false" ht="15" hidden="false" customHeight="false" outlineLevel="0" collapsed="false">
      <c r="A1755" s="35" t="str">
        <f aca="false">IF($B1755="","",COUNTA($B$4:$B1755))</f>
        <v/>
      </c>
      <c r="B1755" s="36"/>
      <c r="C1755" s="37"/>
      <c r="D1755" s="37"/>
      <c r="E1755" s="38"/>
      <c r="F1755" s="36"/>
      <c r="G1755" s="39"/>
      <c r="H1755" s="39"/>
      <c r="I1755" s="36"/>
      <c r="J1755" s="36"/>
      <c r="K1755" s="36"/>
      <c r="L1755" s="36"/>
      <c r="M1755" s="40" t="str">
        <f aca="false">IF($F1755="","",$F1755&amp;IF($G1755="",""," - RT "&amp;$G1755&amp;IF($H1755="","","/"&amp;$H1755)))</f>
        <v/>
      </c>
      <c r="N1755" s="36"/>
      <c r="O1755" s="37"/>
      <c r="P1755" s="39"/>
      <c r="Q1755" s="41"/>
      <c r="R1755" s="35" t="str">
        <f aca="true">IF(OR($B1755="",$Q1755=""),"",DATEDIF($Q1755,TODAY(),"Y"))</f>
        <v/>
      </c>
      <c r="S1755" s="40" t="str">
        <f aca="false">IF($R1755="","",INDEX(usia_label,MATCH($R1755,usia_min,1)))</f>
        <v/>
      </c>
      <c r="T1755" s="36"/>
      <c r="U1755" s="41"/>
      <c r="V1755" s="36"/>
      <c r="W1755" s="36"/>
      <c r="X1755" s="40" t="str">
        <f aca="false">IF($M1755="","",$M1755&amp;"#"&amp;COUNTIF($M$4:$M1755,$M1755))</f>
        <v/>
      </c>
      <c r="Y1755" s="40" t="str">
        <f aca="false">IF($B1755="","",IF($C1755="","NIK kosong",IF(LEN($C1755)&lt;&gt;16,"NIK bukan 16 digit",IF(COUNTIF($C$4:$C$2003,$C1755&amp;"*")&gt;1,"NIK ganda",IF(AND($D1755&lt;&gt;"",LEN($D1755)&lt;&gt;16),"No. KK bukan 16 digit",IF(AND($F1755="",$I1755=""),"Alamat kosong",IF($N1755="","Jabatan kosong",IF($O1755="","No. HP kosong",IF(AND($R1755&lt;&gt;"",$R1755&lt;17),"Usia di bawah 17","")))))))))</f>
        <v/>
      </c>
      <c r="Z1755" s="40" t="str">
        <f aca="false">IF($B1755="","",IF(AND(OR(CARI!$C$5="",ISNUMBER(SEARCH(CARI!$C$5,$B1755&amp;" "&amp;$C1755&amp;" "&amp;$D1755&amp;" "&amp;$O1755&amp;" "&amp;$I1755&amp;" "&amp;$F1755&amp;" "&amp;$J1755&amp;" "&amp;$K1755&amp;" "&amp;$L1755&amp;" "&amp;$V1755))),OR(CARI!$C$6="",$F1755=CARI!$C$6),OR(CARI!$C$7="",$G1755=CARI!$C$7),OR(CARI!$C$8="",$T1755=CARI!$C$8)),MAX($Z$3:Z1754)+1,""))</f>
        <v/>
      </c>
      <c r="AA1755" s="40" t="str">
        <f aca="false">IF($Y1755="","",MAX($AA$3:AA1754)+1)</f>
        <v/>
      </c>
      <c r="AB1755" s="40" t="str">
        <f aca="false">IF($F1755="","",$F1755&amp;"#"&amp;COUNTIF($F$4:$F1755,$F1755))</f>
        <v/>
      </c>
      <c r="AC1755" s="40" t="str">
        <f aca="false">IF($B1755="","",IF(AND(OR(CETAK!$J$10="",$F1755=CETAK!$J$10),OR(CETAK!$J$11="",$G1755=CETAK!$J$11),OR(CETAK!$J$12="",$P1755=CETAK!$J$12),OR(CETAK!$J$13="",$N1755=CETAK!$J$13),OR(CETAK!$J$14="",$T1755=CETAK!$J$14)),MAX($AC$3:AC1754)+1,""))</f>
        <v/>
      </c>
      <c r="AD1755" s="40" t="str">
        <f aca="false">IF($B1755="","",IF(AND(OR(ABSENSI!$H$10="",$F1755=ABSENSI!$H$10),OR(ABSENSI!$H$11="",$G1755=ABSENSI!$H$11),OR(ABSENSI!$H$12="",$P1755=ABSENSI!$H$12)),MAX($AD$3:AD1754)+1,""))</f>
        <v/>
      </c>
      <c r="AE1755" s="40" t="str">
        <f aca="false">IF($B1755="","",IF(AND(OR(KARTU!$K$6="",$F1755=KARTU!$K$6),OR(KARTU!$K$7="",$G1755=KARTU!$K$7),OR(KARTU!$K$8="",$P1755=KARTU!$K$8)),MAX($AE$3:AE1754)+1,""))</f>
        <v/>
      </c>
    </row>
    <row r="1756" customFormat="false" ht="15" hidden="false" customHeight="false" outlineLevel="0" collapsed="false">
      <c r="A1756" s="35" t="str">
        <f aca="false">IF($B1756="","",COUNTA($B$4:$B1756))</f>
        <v/>
      </c>
      <c r="B1756" s="36"/>
      <c r="C1756" s="37"/>
      <c r="D1756" s="37"/>
      <c r="E1756" s="38"/>
      <c r="F1756" s="36"/>
      <c r="G1756" s="39"/>
      <c r="H1756" s="39"/>
      <c r="I1756" s="36"/>
      <c r="J1756" s="36"/>
      <c r="K1756" s="36"/>
      <c r="L1756" s="36"/>
      <c r="M1756" s="40" t="str">
        <f aca="false">IF($F1756="","",$F1756&amp;IF($G1756="",""," - RT "&amp;$G1756&amp;IF($H1756="","","/"&amp;$H1756)))</f>
        <v/>
      </c>
      <c r="N1756" s="36"/>
      <c r="O1756" s="37"/>
      <c r="P1756" s="39"/>
      <c r="Q1756" s="41"/>
      <c r="R1756" s="35" t="str">
        <f aca="true">IF(OR($B1756="",$Q1756=""),"",DATEDIF($Q1756,TODAY(),"Y"))</f>
        <v/>
      </c>
      <c r="S1756" s="40" t="str">
        <f aca="false">IF($R1756="","",INDEX(usia_label,MATCH($R1756,usia_min,1)))</f>
        <v/>
      </c>
      <c r="T1756" s="36"/>
      <c r="U1756" s="41"/>
      <c r="V1756" s="36"/>
      <c r="W1756" s="36"/>
      <c r="X1756" s="40" t="str">
        <f aca="false">IF($M1756="","",$M1756&amp;"#"&amp;COUNTIF($M$4:$M1756,$M1756))</f>
        <v/>
      </c>
      <c r="Y1756" s="40" t="str">
        <f aca="false">IF($B1756="","",IF($C1756="","NIK kosong",IF(LEN($C1756)&lt;&gt;16,"NIK bukan 16 digit",IF(COUNTIF($C$4:$C$2003,$C1756&amp;"*")&gt;1,"NIK ganda",IF(AND($D1756&lt;&gt;"",LEN($D1756)&lt;&gt;16),"No. KK bukan 16 digit",IF(AND($F1756="",$I1756=""),"Alamat kosong",IF($N1756="","Jabatan kosong",IF($O1756="","No. HP kosong",IF(AND($R1756&lt;&gt;"",$R1756&lt;17),"Usia di bawah 17","")))))))))</f>
        <v/>
      </c>
      <c r="Z1756" s="40" t="str">
        <f aca="false">IF($B1756="","",IF(AND(OR(CARI!$C$5="",ISNUMBER(SEARCH(CARI!$C$5,$B1756&amp;" "&amp;$C1756&amp;" "&amp;$D1756&amp;" "&amp;$O1756&amp;" "&amp;$I1756&amp;" "&amp;$F1756&amp;" "&amp;$J1756&amp;" "&amp;$K1756&amp;" "&amp;$L1756&amp;" "&amp;$V1756))),OR(CARI!$C$6="",$F1756=CARI!$C$6),OR(CARI!$C$7="",$G1756=CARI!$C$7),OR(CARI!$C$8="",$T1756=CARI!$C$8)),MAX($Z$3:Z1755)+1,""))</f>
        <v/>
      </c>
      <c r="AA1756" s="40" t="str">
        <f aca="false">IF($Y1756="","",MAX($AA$3:AA1755)+1)</f>
        <v/>
      </c>
      <c r="AB1756" s="40" t="str">
        <f aca="false">IF($F1756="","",$F1756&amp;"#"&amp;COUNTIF($F$4:$F1756,$F1756))</f>
        <v/>
      </c>
      <c r="AC1756" s="40" t="str">
        <f aca="false">IF($B1756="","",IF(AND(OR(CETAK!$J$10="",$F1756=CETAK!$J$10),OR(CETAK!$J$11="",$G1756=CETAK!$J$11),OR(CETAK!$J$12="",$P1756=CETAK!$J$12),OR(CETAK!$J$13="",$N1756=CETAK!$J$13),OR(CETAK!$J$14="",$T1756=CETAK!$J$14)),MAX($AC$3:AC1755)+1,""))</f>
        <v/>
      </c>
      <c r="AD1756" s="40" t="str">
        <f aca="false">IF($B1756="","",IF(AND(OR(ABSENSI!$H$10="",$F1756=ABSENSI!$H$10),OR(ABSENSI!$H$11="",$G1756=ABSENSI!$H$11),OR(ABSENSI!$H$12="",$P1756=ABSENSI!$H$12)),MAX($AD$3:AD1755)+1,""))</f>
        <v/>
      </c>
      <c r="AE1756" s="40" t="str">
        <f aca="false">IF($B1756="","",IF(AND(OR(KARTU!$K$6="",$F1756=KARTU!$K$6),OR(KARTU!$K$7="",$G1756=KARTU!$K$7),OR(KARTU!$K$8="",$P1756=KARTU!$K$8)),MAX($AE$3:AE1755)+1,""))</f>
        <v/>
      </c>
    </row>
    <row r="1757" customFormat="false" ht="15" hidden="false" customHeight="false" outlineLevel="0" collapsed="false">
      <c r="A1757" s="35" t="str">
        <f aca="false">IF($B1757="","",COUNTA($B$4:$B1757))</f>
        <v/>
      </c>
      <c r="B1757" s="36"/>
      <c r="C1757" s="37"/>
      <c r="D1757" s="37"/>
      <c r="E1757" s="38"/>
      <c r="F1757" s="36"/>
      <c r="G1757" s="39"/>
      <c r="H1757" s="39"/>
      <c r="I1757" s="36"/>
      <c r="J1757" s="36"/>
      <c r="K1757" s="36"/>
      <c r="L1757" s="36"/>
      <c r="M1757" s="40" t="str">
        <f aca="false">IF($F1757="","",$F1757&amp;IF($G1757="",""," - RT "&amp;$G1757&amp;IF($H1757="","","/"&amp;$H1757)))</f>
        <v/>
      </c>
      <c r="N1757" s="36"/>
      <c r="O1757" s="37"/>
      <c r="P1757" s="39"/>
      <c r="Q1757" s="41"/>
      <c r="R1757" s="35" t="str">
        <f aca="true">IF(OR($B1757="",$Q1757=""),"",DATEDIF($Q1757,TODAY(),"Y"))</f>
        <v/>
      </c>
      <c r="S1757" s="40" t="str">
        <f aca="false">IF($R1757="","",INDEX(usia_label,MATCH($R1757,usia_min,1)))</f>
        <v/>
      </c>
      <c r="T1757" s="36"/>
      <c r="U1757" s="41"/>
      <c r="V1757" s="36"/>
      <c r="W1757" s="36"/>
      <c r="X1757" s="40" t="str">
        <f aca="false">IF($M1757="","",$M1757&amp;"#"&amp;COUNTIF($M$4:$M1757,$M1757))</f>
        <v/>
      </c>
      <c r="Y1757" s="40" t="str">
        <f aca="false">IF($B1757="","",IF($C1757="","NIK kosong",IF(LEN($C1757)&lt;&gt;16,"NIK bukan 16 digit",IF(COUNTIF($C$4:$C$2003,$C1757&amp;"*")&gt;1,"NIK ganda",IF(AND($D1757&lt;&gt;"",LEN($D1757)&lt;&gt;16),"No. KK bukan 16 digit",IF(AND($F1757="",$I1757=""),"Alamat kosong",IF($N1757="","Jabatan kosong",IF($O1757="","No. HP kosong",IF(AND($R1757&lt;&gt;"",$R1757&lt;17),"Usia di bawah 17","")))))))))</f>
        <v/>
      </c>
      <c r="Z1757" s="40" t="str">
        <f aca="false">IF($B1757="","",IF(AND(OR(CARI!$C$5="",ISNUMBER(SEARCH(CARI!$C$5,$B1757&amp;" "&amp;$C1757&amp;" "&amp;$D1757&amp;" "&amp;$O1757&amp;" "&amp;$I1757&amp;" "&amp;$F1757&amp;" "&amp;$J1757&amp;" "&amp;$K1757&amp;" "&amp;$L1757&amp;" "&amp;$V1757))),OR(CARI!$C$6="",$F1757=CARI!$C$6),OR(CARI!$C$7="",$G1757=CARI!$C$7),OR(CARI!$C$8="",$T1757=CARI!$C$8)),MAX($Z$3:Z1756)+1,""))</f>
        <v/>
      </c>
      <c r="AA1757" s="40" t="str">
        <f aca="false">IF($Y1757="","",MAX($AA$3:AA1756)+1)</f>
        <v/>
      </c>
      <c r="AB1757" s="40" t="str">
        <f aca="false">IF($F1757="","",$F1757&amp;"#"&amp;COUNTIF($F$4:$F1757,$F1757))</f>
        <v/>
      </c>
      <c r="AC1757" s="40" t="str">
        <f aca="false">IF($B1757="","",IF(AND(OR(CETAK!$J$10="",$F1757=CETAK!$J$10),OR(CETAK!$J$11="",$G1757=CETAK!$J$11),OR(CETAK!$J$12="",$P1757=CETAK!$J$12),OR(CETAK!$J$13="",$N1757=CETAK!$J$13),OR(CETAK!$J$14="",$T1757=CETAK!$J$14)),MAX($AC$3:AC1756)+1,""))</f>
        <v/>
      </c>
      <c r="AD1757" s="40" t="str">
        <f aca="false">IF($B1757="","",IF(AND(OR(ABSENSI!$H$10="",$F1757=ABSENSI!$H$10),OR(ABSENSI!$H$11="",$G1757=ABSENSI!$H$11),OR(ABSENSI!$H$12="",$P1757=ABSENSI!$H$12)),MAX($AD$3:AD1756)+1,""))</f>
        <v/>
      </c>
      <c r="AE1757" s="40" t="str">
        <f aca="false">IF($B1757="","",IF(AND(OR(KARTU!$K$6="",$F1757=KARTU!$K$6),OR(KARTU!$K$7="",$G1757=KARTU!$K$7),OR(KARTU!$K$8="",$P1757=KARTU!$K$8)),MAX($AE$3:AE1756)+1,""))</f>
        <v/>
      </c>
    </row>
    <row r="1758" customFormat="false" ht="15" hidden="false" customHeight="false" outlineLevel="0" collapsed="false">
      <c r="A1758" s="35" t="str">
        <f aca="false">IF($B1758="","",COUNTA($B$4:$B1758))</f>
        <v/>
      </c>
      <c r="B1758" s="36"/>
      <c r="C1758" s="37"/>
      <c r="D1758" s="37"/>
      <c r="E1758" s="38"/>
      <c r="F1758" s="36"/>
      <c r="G1758" s="39"/>
      <c r="H1758" s="39"/>
      <c r="I1758" s="36"/>
      <c r="J1758" s="36"/>
      <c r="K1758" s="36"/>
      <c r="L1758" s="36"/>
      <c r="M1758" s="40" t="str">
        <f aca="false">IF($F1758="","",$F1758&amp;IF($G1758="",""," - RT "&amp;$G1758&amp;IF($H1758="","","/"&amp;$H1758)))</f>
        <v/>
      </c>
      <c r="N1758" s="36"/>
      <c r="O1758" s="37"/>
      <c r="P1758" s="39"/>
      <c r="Q1758" s="41"/>
      <c r="R1758" s="35" t="str">
        <f aca="true">IF(OR($B1758="",$Q1758=""),"",DATEDIF($Q1758,TODAY(),"Y"))</f>
        <v/>
      </c>
      <c r="S1758" s="40" t="str">
        <f aca="false">IF($R1758="","",INDEX(usia_label,MATCH($R1758,usia_min,1)))</f>
        <v/>
      </c>
      <c r="T1758" s="36"/>
      <c r="U1758" s="41"/>
      <c r="V1758" s="36"/>
      <c r="W1758" s="36"/>
      <c r="X1758" s="40" t="str">
        <f aca="false">IF($M1758="","",$M1758&amp;"#"&amp;COUNTIF($M$4:$M1758,$M1758))</f>
        <v/>
      </c>
      <c r="Y1758" s="40" t="str">
        <f aca="false">IF($B1758="","",IF($C1758="","NIK kosong",IF(LEN($C1758)&lt;&gt;16,"NIK bukan 16 digit",IF(COUNTIF($C$4:$C$2003,$C1758&amp;"*")&gt;1,"NIK ganda",IF(AND($D1758&lt;&gt;"",LEN($D1758)&lt;&gt;16),"No. KK bukan 16 digit",IF(AND($F1758="",$I1758=""),"Alamat kosong",IF($N1758="","Jabatan kosong",IF($O1758="","No. HP kosong",IF(AND($R1758&lt;&gt;"",$R1758&lt;17),"Usia di bawah 17","")))))))))</f>
        <v/>
      </c>
      <c r="Z1758" s="40" t="str">
        <f aca="false">IF($B1758="","",IF(AND(OR(CARI!$C$5="",ISNUMBER(SEARCH(CARI!$C$5,$B1758&amp;" "&amp;$C1758&amp;" "&amp;$D1758&amp;" "&amp;$O1758&amp;" "&amp;$I1758&amp;" "&amp;$F1758&amp;" "&amp;$J1758&amp;" "&amp;$K1758&amp;" "&amp;$L1758&amp;" "&amp;$V1758))),OR(CARI!$C$6="",$F1758=CARI!$C$6),OR(CARI!$C$7="",$G1758=CARI!$C$7),OR(CARI!$C$8="",$T1758=CARI!$C$8)),MAX($Z$3:Z1757)+1,""))</f>
        <v/>
      </c>
      <c r="AA1758" s="40" t="str">
        <f aca="false">IF($Y1758="","",MAX($AA$3:AA1757)+1)</f>
        <v/>
      </c>
      <c r="AB1758" s="40" t="str">
        <f aca="false">IF($F1758="","",$F1758&amp;"#"&amp;COUNTIF($F$4:$F1758,$F1758))</f>
        <v/>
      </c>
      <c r="AC1758" s="40" t="str">
        <f aca="false">IF($B1758="","",IF(AND(OR(CETAK!$J$10="",$F1758=CETAK!$J$10),OR(CETAK!$J$11="",$G1758=CETAK!$J$11),OR(CETAK!$J$12="",$P1758=CETAK!$J$12),OR(CETAK!$J$13="",$N1758=CETAK!$J$13),OR(CETAK!$J$14="",$T1758=CETAK!$J$14)),MAX($AC$3:AC1757)+1,""))</f>
        <v/>
      </c>
      <c r="AD1758" s="40" t="str">
        <f aca="false">IF($B1758="","",IF(AND(OR(ABSENSI!$H$10="",$F1758=ABSENSI!$H$10),OR(ABSENSI!$H$11="",$G1758=ABSENSI!$H$11),OR(ABSENSI!$H$12="",$P1758=ABSENSI!$H$12)),MAX($AD$3:AD1757)+1,""))</f>
        <v/>
      </c>
      <c r="AE1758" s="40" t="str">
        <f aca="false">IF($B1758="","",IF(AND(OR(KARTU!$K$6="",$F1758=KARTU!$K$6),OR(KARTU!$K$7="",$G1758=KARTU!$K$7),OR(KARTU!$K$8="",$P1758=KARTU!$K$8)),MAX($AE$3:AE1757)+1,""))</f>
        <v/>
      </c>
    </row>
    <row r="1759" customFormat="false" ht="15" hidden="false" customHeight="false" outlineLevel="0" collapsed="false">
      <c r="A1759" s="35" t="str">
        <f aca="false">IF($B1759="","",COUNTA($B$4:$B1759))</f>
        <v/>
      </c>
      <c r="B1759" s="36"/>
      <c r="C1759" s="37"/>
      <c r="D1759" s="37"/>
      <c r="E1759" s="38"/>
      <c r="F1759" s="36"/>
      <c r="G1759" s="39"/>
      <c r="H1759" s="39"/>
      <c r="I1759" s="36"/>
      <c r="J1759" s="36"/>
      <c r="K1759" s="36"/>
      <c r="L1759" s="36"/>
      <c r="M1759" s="40" t="str">
        <f aca="false">IF($F1759="","",$F1759&amp;IF($G1759="",""," - RT "&amp;$G1759&amp;IF($H1759="","","/"&amp;$H1759)))</f>
        <v/>
      </c>
      <c r="N1759" s="36"/>
      <c r="O1759" s="37"/>
      <c r="P1759" s="39"/>
      <c r="Q1759" s="41"/>
      <c r="R1759" s="35" t="str">
        <f aca="true">IF(OR($B1759="",$Q1759=""),"",DATEDIF($Q1759,TODAY(),"Y"))</f>
        <v/>
      </c>
      <c r="S1759" s="40" t="str">
        <f aca="false">IF($R1759="","",INDEX(usia_label,MATCH($R1759,usia_min,1)))</f>
        <v/>
      </c>
      <c r="T1759" s="36"/>
      <c r="U1759" s="41"/>
      <c r="V1759" s="36"/>
      <c r="W1759" s="36"/>
      <c r="X1759" s="40" t="str">
        <f aca="false">IF($M1759="","",$M1759&amp;"#"&amp;COUNTIF($M$4:$M1759,$M1759))</f>
        <v/>
      </c>
      <c r="Y1759" s="40" t="str">
        <f aca="false">IF($B1759="","",IF($C1759="","NIK kosong",IF(LEN($C1759)&lt;&gt;16,"NIK bukan 16 digit",IF(COUNTIF($C$4:$C$2003,$C1759&amp;"*")&gt;1,"NIK ganda",IF(AND($D1759&lt;&gt;"",LEN($D1759)&lt;&gt;16),"No. KK bukan 16 digit",IF(AND($F1759="",$I1759=""),"Alamat kosong",IF($N1759="","Jabatan kosong",IF($O1759="","No. HP kosong",IF(AND($R1759&lt;&gt;"",$R1759&lt;17),"Usia di bawah 17","")))))))))</f>
        <v/>
      </c>
      <c r="Z1759" s="40" t="str">
        <f aca="false">IF($B1759="","",IF(AND(OR(CARI!$C$5="",ISNUMBER(SEARCH(CARI!$C$5,$B1759&amp;" "&amp;$C1759&amp;" "&amp;$D1759&amp;" "&amp;$O1759&amp;" "&amp;$I1759&amp;" "&amp;$F1759&amp;" "&amp;$J1759&amp;" "&amp;$K1759&amp;" "&amp;$L1759&amp;" "&amp;$V1759))),OR(CARI!$C$6="",$F1759=CARI!$C$6),OR(CARI!$C$7="",$G1759=CARI!$C$7),OR(CARI!$C$8="",$T1759=CARI!$C$8)),MAX($Z$3:Z1758)+1,""))</f>
        <v/>
      </c>
      <c r="AA1759" s="40" t="str">
        <f aca="false">IF($Y1759="","",MAX($AA$3:AA1758)+1)</f>
        <v/>
      </c>
      <c r="AB1759" s="40" t="str">
        <f aca="false">IF($F1759="","",$F1759&amp;"#"&amp;COUNTIF($F$4:$F1759,$F1759))</f>
        <v/>
      </c>
      <c r="AC1759" s="40" t="str">
        <f aca="false">IF($B1759="","",IF(AND(OR(CETAK!$J$10="",$F1759=CETAK!$J$10),OR(CETAK!$J$11="",$G1759=CETAK!$J$11),OR(CETAK!$J$12="",$P1759=CETAK!$J$12),OR(CETAK!$J$13="",$N1759=CETAK!$J$13),OR(CETAK!$J$14="",$T1759=CETAK!$J$14)),MAX($AC$3:AC1758)+1,""))</f>
        <v/>
      </c>
      <c r="AD1759" s="40" t="str">
        <f aca="false">IF($B1759="","",IF(AND(OR(ABSENSI!$H$10="",$F1759=ABSENSI!$H$10),OR(ABSENSI!$H$11="",$G1759=ABSENSI!$H$11),OR(ABSENSI!$H$12="",$P1759=ABSENSI!$H$12)),MAX($AD$3:AD1758)+1,""))</f>
        <v/>
      </c>
      <c r="AE1759" s="40" t="str">
        <f aca="false">IF($B1759="","",IF(AND(OR(KARTU!$K$6="",$F1759=KARTU!$K$6),OR(KARTU!$K$7="",$G1759=KARTU!$K$7),OR(KARTU!$K$8="",$P1759=KARTU!$K$8)),MAX($AE$3:AE1758)+1,""))</f>
        <v/>
      </c>
    </row>
    <row r="1760" customFormat="false" ht="15" hidden="false" customHeight="false" outlineLevel="0" collapsed="false">
      <c r="A1760" s="35" t="str">
        <f aca="false">IF($B1760="","",COUNTA($B$4:$B1760))</f>
        <v/>
      </c>
      <c r="B1760" s="36"/>
      <c r="C1760" s="37"/>
      <c r="D1760" s="37"/>
      <c r="E1760" s="38"/>
      <c r="F1760" s="36"/>
      <c r="G1760" s="39"/>
      <c r="H1760" s="39"/>
      <c r="I1760" s="36"/>
      <c r="J1760" s="36"/>
      <c r="K1760" s="36"/>
      <c r="L1760" s="36"/>
      <c r="M1760" s="40" t="str">
        <f aca="false">IF($F1760="","",$F1760&amp;IF($G1760="",""," - RT "&amp;$G1760&amp;IF($H1760="","","/"&amp;$H1760)))</f>
        <v/>
      </c>
      <c r="N1760" s="36"/>
      <c r="O1760" s="37"/>
      <c r="P1760" s="39"/>
      <c r="Q1760" s="41"/>
      <c r="R1760" s="35" t="str">
        <f aca="true">IF(OR($B1760="",$Q1760=""),"",DATEDIF($Q1760,TODAY(),"Y"))</f>
        <v/>
      </c>
      <c r="S1760" s="40" t="str">
        <f aca="false">IF($R1760="","",INDEX(usia_label,MATCH($R1760,usia_min,1)))</f>
        <v/>
      </c>
      <c r="T1760" s="36"/>
      <c r="U1760" s="41"/>
      <c r="V1760" s="36"/>
      <c r="W1760" s="36"/>
      <c r="X1760" s="40" t="str">
        <f aca="false">IF($M1760="","",$M1760&amp;"#"&amp;COUNTIF($M$4:$M1760,$M1760))</f>
        <v/>
      </c>
      <c r="Y1760" s="40" t="str">
        <f aca="false">IF($B1760="","",IF($C1760="","NIK kosong",IF(LEN($C1760)&lt;&gt;16,"NIK bukan 16 digit",IF(COUNTIF($C$4:$C$2003,$C1760&amp;"*")&gt;1,"NIK ganda",IF(AND($D1760&lt;&gt;"",LEN($D1760)&lt;&gt;16),"No. KK bukan 16 digit",IF(AND($F1760="",$I1760=""),"Alamat kosong",IF($N1760="","Jabatan kosong",IF($O1760="","No. HP kosong",IF(AND($R1760&lt;&gt;"",$R1760&lt;17),"Usia di bawah 17","")))))))))</f>
        <v/>
      </c>
      <c r="Z1760" s="40" t="str">
        <f aca="false">IF($B1760="","",IF(AND(OR(CARI!$C$5="",ISNUMBER(SEARCH(CARI!$C$5,$B1760&amp;" "&amp;$C1760&amp;" "&amp;$D1760&amp;" "&amp;$O1760&amp;" "&amp;$I1760&amp;" "&amp;$F1760&amp;" "&amp;$J1760&amp;" "&amp;$K1760&amp;" "&amp;$L1760&amp;" "&amp;$V1760))),OR(CARI!$C$6="",$F1760=CARI!$C$6),OR(CARI!$C$7="",$G1760=CARI!$C$7),OR(CARI!$C$8="",$T1760=CARI!$C$8)),MAX($Z$3:Z1759)+1,""))</f>
        <v/>
      </c>
      <c r="AA1760" s="40" t="str">
        <f aca="false">IF($Y1760="","",MAX($AA$3:AA1759)+1)</f>
        <v/>
      </c>
      <c r="AB1760" s="40" t="str">
        <f aca="false">IF($F1760="","",$F1760&amp;"#"&amp;COUNTIF($F$4:$F1760,$F1760))</f>
        <v/>
      </c>
      <c r="AC1760" s="40" t="str">
        <f aca="false">IF($B1760="","",IF(AND(OR(CETAK!$J$10="",$F1760=CETAK!$J$10),OR(CETAK!$J$11="",$G1760=CETAK!$J$11),OR(CETAK!$J$12="",$P1760=CETAK!$J$12),OR(CETAK!$J$13="",$N1760=CETAK!$J$13),OR(CETAK!$J$14="",$T1760=CETAK!$J$14)),MAX($AC$3:AC1759)+1,""))</f>
        <v/>
      </c>
      <c r="AD1760" s="40" t="str">
        <f aca="false">IF($B1760="","",IF(AND(OR(ABSENSI!$H$10="",$F1760=ABSENSI!$H$10),OR(ABSENSI!$H$11="",$G1760=ABSENSI!$H$11),OR(ABSENSI!$H$12="",$P1760=ABSENSI!$H$12)),MAX($AD$3:AD1759)+1,""))</f>
        <v/>
      </c>
      <c r="AE1760" s="40" t="str">
        <f aca="false">IF($B1760="","",IF(AND(OR(KARTU!$K$6="",$F1760=KARTU!$K$6),OR(KARTU!$K$7="",$G1760=KARTU!$K$7),OR(KARTU!$K$8="",$P1760=KARTU!$K$8)),MAX($AE$3:AE1759)+1,""))</f>
        <v/>
      </c>
    </row>
    <row r="1761" customFormat="false" ht="15" hidden="false" customHeight="false" outlineLevel="0" collapsed="false">
      <c r="A1761" s="35" t="str">
        <f aca="false">IF($B1761="","",COUNTA($B$4:$B1761))</f>
        <v/>
      </c>
      <c r="B1761" s="36"/>
      <c r="C1761" s="37"/>
      <c r="D1761" s="37"/>
      <c r="E1761" s="38"/>
      <c r="F1761" s="36"/>
      <c r="G1761" s="39"/>
      <c r="H1761" s="39"/>
      <c r="I1761" s="36"/>
      <c r="J1761" s="36"/>
      <c r="K1761" s="36"/>
      <c r="L1761" s="36"/>
      <c r="M1761" s="40" t="str">
        <f aca="false">IF($F1761="","",$F1761&amp;IF($G1761="",""," - RT "&amp;$G1761&amp;IF($H1761="","","/"&amp;$H1761)))</f>
        <v/>
      </c>
      <c r="N1761" s="36"/>
      <c r="O1761" s="37"/>
      <c r="P1761" s="39"/>
      <c r="Q1761" s="41"/>
      <c r="R1761" s="35" t="str">
        <f aca="true">IF(OR($B1761="",$Q1761=""),"",DATEDIF($Q1761,TODAY(),"Y"))</f>
        <v/>
      </c>
      <c r="S1761" s="40" t="str">
        <f aca="false">IF($R1761="","",INDEX(usia_label,MATCH($R1761,usia_min,1)))</f>
        <v/>
      </c>
      <c r="T1761" s="36"/>
      <c r="U1761" s="41"/>
      <c r="V1761" s="36"/>
      <c r="W1761" s="36"/>
      <c r="X1761" s="40" t="str">
        <f aca="false">IF($M1761="","",$M1761&amp;"#"&amp;COUNTIF($M$4:$M1761,$M1761))</f>
        <v/>
      </c>
      <c r="Y1761" s="40" t="str">
        <f aca="false">IF($B1761="","",IF($C1761="","NIK kosong",IF(LEN($C1761)&lt;&gt;16,"NIK bukan 16 digit",IF(COUNTIF($C$4:$C$2003,$C1761&amp;"*")&gt;1,"NIK ganda",IF(AND($D1761&lt;&gt;"",LEN($D1761)&lt;&gt;16),"No. KK bukan 16 digit",IF(AND($F1761="",$I1761=""),"Alamat kosong",IF($N1761="","Jabatan kosong",IF($O1761="","No. HP kosong",IF(AND($R1761&lt;&gt;"",$R1761&lt;17),"Usia di bawah 17","")))))))))</f>
        <v/>
      </c>
      <c r="Z1761" s="40" t="str">
        <f aca="false">IF($B1761="","",IF(AND(OR(CARI!$C$5="",ISNUMBER(SEARCH(CARI!$C$5,$B1761&amp;" "&amp;$C1761&amp;" "&amp;$D1761&amp;" "&amp;$O1761&amp;" "&amp;$I1761&amp;" "&amp;$F1761&amp;" "&amp;$J1761&amp;" "&amp;$K1761&amp;" "&amp;$L1761&amp;" "&amp;$V1761))),OR(CARI!$C$6="",$F1761=CARI!$C$6),OR(CARI!$C$7="",$G1761=CARI!$C$7),OR(CARI!$C$8="",$T1761=CARI!$C$8)),MAX($Z$3:Z1760)+1,""))</f>
        <v/>
      </c>
      <c r="AA1761" s="40" t="str">
        <f aca="false">IF($Y1761="","",MAX($AA$3:AA1760)+1)</f>
        <v/>
      </c>
      <c r="AB1761" s="40" t="str">
        <f aca="false">IF($F1761="","",$F1761&amp;"#"&amp;COUNTIF($F$4:$F1761,$F1761))</f>
        <v/>
      </c>
      <c r="AC1761" s="40" t="str">
        <f aca="false">IF($B1761="","",IF(AND(OR(CETAK!$J$10="",$F1761=CETAK!$J$10),OR(CETAK!$J$11="",$G1761=CETAK!$J$11),OR(CETAK!$J$12="",$P1761=CETAK!$J$12),OR(CETAK!$J$13="",$N1761=CETAK!$J$13),OR(CETAK!$J$14="",$T1761=CETAK!$J$14)),MAX($AC$3:AC1760)+1,""))</f>
        <v/>
      </c>
      <c r="AD1761" s="40" t="str">
        <f aca="false">IF($B1761="","",IF(AND(OR(ABSENSI!$H$10="",$F1761=ABSENSI!$H$10),OR(ABSENSI!$H$11="",$G1761=ABSENSI!$H$11),OR(ABSENSI!$H$12="",$P1761=ABSENSI!$H$12)),MAX($AD$3:AD1760)+1,""))</f>
        <v/>
      </c>
      <c r="AE1761" s="40" t="str">
        <f aca="false">IF($B1761="","",IF(AND(OR(KARTU!$K$6="",$F1761=KARTU!$K$6),OR(KARTU!$K$7="",$G1761=KARTU!$K$7),OR(KARTU!$K$8="",$P1761=KARTU!$K$8)),MAX($AE$3:AE1760)+1,""))</f>
        <v/>
      </c>
    </row>
    <row r="1762" customFormat="false" ht="15" hidden="false" customHeight="false" outlineLevel="0" collapsed="false">
      <c r="A1762" s="35" t="str">
        <f aca="false">IF($B1762="","",COUNTA($B$4:$B1762))</f>
        <v/>
      </c>
      <c r="B1762" s="36"/>
      <c r="C1762" s="37"/>
      <c r="D1762" s="37"/>
      <c r="E1762" s="38"/>
      <c r="F1762" s="36"/>
      <c r="G1762" s="39"/>
      <c r="H1762" s="39"/>
      <c r="I1762" s="36"/>
      <c r="J1762" s="36"/>
      <c r="K1762" s="36"/>
      <c r="L1762" s="36"/>
      <c r="M1762" s="40" t="str">
        <f aca="false">IF($F1762="","",$F1762&amp;IF($G1762="",""," - RT "&amp;$G1762&amp;IF($H1762="","","/"&amp;$H1762)))</f>
        <v/>
      </c>
      <c r="N1762" s="36"/>
      <c r="O1762" s="37"/>
      <c r="P1762" s="39"/>
      <c r="Q1762" s="41"/>
      <c r="R1762" s="35" t="str">
        <f aca="true">IF(OR($B1762="",$Q1762=""),"",DATEDIF($Q1762,TODAY(),"Y"))</f>
        <v/>
      </c>
      <c r="S1762" s="40" t="str">
        <f aca="false">IF($R1762="","",INDEX(usia_label,MATCH($R1762,usia_min,1)))</f>
        <v/>
      </c>
      <c r="T1762" s="36"/>
      <c r="U1762" s="41"/>
      <c r="V1762" s="36"/>
      <c r="W1762" s="36"/>
      <c r="X1762" s="40" t="str">
        <f aca="false">IF($M1762="","",$M1762&amp;"#"&amp;COUNTIF($M$4:$M1762,$M1762))</f>
        <v/>
      </c>
      <c r="Y1762" s="40" t="str">
        <f aca="false">IF($B1762="","",IF($C1762="","NIK kosong",IF(LEN($C1762)&lt;&gt;16,"NIK bukan 16 digit",IF(COUNTIF($C$4:$C$2003,$C1762&amp;"*")&gt;1,"NIK ganda",IF(AND($D1762&lt;&gt;"",LEN($D1762)&lt;&gt;16),"No. KK bukan 16 digit",IF(AND($F1762="",$I1762=""),"Alamat kosong",IF($N1762="","Jabatan kosong",IF($O1762="","No. HP kosong",IF(AND($R1762&lt;&gt;"",$R1762&lt;17),"Usia di bawah 17","")))))))))</f>
        <v/>
      </c>
      <c r="Z1762" s="40" t="str">
        <f aca="false">IF($B1762="","",IF(AND(OR(CARI!$C$5="",ISNUMBER(SEARCH(CARI!$C$5,$B1762&amp;" "&amp;$C1762&amp;" "&amp;$D1762&amp;" "&amp;$O1762&amp;" "&amp;$I1762&amp;" "&amp;$F1762&amp;" "&amp;$J1762&amp;" "&amp;$K1762&amp;" "&amp;$L1762&amp;" "&amp;$V1762))),OR(CARI!$C$6="",$F1762=CARI!$C$6),OR(CARI!$C$7="",$G1762=CARI!$C$7),OR(CARI!$C$8="",$T1762=CARI!$C$8)),MAX($Z$3:Z1761)+1,""))</f>
        <v/>
      </c>
      <c r="AA1762" s="40" t="str">
        <f aca="false">IF($Y1762="","",MAX($AA$3:AA1761)+1)</f>
        <v/>
      </c>
      <c r="AB1762" s="40" t="str">
        <f aca="false">IF($F1762="","",$F1762&amp;"#"&amp;COUNTIF($F$4:$F1762,$F1762))</f>
        <v/>
      </c>
      <c r="AC1762" s="40" t="str">
        <f aca="false">IF($B1762="","",IF(AND(OR(CETAK!$J$10="",$F1762=CETAK!$J$10),OR(CETAK!$J$11="",$G1762=CETAK!$J$11),OR(CETAK!$J$12="",$P1762=CETAK!$J$12),OR(CETAK!$J$13="",$N1762=CETAK!$J$13),OR(CETAK!$J$14="",$T1762=CETAK!$J$14)),MAX($AC$3:AC1761)+1,""))</f>
        <v/>
      </c>
      <c r="AD1762" s="40" t="str">
        <f aca="false">IF($B1762="","",IF(AND(OR(ABSENSI!$H$10="",$F1762=ABSENSI!$H$10),OR(ABSENSI!$H$11="",$G1762=ABSENSI!$H$11),OR(ABSENSI!$H$12="",$P1762=ABSENSI!$H$12)),MAX($AD$3:AD1761)+1,""))</f>
        <v/>
      </c>
      <c r="AE1762" s="40" t="str">
        <f aca="false">IF($B1762="","",IF(AND(OR(KARTU!$K$6="",$F1762=KARTU!$K$6),OR(KARTU!$K$7="",$G1762=KARTU!$K$7),OR(KARTU!$K$8="",$P1762=KARTU!$K$8)),MAX($AE$3:AE1761)+1,""))</f>
        <v/>
      </c>
    </row>
    <row r="1763" customFormat="false" ht="15" hidden="false" customHeight="false" outlineLevel="0" collapsed="false">
      <c r="A1763" s="35" t="str">
        <f aca="false">IF($B1763="","",COUNTA($B$4:$B1763))</f>
        <v/>
      </c>
      <c r="B1763" s="36"/>
      <c r="C1763" s="37"/>
      <c r="D1763" s="37"/>
      <c r="E1763" s="38"/>
      <c r="F1763" s="36"/>
      <c r="G1763" s="39"/>
      <c r="H1763" s="39"/>
      <c r="I1763" s="36"/>
      <c r="J1763" s="36"/>
      <c r="K1763" s="36"/>
      <c r="L1763" s="36"/>
      <c r="M1763" s="40" t="str">
        <f aca="false">IF($F1763="","",$F1763&amp;IF($G1763="",""," - RT "&amp;$G1763&amp;IF($H1763="","","/"&amp;$H1763)))</f>
        <v/>
      </c>
      <c r="N1763" s="36"/>
      <c r="O1763" s="37"/>
      <c r="P1763" s="39"/>
      <c r="Q1763" s="41"/>
      <c r="R1763" s="35" t="str">
        <f aca="true">IF(OR($B1763="",$Q1763=""),"",DATEDIF($Q1763,TODAY(),"Y"))</f>
        <v/>
      </c>
      <c r="S1763" s="40" t="str">
        <f aca="false">IF($R1763="","",INDEX(usia_label,MATCH($R1763,usia_min,1)))</f>
        <v/>
      </c>
      <c r="T1763" s="36"/>
      <c r="U1763" s="41"/>
      <c r="V1763" s="36"/>
      <c r="W1763" s="36"/>
      <c r="X1763" s="40" t="str">
        <f aca="false">IF($M1763="","",$M1763&amp;"#"&amp;COUNTIF($M$4:$M1763,$M1763))</f>
        <v/>
      </c>
      <c r="Y1763" s="40" t="str">
        <f aca="false">IF($B1763="","",IF($C1763="","NIK kosong",IF(LEN($C1763)&lt;&gt;16,"NIK bukan 16 digit",IF(COUNTIF($C$4:$C$2003,$C1763&amp;"*")&gt;1,"NIK ganda",IF(AND($D1763&lt;&gt;"",LEN($D1763)&lt;&gt;16),"No. KK bukan 16 digit",IF(AND($F1763="",$I1763=""),"Alamat kosong",IF($N1763="","Jabatan kosong",IF($O1763="","No. HP kosong",IF(AND($R1763&lt;&gt;"",$R1763&lt;17),"Usia di bawah 17","")))))))))</f>
        <v/>
      </c>
      <c r="Z1763" s="40" t="str">
        <f aca="false">IF($B1763="","",IF(AND(OR(CARI!$C$5="",ISNUMBER(SEARCH(CARI!$C$5,$B1763&amp;" "&amp;$C1763&amp;" "&amp;$D1763&amp;" "&amp;$O1763&amp;" "&amp;$I1763&amp;" "&amp;$F1763&amp;" "&amp;$J1763&amp;" "&amp;$K1763&amp;" "&amp;$L1763&amp;" "&amp;$V1763))),OR(CARI!$C$6="",$F1763=CARI!$C$6),OR(CARI!$C$7="",$G1763=CARI!$C$7),OR(CARI!$C$8="",$T1763=CARI!$C$8)),MAX($Z$3:Z1762)+1,""))</f>
        <v/>
      </c>
      <c r="AA1763" s="40" t="str">
        <f aca="false">IF($Y1763="","",MAX($AA$3:AA1762)+1)</f>
        <v/>
      </c>
      <c r="AB1763" s="40" t="str">
        <f aca="false">IF($F1763="","",$F1763&amp;"#"&amp;COUNTIF($F$4:$F1763,$F1763))</f>
        <v/>
      </c>
      <c r="AC1763" s="40" t="str">
        <f aca="false">IF($B1763="","",IF(AND(OR(CETAK!$J$10="",$F1763=CETAK!$J$10),OR(CETAK!$J$11="",$G1763=CETAK!$J$11),OR(CETAK!$J$12="",$P1763=CETAK!$J$12),OR(CETAK!$J$13="",$N1763=CETAK!$J$13),OR(CETAK!$J$14="",$T1763=CETAK!$J$14)),MAX($AC$3:AC1762)+1,""))</f>
        <v/>
      </c>
      <c r="AD1763" s="40" t="str">
        <f aca="false">IF($B1763="","",IF(AND(OR(ABSENSI!$H$10="",$F1763=ABSENSI!$H$10),OR(ABSENSI!$H$11="",$G1763=ABSENSI!$H$11),OR(ABSENSI!$H$12="",$P1763=ABSENSI!$H$12)),MAX($AD$3:AD1762)+1,""))</f>
        <v/>
      </c>
      <c r="AE1763" s="40" t="str">
        <f aca="false">IF($B1763="","",IF(AND(OR(KARTU!$K$6="",$F1763=KARTU!$K$6),OR(KARTU!$K$7="",$G1763=KARTU!$K$7),OR(KARTU!$K$8="",$P1763=KARTU!$K$8)),MAX($AE$3:AE1762)+1,""))</f>
        <v/>
      </c>
    </row>
    <row r="1764" customFormat="false" ht="15" hidden="false" customHeight="false" outlineLevel="0" collapsed="false">
      <c r="A1764" s="35" t="str">
        <f aca="false">IF($B1764="","",COUNTA($B$4:$B1764))</f>
        <v/>
      </c>
      <c r="B1764" s="36"/>
      <c r="C1764" s="37"/>
      <c r="D1764" s="37"/>
      <c r="E1764" s="38"/>
      <c r="F1764" s="36"/>
      <c r="G1764" s="39"/>
      <c r="H1764" s="39"/>
      <c r="I1764" s="36"/>
      <c r="J1764" s="36"/>
      <c r="K1764" s="36"/>
      <c r="L1764" s="36"/>
      <c r="M1764" s="40" t="str">
        <f aca="false">IF($F1764="","",$F1764&amp;IF($G1764="",""," - RT "&amp;$G1764&amp;IF($H1764="","","/"&amp;$H1764)))</f>
        <v/>
      </c>
      <c r="N1764" s="36"/>
      <c r="O1764" s="37"/>
      <c r="P1764" s="39"/>
      <c r="Q1764" s="41"/>
      <c r="R1764" s="35" t="str">
        <f aca="true">IF(OR($B1764="",$Q1764=""),"",DATEDIF($Q1764,TODAY(),"Y"))</f>
        <v/>
      </c>
      <c r="S1764" s="40" t="str">
        <f aca="false">IF($R1764="","",INDEX(usia_label,MATCH($R1764,usia_min,1)))</f>
        <v/>
      </c>
      <c r="T1764" s="36"/>
      <c r="U1764" s="41"/>
      <c r="V1764" s="36"/>
      <c r="W1764" s="36"/>
      <c r="X1764" s="40" t="str">
        <f aca="false">IF($M1764="","",$M1764&amp;"#"&amp;COUNTIF($M$4:$M1764,$M1764))</f>
        <v/>
      </c>
      <c r="Y1764" s="40" t="str">
        <f aca="false">IF($B1764="","",IF($C1764="","NIK kosong",IF(LEN($C1764)&lt;&gt;16,"NIK bukan 16 digit",IF(COUNTIF($C$4:$C$2003,$C1764&amp;"*")&gt;1,"NIK ganda",IF(AND($D1764&lt;&gt;"",LEN($D1764)&lt;&gt;16),"No. KK bukan 16 digit",IF(AND($F1764="",$I1764=""),"Alamat kosong",IF($N1764="","Jabatan kosong",IF($O1764="","No. HP kosong",IF(AND($R1764&lt;&gt;"",$R1764&lt;17),"Usia di bawah 17","")))))))))</f>
        <v/>
      </c>
      <c r="Z1764" s="40" t="str">
        <f aca="false">IF($B1764="","",IF(AND(OR(CARI!$C$5="",ISNUMBER(SEARCH(CARI!$C$5,$B1764&amp;" "&amp;$C1764&amp;" "&amp;$D1764&amp;" "&amp;$O1764&amp;" "&amp;$I1764&amp;" "&amp;$F1764&amp;" "&amp;$J1764&amp;" "&amp;$K1764&amp;" "&amp;$L1764&amp;" "&amp;$V1764))),OR(CARI!$C$6="",$F1764=CARI!$C$6),OR(CARI!$C$7="",$G1764=CARI!$C$7),OR(CARI!$C$8="",$T1764=CARI!$C$8)),MAX($Z$3:Z1763)+1,""))</f>
        <v/>
      </c>
      <c r="AA1764" s="40" t="str">
        <f aca="false">IF($Y1764="","",MAX($AA$3:AA1763)+1)</f>
        <v/>
      </c>
      <c r="AB1764" s="40" t="str">
        <f aca="false">IF($F1764="","",$F1764&amp;"#"&amp;COUNTIF($F$4:$F1764,$F1764))</f>
        <v/>
      </c>
      <c r="AC1764" s="40" t="str">
        <f aca="false">IF($B1764="","",IF(AND(OR(CETAK!$J$10="",$F1764=CETAK!$J$10),OR(CETAK!$J$11="",$G1764=CETAK!$J$11),OR(CETAK!$J$12="",$P1764=CETAK!$J$12),OR(CETAK!$J$13="",$N1764=CETAK!$J$13),OR(CETAK!$J$14="",$T1764=CETAK!$J$14)),MAX($AC$3:AC1763)+1,""))</f>
        <v/>
      </c>
      <c r="AD1764" s="40" t="str">
        <f aca="false">IF($B1764="","",IF(AND(OR(ABSENSI!$H$10="",$F1764=ABSENSI!$H$10),OR(ABSENSI!$H$11="",$G1764=ABSENSI!$H$11),OR(ABSENSI!$H$12="",$P1764=ABSENSI!$H$12)),MAX($AD$3:AD1763)+1,""))</f>
        <v/>
      </c>
      <c r="AE1764" s="40" t="str">
        <f aca="false">IF($B1764="","",IF(AND(OR(KARTU!$K$6="",$F1764=KARTU!$K$6),OR(KARTU!$K$7="",$G1764=KARTU!$K$7),OR(KARTU!$K$8="",$P1764=KARTU!$K$8)),MAX($AE$3:AE1763)+1,""))</f>
        <v/>
      </c>
    </row>
    <row r="1765" customFormat="false" ht="15" hidden="false" customHeight="false" outlineLevel="0" collapsed="false">
      <c r="A1765" s="35" t="str">
        <f aca="false">IF($B1765="","",COUNTA($B$4:$B1765))</f>
        <v/>
      </c>
      <c r="B1765" s="36"/>
      <c r="C1765" s="37"/>
      <c r="D1765" s="37"/>
      <c r="E1765" s="38"/>
      <c r="F1765" s="36"/>
      <c r="G1765" s="39"/>
      <c r="H1765" s="39"/>
      <c r="I1765" s="36"/>
      <c r="J1765" s="36"/>
      <c r="K1765" s="36"/>
      <c r="L1765" s="36"/>
      <c r="M1765" s="40" t="str">
        <f aca="false">IF($F1765="","",$F1765&amp;IF($G1765="",""," - RT "&amp;$G1765&amp;IF($H1765="","","/"&amp;$H1765)))</f>
        <v/>
      </c>
      <c r="N1765" s="36"/>
      <c r="O1765" s="37"/>
      <c r="P1765" s="39"/>
      <c r="Q1765" s="41"/>
      <c r="R1765" s="35" t="str">
        <f aca="true">IF(OR($B1765="",$Q1765=""),"",DATEDIF($Q1765,TODAY(),"Y"))</f>
        <v/>
      </c>
      <c r="S1765" s="40" t="str">
        <f aca="false">IF($R1765="","",INDEX(usia_label,MATCH($R1765,usia_min,1)))</f>
        <v/>
      </c>
      <c r="T1765" s="36"/>
      <c r="U1765" s="41"/>
      <c r="V1765" s="36"/>
      <c r="W1765" s="36"/>
      <c r="X1765" s="40" t="str">
        <f aca="false">IF($M1765="","",$M1765&amp;"#"&amp;COUNTIF($M$4:$M1765,$M1765))</f>
        <v/>
      </c>
      <c r="Y1765" s="40" t="str">
        <f aca="false">IF($B1765="","",IF($C1765="","NIK kosong",IF(LEN($C1765)&lt;&gt;16,"NIK bukan 16 digit",IF(COUNTIF($C$4:$C$2003,$C1765&amp;"*")&gt;1,"NIK ganda",IF(AND($D1765&lt;&gt;"",LEN($D1765)&lt;&gt;16),"No. KK bukan 16 digit",IF(AND($F1765="",$I1765=""),"Alamat kosong",IF($N1765="","Jabatan kosong",IF($O1765="","No. HP kosong",IF(AND($R1765&lt;&gt;"",$R1765&lt;17),"Usia di bawah 17","")))))))))</f>
        <v/>
      </c>
      <c r="Z1765" s="40" t="str">
        <f aca="false">IF($B1765="","",IF(AND(OR(CARI!$C$5="",ISNUMBER(SEARCH(CARI!$C$5,$B1765&amp;" "&amp;$C1765&amp;" "&amp;$D1765&amp;" "&amp;$O1765&amp;" "&amp;$I1765&amp;" "&amp;$F1765&amp;" "&amp;$J1765&amp;" "&amp;$K1765&amp;" "&amp;$L1765&amp;" "&amp;$V1765))),OR(CARI!$C$6="",$F1765=CARI!$C$6),OR(CARI!$C$7="",$G1765=CARI!$C$7),OR(CARI!$C$8="",$T1765=CARI!$C$8)),MAX($Z$3:Z1764)+1,""))</f>
        <v/>
      </c>
      <c r="AA1765" s="40" t="str">
        <f aca="false">IF($Y1765="","",MAX($AA$3:AA1764)+1)</f>
        <v/>
      </c>
      <c r="AB1765" s="40" t="str">
        <f aca="false">IF($F1765="","",$F1765&amp;"#"&amp;COUNTIF($F$4:$F1765,$F1765))</f>
        <v/>
      </c>
      <c r="AC1765" s="40" t="str">
        <f aca="false">IF($B1765="","",IF(AND(OR(CETAK!$J$10="",$F1765=CETAK!$J$10),OR(CETAK!$J$11="",$G1765=CETAK!$J$11),OR(CETAK!$J$12="",$P1765=CETAK!$J$12),OR(CETAK!$J$13="",$N1765=CETAK!$J$13),OR(CETAK!$J$14="",$T1765=CETAK!$J$14)),MAX($AC$3:AC1764)+1,""))</f>
        <v/>
      </c>
      <c r="AD1765" s="40" t="str">
        <f aca="false">IF($B1765="","",IF(AND(OR(ABSENSI!$H$10="",$F1765=ABSENSI!$H$10),OR(ABSENSI!$H$11="",$G1765=ABSENSI!$H$11),OR(ABSENSI!$H$12="",$P1765=ABSENSI!$H$12)),MAX($AD$3:AD1764)+1,""))</f>
        <v/>
      </c>
      <c r="AE1765" s="40" t="str">
        <f aca="false">IF($B1765="","",IF(AND(OR(KARTU!$K$6="",$F1765=KARTU!$K$6),OR(KARTU!$K$7="",$G1765=KARTU!$K$7),OR(KARTU!$K$8="",$P1765=KARTU!$K$8)),MAX($AE$3:AE1764)+1,""))</f>
        <v/>
      </c>
    </row>
    <row r="1766" customFormat="false" ht="15" hidden="false" customHeight="false" outlineLevel="0" collapsed="false">
      <c r="A1766" s="35" t="str">
        <f aca="false">IF($B1766="","",COUNTA($B$4:$B1766))</f>
        <v/>
      </c>
      <c r="B1766" s="36"/>
      <c r="C1766" s="37"/>
      <c r="D1766" s="37"/>
      <c r="E1766" s="38"/>
      <c r="F1766" s="36"/>
      <c r="G1766" s="39"/>
      <c r="H1766" s="39"/>
      <c r="I1766" s="36"/>
      <c r="J1766" s="36"/>
      <c r="K1766" s="36"/>
      <c r="L1766" s="36"/>
      <c r="M1766" s="40" t="str">
        <f aca="false">IF($F1766="","",$F1766&amp;IF($G1766="",""," - RT "&amp;$G1766&amp;IF($H1766="","","/"&amp;$H1766)))</f>
        <v/>
      </c>
      <c r="N1766" s="36"/>
      <c r="O1766" s="37"/>
      <c r="P1766" s="39"/>
      <c r="Q1766" s="41"/>
      <c r="R1766" s="35" t="str">
        <f aca="true">IF(OR($B1766="",$Q1766=""),"",DATEDIF($Q1766,TODAY(),"Y"))</f>
        <v/>
      </c>
      <c r="S1766" s="40" t="str">
        <f aca="false">IF($R1766="","",INDEX(usia_label,MATCH($R1766,usia_min,1)))</f>
        <v/>
      </c>
      <c r="T1766" s="36"/>
      <c r="U1766" s="41"/>
      <c r="V1766" s="36"/>
      <c r="W1766" s="36"/>
      <c r="X1766" s="40" t="str">
        <f aca="false">IF($M1766="","",$M1766&amp;"#"&amp;COUNTIF($M$4:$M1766,$M1766))</f>
        <v/>
      </c>
      <c r="Y1766" s="40" t="str">
        <f aca="false">IF($B1766="","",IF($C1766="","NIK kosong",IF(LEN($C1766)&lt;&gt;16,"NIK bukan 16 digit",IF(COUNTIF($C$4:$C$2003,$C1766&amp;"*")&gt;1,"NIK ganda",IF(AND($D1766&lt;&gt;"",LEN($D1766)&lt;&gt;16),"No. KK bukan 16 digit",IF(AND($F1766="",$I1766=""),"Alamat kosong",IF($N1766="","Jabatan kosong",IF($O1766="","No. HP kosong",IF(AND($R1766&lt;&gt;"",$R1766&lt;17),"Usia di bawah 17","")))))))))</f>
        <v/>
      </c>
      <c r="Z1766" s="40" t="str">
        <f aca="false">IF($B1766="","",IF(AND(OR(CARI!$C$5="",ISNUMBER(SEARCH(CARI!$C$5,$B1766&amp;" "&amp;$C1766&amp;" "&amp;$D1766&amp;" "&amp;$O1766&amp;" "&amp;$I1766&amp;" "&amp;$F1766&amp;" "&amp;$J1766&amp;" "&amp;$K1766&amp;" "&amp;$L1766&amp;" "&amp;$V1766))),OR(CARI!$C$6="",$F1766=CARI!$C$6),OR(CARI!$C$7="",$G1766=CARI!$C$7),OR(CARI!$C$8="",$T1766=CARI!$C$8)),MAX($Z$3:Z1765)+1,""))</f>
        <v/>
      </c>
      <c r="AA1766" s="40" t="str">
        <f aca="false">IF($Y1766="","",MAX($AA$3:AA1765)+1)</f>
        <v/>
      </c>
      <c r="AB1766" s="40" t="str">
        <f aca="false">IF($F1766="","",$F1766&amp;"#"&amp;COUNTIF($F$4:$F1766,$F1766))</f>
        <v/>
      </c>
      <c r="AC1766" s="40" t="str">
        <f aca="false">IF($B1766="","",IF(AND(OR(CETAK!$J$10="",$F1766=CETAK!$J$10),OR(CETAK!$J$11="",$G1766=CETAK!$J$11),OR(CETAK!$J$12="",$P1766=CETAK!$J$12),OR(CETAK!$J$13="",$N1766=CETAK!$J$13),OR(CETAK!$J$14="",$T1766=CETAK!$J$14)),MAX($AC$3:AC1765)+1,""))</f>
        <v/>
      </c>
      <c r="AD1766" s="40" t="str">
        <f aca="false">IF($B1766="","",IF(AND(OR(ABSENSI!$H$10="",$F1766=ABSENSI!$H$10),OR(ABSENSI!$H$11="",$G1766=ABSENSI!$H$11),OR(ABSENSI!$H$12="",$P1766=ABSENSI!$H$12)),MAX($AD$3:AD1765)+1,""))</f>
        <v/>
      </c>
      <c r="AE1766" s="40" t="str">
        <f aca="false">IF($B1766="","",IF(AND(OR(KARTU!$K$6="",$F1766=KARTU!$K$6),OR(KARTU!$K$7="",$G1766=KARTU!$K$7),OR(KARTU!$K$8="",$P1766=KARTU!$K$8)),MAX($AE$3:AE1765)+1,""))</f>
        <v/>
      </c>
    </row>
    <row r="1767" customFormat="false" ht="15" hidden="false" customHeight="false" outlineLevel="0" collapsed="false">
      <c r="A1767" s="35" t="str">
        <f aca="false">IF($B1767="","",COUNTA($B$4:$B1767))</f>
        <v/>
      </c>
      <c r="B1767" s="36"/>
      <c r="C1767" s="37"/>
      <c r="D1767" s="37"/>
      <c r="E1767" s="38"/>
      <c r="F1767" s="36"/>
      <c r="G1767" s="39"/>
      <c r="H1767" s="39"/>
      <c r="I1767" s="36"/>
      <c r="J1767" s="36"/>
      <c r="K1767" s="36"/>
      <c r="L1767" s="36"/>
      <c r="M1767" s="40" t="str">
        <f aca="false">IF($F1767="","",$F1767&amp;IF($G1767="",""," - RT "&amp;$G1767&amp;IF($H1767="","","/"&amp;$H1767)))</f>
        <v/>
      </c>
      <c r="N1767" s="36"/>
      <c r="O1767" s="37"/>
      <c r="P1767" s="39"/>
      <c r="Q1767" s="41"/>
      <c r="R1767" s="35" t="str">
        <f aca="true">IF(OR($B1767="",$Q1767=""),"",DATEDIF($Q1767,TODAY(),"Y"))</f>
        <v/>
      </c>
      <c r="S1767" s="40" t="str">
        <f aca="false">IF($R1767="","",INDEX(usia_label,MATCH($R1767,usia_min,1)))</f>
        <v/>
      </c>
      <c r="T1767" s="36"/>
      <c r="U1767" s="41"/>
      <c r="V1767" s="36"/>
      <c r="W1767" s="36"/>
      <c r="X1767" s="40" t="str">
        <f aca="false">IF($M1767="","",$M1767&amp;"#"&amp;COUNTIF($M$4:$M1767,$M1767))</f>
        <v/>
      </c>
      <c r="Y1767" s="40" t="str">
        <f aca="false">IF($B1767="","",IF($C1767="","NIK kosong",IF(LEN($C1767)&lt;&gt;16,"NIK bukan 16 digit",IF(COUNTIF($C$4:$C$2003,$C1767&amp;"*")&gt;1,"NIK ganda",IF(AND($D1767&lt;&gt;"",LEN($D1767)&lt;&gt;16),"No. KK bukan 16 digit",IF(AND($F1767="",$I1767=""),"Alamat kosong",IF($N1767="","Jabatan kosong",IF($O1767="","No. HP kosong",IF(AND($R1767&lt;&gt;"",$R1767&lt;17),"Usia di bawah 17","")))))))))</f>
        <v/>
      </c>
      <c r="Z1767" s="40" t="str">
        <f aca="false">IF($B1767="","",IF(AND(OR(CARI!$C$5="",ISNUMBER(SEARCH(CARI!$C$5,$B1767&amp;" "&amp;$C1767&amp;" "&amp;$D1767&amp;" "&amp;$O1767&amp;" "&amp;$I1767&amp;" "&amp;$F1767&amp;" "&amp;$J1767&amp;" "&amp;$K1767&amp;" "&amp;$L1767&amp;" "&amp;$V1767))),OR(CARI!$C$6="",$F1767=CARI!$C$6),OR(CARI!$C$7="",$G1767=CARI!$C$7),OR(CARI!$C$8="",$T1767=CARI!$C$8)),MAX($Z$3:Z1766)+1,""))</f>
        <v/>
      </c>
      <c r="AA1767" s="40" t="str">
        <f aca="false">IF($Y1767="","",MAX($AA$3:AA1766)+1)</f>
        <v/>
      </c>
      <c r="AB1767" s="40" t="str">
        <f aca="false">IF($F1767="","",$F1767&amp;"#"&amp;COUNTIF($F$4:$F1767,$F1767))</f>
        <v/>
      </c>
      <c r="AC1767" s="40" t="str">
        <f aca="false">IF($B1767="","",IF(AND(OR(CETAK!$J$10="",$F1767=CETAK!$J$10),OR(CETAK!$J$11="",$G1767=CETAK!$J$11),OR(CETAK!$J$12="",$P1767=CETAK!$J$12),OR(CETAK!$J$13="",$N1767=CETAK!$J$13),OR(CETAK!$J$14="",$T1767=CETAK!$J$14)),MAX($AC$3:AC1766)+1,""))</f>
        <v/>
      </c>
      <c r="AD1767" s="40" t="str">
        <f aca="false">IF($B1767="","",IF(AND(OR(ABSENSI!$H$10="",$F1767=ABSENSI!$H$10),OR(ABSENSI!$H$11="",$G1767=ABSENSI!$H$11),OR(ABSENSI!$H$12="",$P1767=ABSENSI!$H$12)),MAX($AD$3:AD1766)+1,""))</f>
        <v/>
      </c>
      <c r="AE1767" s="40" t="str">
        <f aca="false">IF($B1767="","",IF(AND(OR(KARTU!$K$6="",$F1767=KARTU!$K$6),OR(KARTU!$K$7="",$G1767=KARTU!$K$7),OR(KARTU!$K$8="",$P1767=KARTU!$K$8)),MAX($AE$3:AE1766)+1,""))</f>
        <v/>
      </c>
    </row>
    <row r="1768" customFormat="false" ht="15" hidden="false" customHeight="false" outlineLevel="0" collapsed="false">
      <c r="A1768" s="35" t="str">
        <f aca="false">IF($B1768="","",COUNTA($B$4:$B1768))</f>
        <v/>
      </c>
      <c r="B1768" s="36"/>
      <c r="C1768" s="37"/>
      <c r="D1768" s="37"/>
      <c r="E1768" s="38"/>
      <c r="F1768" s="36"/>
      <c r="G1768" s="39"/>
      <c r="H1768" s="39"/>
      <c r="I1768" s="36"/>
      <c r="J1768" s="36"/>
      <c r="K1768" s="36"/>
      <c r="L1768" s="36"/>
      <c r="M1768" s="40" t="str">
        <f aca="false">IF($F1768="","",$F1768&amp;IF($G1768="",""," - RT "&amp;$G1768&amp;IF($H1768="","","/"&amp;$H1768)))</f>
        <v/>
      </c>
      <c r="N1768" s="36"/>
      <c r="O1768" s="37"/>
      <c r="P1768" s="39"/>
      <c r="Q1768" s="41"/>
      <c r="R1768" s="35" t="str">
        <f aca="true">IF(OR($B1768="",$Q1768=""),"",DATEDIF($Q1768,TODAY(),"Y"))</f>
        <v/>
      </c>
      <c r="S1768" s="40" t="str">
        <f aca="false">IF($R1768="","",INDEX(usia_label,MATCH($R1768,usia_min,1)))</f>
        <v/>
      </c>
      <c r="T1768" s="36"/>
      <c r="U1768" s="41"/>
      <c r="V1768" s="36"/>
      <c r="W1768" s="36"/>
      <c r="X1768" s="40" t="str">
        <f aca="false">IF($M1768="","",$M1768&amp;"#"&amp;COUNTIF($M$4:$M1768,$M1768))</f>
        <v/>
      </c>
      <c r="Y1768" s="40" t="str">
        <f aca="false">IF($B1768="","",IF($C1768="","NIK kosong",IF(LEN($C1768)&lt;&gt;16,"NIK bukan 16 digit",IF(COUNTIF($C$4:$C$2003,$C1768&amp;"*")&gt;1,"NIK ganda",IF(AND($D1768&lt;&gt;"",LEN($D1768)&lt;&gt;16),"No. KK bukan 16 digit",IF(AND($F1768="",$I1768=""),"Alamat kosong",IF($N1768="","Jabatan kosong",IF($O1768="","No. HP kosong",IF(AND($R1768&lt;&gt;"",$R1768&lt;17),"Usia di bawah 17","")))))))))</f>
        <v/>
      </c>
      <c r="Z1768" s="40" t="str">
        <f aca="false">IF($B1768="","",IF(AND(OR(CARI!$C$5="",ISNUMBER(SEARCH(CARI!$C$5,$B1768&amp;" "&amp;$C1768&amp;" "&amp;$D1768&amp;" "&amp;$O1768&amp;" "&amp;$I1768&amp;" "&amp;$F1768&amp;" "&amp;$J1768&amp;" "&amp;$K1768&amp;" "&amp;$L1768&amp;" "&amp;$V1768))),OR(CARI!$C$6="",$F1768=CARI!$C$6),OR(CARI!$C$7="",$G1768=CARI!$C$7),OR(CARI!$C$8="",$T1768=CARI!$C$8)),MAX($Z$3:Z1767)+1,""))</f>
        <v/>
      </c>
      <c r="AA1768" s="40" t="str">
        <f aca="false">IF($Y1768="","",MAX($AA$3:AA1767)+1)</f>
        <v/>
      </c>
      <c r="AB1768" s="40" t="str">
        <f aca="false">IF($F1768="","",$F1768&amp;"#"&amp;COUNTIF($F$4:$F1768,$F1768))</f>
        <v/>
      </c>
      <c r="AC1768" s="40" t="str">
        <f aca="false">IF($B1768="","",IF(AND(OR(CETAK!$J$10="",$F1768=CETAK!$J$10),OR(CETAK!$J$11="",$G1768=CETAK!$J$11),OR(CETAK!$J$12="",$P1768=CETAK!$J$12),OR(CETAK!$J$13="",$N1768=CETAK!$J$13),OR(CETAK!$J$14="",$T1768=CETAK!$J$14)),MAX($AC$3:AC1767)+1,""))</f>
        <v/>
      </c>
      <c r="AD1768" s="40" t="str">
        <f aca="false">IF($B1768="","",IF(AND(OR(ABSENSI!$H$10="",$F1768=ABSENSI!$H$10),OR(ABSENSI!$H$11="",$G1768=ABSENSI!$H$11),OR(ABSENSI!$H$12="",$P1768=ABSENSI!$H$12)),MAX($AD$3:AD1767)+1,""))</f>
        <v/>
      </c>
      <c r="AE1768" s="40" t="str">
        <f aca="false">IF($B1768="","",IF(AND(OR(KARTU!$K$6="",$F1768=KARTU!$K$6),OR(KARTU!$K$7="",$G1768=KARTU!$K$7),OR(KARTU!$K$8="",$P1768=KARTU!$K$8)),MAX($AE$3:AE1767)+1,""))</f>
        <v/>
      </c>
    </row>
    <row r="1769" customFormat="false" ht="15" hidden="false" customHeight="false" outlineLevel="0" collapsed="false">
      <c r="A1769" s="35" t="str">
        <f aca="false">IF($B1769="","",COUNTA($B$4:$B1769))</f>
        <v/>
      </c>
      <c r="B1769" s="36"/>
      <c r="C1769" s="37"/>
      <c r="D1769" s="37"/>
      <c r="E1769" s="38"/>
      <c r="F1769" s="36"/>
      <c r="G1769" s="39"/>
      <c r="H1769" s="39"/>
      <c r="I1769" s="36"/>
      <c r="J1769" s="36"/>
      <c r="K1769" s="36"/>
      <c r="L1769" s="36"/>
      <c r="M1769" s="40" t="str">
        <f aca="false">IF($F1769="","",$F1769&amp;IF($G1769="",""," - RT "&amp;$G1769&amp;IF($H1769="","","/"&amp;$H1769)))</f>
        <v/>
      </c>
      <c r="N1769" s="36"/>
      <c r="O1769" s="37"/>
      <c r="P1769" s="39"/>
      <c r="Q1769" s="41"/>
      <c r="R1769" s="35" t="str">
        <f aca="true">IF(OR($B1769="",$Q1769=""),"",DATEDIF($Q1769,TODAY(),"Y"))</f>
        <v/>
      </c>
      <c r="S1769" s="40" t="str">
        <f aca="false">IF($R1769="","",INDEX(usia_label,MATCH($R1769,usia_min,1)))</f>
        <v/>
      </c>
      <c r="T1769" s="36"/>
      <c r="U1769" s="41"/>
      <c r="V1769" s="36"/>
      <c r="W1769" s="36"/>
      <c r="X1769" s="40" t="str">
        <f aca="false">IF($M1769="","",$M1769&amp;"#"&amp;COUNTIF($M$4:$M1769,$M1769))</f>
        <v/>
      </c>
      <c r="Y1769" s="40" t="str">
        <f aca="false">IF($B1769="","",IF($C1769="","NIK kosong",IF(LEN($C1769)&lt;&gt;16,"NIK bukan 16 digit",IF(COUNTIF($C$4:$C$2003,$C1769&amp;"*")&gt;1,"NIK ganda",IF(AND($D1769&lt;&gt;"",LEN($D1769)&lt;&gt;16),"No. KK bukan 16 digit",IF(AND($F1769="",$I1769=""),"Alamat kosong",IF($N1769="","Jabatan kosong",IF($O1769="","No. HP kosong",IF(AND($R1769&lt;&gt;"",$R1769&lt;17),"Usia di bawah 17","")))))))))</f>
        <v/>
      </c>
      <c r="Z1769" s="40" t="str">
        <f aca="false">IF($B1769="","",IF(AND(OR(CARI!$C$5="",ISNUMBER(SEARCH(CARI!$C$5,$B1769&amp;" "&amp;$C1769&amp;" "&amp;$D1769&amp;" "&amp;$O1769&amp;" "&amp;$I1769&amp;" "&amp;$F1769&amp;" "&amp;$J1769&amp;" "&amp;$K1769&amp;" "&amp;$L1769&amp;" "&amp;$V1769))),OR(CARI!$C$6="",$F1769=CARI!$C$6),OR(CARI!$C$7="",$G1769=CARI!$C$7),OR(CARI!$C$8="",$T1769=CARI!$C$8)),MAX($Z$3:Z1768)+1,""))</f>
        <v/>
      </c>
      <c r="AA1769" s="40" t="str">
        <f aca="false">IF($Y1769="","",MAX($AA$3:AA1768)+1)</f>
        <v/>
      </c>
      <c r="AB1769" s="40" t="str">
        <f aca="false">IF($F1769="","",$F1769&amp;"#"&amp;COUNTIF($F$4:$F1769,$F1769))</f>
        <v/>
      </c>
      <c r="AC1769" s="40" t="str">
        <f aca="false">IF($B1769="","",IF(AND(OR(CETAK!$J$10="",$F1769=CETAK!$J$10),OR(CETAK!$J$11="",$G1769=CETAK!$J$11),OR(CETAK!$J$12="",$P1769=CETAK!$J$12),OR(CETAK!$J$13="",$N1769=CETAK!$J$13),OR(CETAK!$J$14="",$T1769=CETAK!$J$14)),MAX($AC$3:AC1768)+1,""))</f>
        <v/>
      </c>
      <c r="AD1769" s="40" t="str">
        <f aca="false">IF($B1769="","",IF(AND(OR(ABSENSI!$H$10="",$F1769=ABSENSI!$H$10),OR(ABSENSI!$H$11="",$G1769=ABSENSI!$H$11),OR(ABSENSI!$H$12="",$P1769=ABSENSI!$H$12)),MAX($AD$3:AD1768)+1,""))</f>
        <v/>
      </c>
      <c r="AE1769" s="40" t="str">
        <f aca="false">IF($B1769="","",IF(AND(OR(KARTU!$K$6="",$F1769=KARTU!$K$6),OR(KARTU!$K$7="",$G1769=KARTU!$K$7),OR(KARTU!$K$8="",$P1769=KARTU!$K$8)),MAX($AE$3:AE1768)+1,""))</f>
        <v/>
      </c>
    </row>
    <row r="1770" customFormat="false" ht="15" hidden="false" customHeight="false" outlineLevel="0" collapsed="false">
      <c r="A1770" s="35" t="str">
        <f aca="false">IF($B1770="","",COUNTA($B$4:$B1770))</f>
        <v/>
      </c>
      <c r="B1770" s="36"/>
      <c r="C1770" s="37"/>
      <c r="D1770" s="37"/>
      <c r="E1770" s="38"/>
      <c r="F1770" s="36"/>
      <c r="G1770" s="39"/>
      <c r="H1770" s="39"/>
      <c r="I1770" s="36"/>
      <c r="J1770" s="36"/>
      <c r="K1770" s="36"/>
      <c r="L1770" s="36"/>
      <c r="M1770" s="40" t="str">
        <f aca="false">IF($F1770="","",$F1770&amp;IF($G1770="",""," - RT "&amp;$G1770&amp;IF($H1770="","","/"&amp;$H1770)))</f>
        <v/>
      </c>
      <c r="N1770" s="36"/>
      <c r="O1770" s="37"/>
      <c r="P1770" s="39"/>
      <c r="Q1770" s="41"/>
      <c r="R1770" s="35" t="str">
        <f aca="true">IF(OR($B1770="",$Q1770=""),"",DATEDIF($Q1770,TODAY(),"Y"))</f>
        <v/>
      </c>
      <c r="S1770" s="40" t="str">
        <f aca="false">IF($R1770="","",INDEX(usia_label,MATCH($R1770,usia_min,1)))</f>
        <v/>
      </c>
      <c r="T1770" s="36"/>
      <c r="U1770" s="41"/>
      <c r="V1770" s="36"/>
      <c r="W1770" s="36"/>
      <c r="X1770" s="40" t="str">
        <f aca="false">IF($M1770="","",$M1770&amp;"#"&amp;COUNTIF($M$4:$M1770,$M1770))</f>
        <v/>
      </c>
      <c r="Y1770" s="40" t="str">
        <f aca="false">IF($B1770="","",IF($C1770="","NIK kosong",IF(LEN($C1770)&lt;&gt;16,"NIK bukan 16 digit",IF(COUNTIF($C$4:$C$2003,$C1770&amp;"*")&gt;1,"NIK ganda",IF(AND($D1770&lt;&gt;"",LEN($D1770)&lt;&gt;16),"No. KK bukan 16 digit",IF(AND($F1770="",$I1770=""),"Alamat kosong",IF($N1770="","Jabatan kosong",IF($O1770="","No. HP kosong",IF(AND($R1770&lt;&gt;"",$R1770&lt;17),"Usia di bawah 17","")))))))))</f>
        <v/>
      </c>
      <c r="Z1770" s="40" t="str">
        <f aca="false">IF($B1770="","",IF(AND(OR(CARI!$C$5="",ISNUMBER(SEARCH(CARI!$C$5,$B1770&amp;" "&amp;$C1770&amp;" "&amp;$D1770&amp;" "&amp;$O1770&amp;" "&amp;$I1770&amp;" "&amp;$F1770&amp;" "&amp;$J1770&amp;" "&amp;$K1770&amp;" "&amp;$L1770&amp;" "&amp;$V1770))),OR(CARI!$C$6="",$F1770=CARI!$C$6),OR(CARI!$C$7="",$G1770=CARI!$C$7),OR(CARI!$C$8="",$T1770=CARI!$C$8)),MAX($Z$3:Z1769)+1,""))</f>
        <v/>
      </c>
      <c r="AA1770" s="40" t="str">
        <f aca="false">IF($Y1770="","",MAX($AA$3:AA1769)+1)</f>
        <v/>
      </c>
      <c r="AB1770" s="40" t="str">
        <f aca="false">IF($F1770="","",$F1770&amp;"#"&amp;COUNTIF($F$4:$F1770,$F1770))</f>
        <v/>
      </c>
      <c r="AC1770" s="40" t="str">
        <f aca="false">IF($B1770="","",IF(AND(OR(CETAK!$J$10="",$F1770=CETAK!$J$10),OR(CETAK!$J$11="",$G1770=CETAK!$J$11),OR(CETAK!$J$12="",$P1770=CETAK!$J$12),OR(CETAK!$J$13="",$N1770=CETAK!$J$13),OR(CETAK!$J$14="",$T1770=CETAK!$J$14)),MAX($AC$3:AC1769)+1,""))</f>
        <v/>
      </c>
      <c r="AD1770" s="40" t="str">
        <f aca="false">IF($B1770="","",IF(AND(OR(ABSENSI!$H$10="",$F1770=ABSENSI!$H$10),OR(ABSENSI!$H$11="",$G1770=ABSENSI!$H$11),OR(ABSENSI!$H$12="",$P1770=ABSENSI!$H$12)),MAX($AD$3:AD1769)+1,""))</f>
        <v/>
      </c>
      <c r="AE1770" s="40" t="str">
        <f aca="false">IF($B1770="","",IF(AND(OR(KARTU!$K$6="",$F1770=KARTU!$K$6),OR(KARTU!$K$7="",$G1770=KARTU!$K$7),OR(KARTU!$K$8="",$P1770=KARTU!$K$8)),MAX($AE$3:AE1769)+1,""))</f>
        <v/>
      </c>
    </row>
    <row r="1771" customFormat="false" ht="15" hidden="false" customHeight="false" outlineLevel="0" collapsed="false">
      <c r="A1771" s="35" t="str">
        <f aca="false">IF($B1771="","",COUNTA($B$4:$B1771))</f>
        <v/>
      </c>
      <c r="B1771" s="36"/>
      <c r="C1771" s="37"/>
      <c r="D1771" s="37"/>
      <c r="E1771" s="38"/>
      <c r="F1771" s="36"/>
      <c r="G1771" s="39"/>
      <c r="H1771" s="39"/>
      <c r="I1771" s="36"/>
      <c r="J1771" s="36"/>
      <c r="K1771" s="36"/>
      <c r="L1771" s="36"/>
      <c r="M1771" s="40" t="str">
        <f aca="false">IF($F1771="","",$F1771&amp;IF($G1771="",""," - RT "&amp;$G1771&amp;IF($H1771="","","/"&amp;$H1771)))</f>
        <v/>
      </c>
      <c r="N1771" s="36"/>
      <c r="O1771" s="37"/>
      <c r="P1771" s="39"/>
      <c r="Q1771" s="41"/>
      <c r="R1771" s="35" t="str">
        <f aca="true">IF(OR($B1771="",$Q1771=""),"",DATEDIF($Q1771,TODAY(),"Y"))</f>
        <v/>
      </c>
      <c r="S1771" s="40" t="str">
        <f aca="false">IF($R1771="","",INDEX(usia_label,MATCH($R1771,usia_min,1)))</f>
        <v/>
      </c>
      <c r="T1771" s="36"/>
      <c r="U1771" s="41"/>
      <c r="V1771" s="36"/>
      <c r="W1771" s="36"/>
      <c r="X1771" s="40" t="str">
        <f aca="false">IF($M1771="","",$M1771&amp;"#"&amp;COUNTIF($M$4:$M1771,$M1771))</f>
        <v/>
      </c>
      <c r="Y1771" s="40" t="str">
        <f aca="false">IF($B1771="","",IF($C1771="","NIK kosong",IF(LEN($C1771)&lt;&gt;16,"NIK bukan 16 digit",IF(COUNTIF($C$4:$C$2003,$C1771&amp;"*")&gt;1,"NIK ganda",IF(AND($D1771&lt;&gt;"",LEN($D1771)&lt;&gt;16),"No. KK bukan 16 digit",IF(AND($F1771="",$I1771=""),"Alamat kosong",IF($N1771="","Jabatan kosong",IF($O1771="","No. HP kosong",IF(AND($R1771&lt;&gt;"",$R1771&lt;17),"Usia di bawah 17","")))))))))</f>
        <v/>
      </c>
      <c r="Z1771" s="40" t="str">
        <f aca="false">IF($B1771="","",IF(AND(OR(CARI!$C$5="",ISNUMBER(SEARCH(CARI!$C$5,$B1771&amp;" "&amp;$C1771&amp;" "&amp;$D1771&amp;" "&amp;$O1771&amp;" "&amp;$I1771&amp;" "&amp;$F1771&amp;" "&amp;$J1771&amp;" "&amp;$K1771&amp;" "&amp;$L1771&amp;" "&amp;$V1771))),OR(CARI!$C$6="",$F1771=CARI!$C$6),OR(CARI!$C$7="",$G1771=CARI!$C$7),OR(CARI!$C$8="",$T1771=CARI!$C$8)),MAX($Z$3:Z1770)+1,""))</f>
        <v/>
      </c>
      <c r="AA1771" s="40" t="str">
        <f aca="false">IF($Y1771="","",MAX($AA$3:AA1770)+1)</f>
        <v/>
      </c>
      <c r="AB1771" s="40" t="str">
        <f aca="false">IF($F1771="","",$F1771&amp;"#"&amp;COUNTIF($F$4:$F1771,$F1771))</f>
        <v/>
      </c>
      <c r="AC1771" s="40" t="str">
        <f aca="false">IF($B1771="","",IF(AND(OR(CETAK!$J$10="",$F1771=CETAK!$J$10),OR(CETAK!$J$11="",$G1771=CETAK!$J$11),OR(CETAK!$J$12="",$P1771=CETAK!$J$12),OR(CETAK!$J$13="",$N1771=CETAK!$J$13),OR(CETAK!$J$14="",$T1771=CETAK!$J$14)),MAX($AC$3:AC1770)+1,""))</f>
        <v/>
      </c>
      <c r="AD1771" s="40" t="str">
        <f aca="false">IF($B1771="","",IF(AND(OR(ABSENSI!$H$10="",$F1771=ABSENSI!$H$10),OR(ABSENSI!$H$11="",$G1771=ABSENSI!$H$11),OR(ABSENSI!$H$12="",$P1771=ABSENSI!$H$12)),MAX($AD$3:AD1770)+1,""))</f>
        <v/>
      </c>
      <c r="AE1771" s="40" t="str">
        <f aca="false">IF($B1771="","",IF(AND(OR(KARTU!$K$6="",$F1771=KARTU!$K$6),OR(KARTU!$K$7="",$G1771=KARTU!$K$7),OR(KARTU!$K$8="",$P1771=KARTU!$K$8)),MAX($AE$3:AE1770)+1,""))</f>
        <v/>
      </c>
    </row>
    <row r="1772" customFormat="false" ht="15" hidden="false" customHeight="false" outlineLevel="0" collapsed="false">
      <c r="A1772" s="35" t="str">
        <f aca="false">IF($B1772="","",COUNTA($B$4:$B1772))</f>
        <v/>
      </c>
      <c r="B1772" s="36"/>
      <c r="C1772" s="37"/>
      <c r="D1772" s="37"/>
      <c r="E1772" s="38"/>
      <c r="F1772" s="36"/>
      <c r="G1772" s="39"/>
      <c r="H1772" s="39"/>
      <c r="I1772" s="36"/>
      <c r="J1772" s="36"/>
      <c r="K1772" s="36"/>
      <c r="L1772" s="36"/>
      <c r="M1772" s="40" t="str">
        <f aca="false">IF($F1772="","",$F1772&amp;IF($G1772="",""," - RT "&amp;$G1772&amp;IF($H1772="","","/"&amp;$H1772)))</f>
        <v/>
      </c>
      <c r="N1772" s="36"/>
      <c r="O1772" s="37"/>
      <c r="P1772" s="39"/>
      <c r="Q1772" s="41"/>
      <c r="R1772" s="35" t="str">
        <f aca="true">IF(OR($B1772="",$Q1772=""),"",DATEDIF($Q1772,TODAY(),"Y"))</f>
        <v/>
      </c>
      <c r="S1772" s="40" t="str">
        <f aca="false">IF($R1772="","",INDEX(usia_label,MATCH($R1772,usia_min,1)))</f>
        <v/>
      </c>
      <c r="T1772" s="36"/>
      <c r="U1772" s="41"/>
      <c r="V1772" s="36"/>
      <c r="W1772" s="36"/>
      <c r="X1772" s="40" t="str">
        <f aca="false">IF($M1772="","",$M1772&amp;"#"&amp;COUNTIF($M$4:$M1772,$M1772))</f>
        <v/>
      </c>
      <c r="Y1772" s="40" t="str">
        <f aca="false">IF($B1772="","",IF($C1772="","NIK kosong",IF(LEN($C1772)&lt;&gt;16,"NIK bukan 16 digit",IF(COUNTIF($C$4:$C$2003,$C1772&amp;"*")&gt;1,"NIK ganda",IF(AND($D1772&lt;&gt;"",LEN($D1772)&lt;&gt;16),"No. KK bukan 16 digit",IF(AND($F1772="",$I1772=""),"Alamat kosong",IF($N1772="","Jabatan kosong",IF($O1772="","No. HP kosong",IF(AND($R1772&lt;&gt;"",$R1772&lt;17),"Usia di bawah 17","")))))))))</f>
        <v/>
      </c>
      <c r="Z1772" s="40" t="str">
        <f aca="false">IF($B1772="","",IF(AND(OR(CARI!$C$5="",ISNUMBER(SEARCH(CARI!$C$5,$B1772&amp;" "&amp;$C1772&amp;" "&amp;$D1772&amp;" "&amp;$O1772&amp;" "&amp;$I1772&amp;" "&amp;$F1772&amp;" "&amp;$J1772&amp;" "&amp;$K1772&amp;" "&amp;$L1772&amp;" "&amp;$V1772))),OR(CARI!$C$6="",$F1772=CARI!$C$6),OR(CARI!$C$7="",$G1772=CARI!$C$7),OR(CARI!$C$8="",$T1772=CARI!$C$8)),MAX($Z$3:Z1771)+1,""))</f>
        <v/>
      </c>
      <c r="AA1772" s="40" t="str">
        <f aca="false">IF($Y1772="","",MAX($AA$3:AA1771)+1)</f>
        <v/>
      </c>
      <c r="AB1772" s="40" t="str">
        <f aca="false">IF($F1772="","",$F1772&amp;"#"&amp;COUNTIF($F$4:$F1772,$F1772))</f>
        <v/>
      </c>
      <c r="AC1772" s="40" t="str">
        <f aca="false">IF($B1772="","",IF(AND(OR(CETAK!$J$10="",$F1772=CETAK!$J$10),OR(CETAK!$J$11="",$G1772=CETAK!$J$11),OR(CETAK!$J$12="",$P1772=CETAK!$J$12),OR(CETAK!$J$13="",$N1772=CETAK!$J$13),OR(CETAK!$J$14="",$T1772=CETAK!$J$14)),MAX($AC$3:AC1771)+1,""))</f>
        <v/>
      </c>
      <c r="AD1772" s="40" t="str">
        <f aca="false">IF($B1772="","",IF(AND(OR(ABSENSI!$H$10="",$F1772=ABSENSI!$H$10),OR(ABSENSI!$H$11="",$G1772=ABSENSI!$H$11),OR(ABSENSI!$H$12="",$P1772=ABSENSI!$H$12)),MAX($AD$3:AD1771)+1,""))</f>
        <v/>
      </c>
      <c r="AE1772" s="40" t="str">
        <f aca="false">IF($B1772="","",IF(AND(OR(KARTU!$K$6="",$F1772=KARTU!$K$6),OR(KARTU!$K$7="",$G1772=KARTU!$K$7),OR(KARTU!$K$8="",$P1772=KARTU!$K$8)),MAX($AE$3:AE1771)+1,""))</f>
        <v/>
      </c>
    </row>
    <row r="1773" customFormat="false" ht="15" hidden="false" customHeight="false" outlineLevel="0" collapsed="false">
      <c r="A1773" s="35" t="str">
        <f aca="false">IF($B1773="","",COUNTA($B$4:$B1773))</f>
        <v/>
      </c>
      <c r="B1773" s="36"/>
      <c r="C1773" s="37"/>
      <c r="D1773" s="37"/>
      <c r="E1773" s="38"/>
      <c r="F1773" s="36"/>
      <c r="G1773" s="39"/>
      <c r="H1773" s="39"/>
      <c r="I1773" s="36"/>
      <c r="J1773" s="36"/>
      <c r="K1773" s="36"/>
      <c r="L1773" s="36"/>
      <c r="M1773" s="40" t="str">
        <f aca="false">IF($F1773="","",$F1773&amp;IF($G1773="",""," - RT "&amp;$G1773&amp;IF($H1773="","","/"&amp;$H1773)))</f>
        <v/>
      </c>
      <c r="N1773" s="36"/>
      <c r="O1773" s="37"/>
      <c r="P1773" s="39"/>
      <c r="Q1773" s="41"/>
      <c r="R1773" s="35" t="str">
        <f aca="true">IF(OR($B1773="",$Q1773=""),"",DATEDIF($Q1773,TODAY(),"Y"))</f>
        <v/>
      </c>
      <c r="S1773" s="40" t="str">
        <f aca="false">IF($R1773="","",INDEX(usia_label,MATCH($R1773,usia_min,1)))</f>
        <v/>
      </c>
      <c r="T1773" s="36"/>
      <c r="U1773" s="41"/>
      <c r="V1773" s="36"/>
      <c r="W1773" s="36"/>
      <c r="X1773" s="40" t="str">
        <f aca="false">IF($M1773="","",$M1773&amp;"#"&amp;COUNTIF($M$4:$M1773,$M1773))</f>
        <v/>
      </c>
      <c r="Y1773" s="40" t="str">
        <f aca="false">IF($B1773="","",IF($C1773="","NIK kosong",IF(LEN($C1773)&lt;&gt;16,"NIK bukan 16 digit",IF(COUNTIF($C$4:$C$2003,$C1773&amp;"*")&gt;1,"NIK ganda",IF(AND($D1773&lt;&gt;"",LEN($D1773)&lt;&gt;16),"No. KK bukan 16 digit",IF(AND($F1773="",$I1773=""),"Alamat kosong",IF($N1773="","Jabatan kosong",IF($O1773="","No. HP kosong",IF(AND($R1773&lt;&gt;"",$R1773&lt;17),"Usia di bawah 17","")))))))))</f>
        <v/>
      </c>
      <c r="Z1773" s="40" t="str">
        <f aca="false">IF($B1773="","",IF(AND(OR(CARI!$C$5="",ISNUMBER(SEARCH(CARI!$C$5,$B1773&amp;" "&amp;$C1773&amp;" "&amp;$D1773&amp;" "&amp;$O1773&amp;" "&amp;$I1773&amp;" "&amp;$F1773&amp;" "&amp;$J1773&amp;" "&amp;$K1773&amp;" "&amp;$L1773&amp;" "&amp;$V1773))),OR(CARI!$C$6="",$F1773=CARI!$C$6),OR(CARI!$C$7="",$G1773=CARI!$C$7),OR(CARI!$C$8="",$T1773=CARI!$C$8)),MAX($Z$3:Z1772)+1,""))</f>
        <v/>
      </c>
      <c r="AA1773" s="40" t="str">
        <f aca="false">IF($Y1773="","",MAX($AA$3:AA1772)+1)</f>
        <v/>
      </c>
      <c r="AB1773" s="40" t="str">
        <f aca="false">IF($F1773="","",$F1773&amp;"#"&amp;COUNTIF($F$4:$F1773,$F1773))</f>
        <v/>
      </c>
      <c r="AC1773" s="40" t="str">
        <f aca="false">IF($B1773="","",IF(AND(OR(CETAK!$J$10="",$F1773=CETAK!$J$10),OR(CETAK!$J$11="",$G1773=CETAK!$J$11),OR(CETAK!$J$12="",$P1773=CETAK!$J$12),OR(CETAK!$J$13="",$N1773=CETAK!$J$13),OR(CETAK!$J$14="",$T1773=CETAK!$J$14)),MAX($AC$3:AC1772)+1,""))</f>
        <v/>
      </c>
      <c r="AD1773" s="40" t="str">
        <f aca="false">IF($B1773="","",IF(AND(OR(ABSENSI!$H$10="",$F1773=ABSENSI!$H$10),OR(ABSENSI!$H$11="",$G1773=ABSENSI!$H$11),OR(ABSENSI!$H$12="",$P1773=ABSENSI!$H$12)),MAX($AD$3:AD1772)+1,""))</f>
        <v/>
      </c>
      <c r="AE1773" s="40" t="str">
        <f aca="false">IF($B1773="","",IF(AND(OR(KARTU!$K$6="",$F1773=KARTU!$K$6),OR(KARTU!$K$7="",$G1773=KARTU!$K$7),OR(KARTU!$K$8="",$P1773=KARTU!$K$8)),MAX($AE$3:AE1772)+1,""))</f>
        <v/>
      </c>
    </row>
    <row r="1774" customFormat="false" ht="15" hidden="false" customHeight="false" outlineLevel="0" collapsed="false">
      <c r="A1774" s="35" t="str">
        <f aca="false">IF($B1774="","",COUNTA($B$4:$B1774))</f>
        <v/>
      </c>
      <c r="B1774" s="36"/>
      <c r="C1774" s="37"/>
      <c r="D1774" s="37"/>
      <c r="E1774" s="38"/>
      <c r="F1774" s="36"/>
      <c r="G1774" s="39"/>
      <c r="H1774" s="39"/>
      <c r="I1774" s="36"/>
      <c r="J1774" s="36"/>
      <c r="K1774" s="36"/>
      <c r="L1774" s="36"/>
      <c r="M1774" s="40" t="str">
        <f aca="false">IF($F1774="","",$F1774&amp;IF($G1774="",""," - RT "&amp;$G1774&amp;IF($H1774="","","/"&amp;$H1774)))</f>
        <v/>
      </c>
      <c r="N1774" s="36"/>
      <c r="O1774" s="37"/>
      <c r="P1774" s="39"/>
      <c r="Q1774" s="41"/>
      <c r="R1774" s="35" t="str">
        <f aca="true">IF(OR($B1774="",$Q1774=""),"",DATEDIF($Q1774,TODAY(),"Y"))</f>
        <v/>
      </c>
      <c r="S1774" s="40" t="str">
        <f aca="false">IF($R1774="","",INDEX(usia_label,MATCH($R1774,usia_min,1)))</f>
        <v/>
      </c>
      <c r="T1774" s="36"/>
      <c r="U1774" s="41"/>
      <c r="V1774" s="36"/>
      <c r="W1774" s="36"/>
      <c r="X1774" s="40" t="str">
        <f aca="false">IF($M1774="","",$M1774&amp;"#"&amp;COUNTIF($M$4:$M1774,$M1774))</f>
        <v/>
      </c>
      <c r="Y1774" s="40" t="str">
        <f aca="false">IF($B1774="","",IF($C1774="","NIK kosong",IF(LEN($C1774)&lt;&gt;16,"NIK bukan 16 digit",IF(COUNTIF($C$4:$C$2003,$C1774&amp;"*")&gt;1,"NIK ganda",IF(AND($D1774&lt;&gt;"",LEN($D1774)&lt;&gt;16),"No. KK bukan 16 digit",IF(AND($F1774="",$I1774=""),"Alamat kosong",IF($N1774="","Jabatan kosong",IF($O1774="","No. HP kosong",IF(AND($R1774&lt;&gt;"",$R1774&lt;17),"Usia di bawah 17","")))))))))</f>
        <v/>
      </c>
      <c r="Z1774" s="40" t="str">
        <f aca="false">IF($B1774="","",IF(AND(OR(CARI!$C$5="",ISNUMBER(SEARCH(CARI!$C$5,$B1774&amp;" "&amp;$C1774&amp;" "&amp;$D1774&amp;" "&amp;$O1774&amp;" "&amp;$I1774&amp;" "&amp;$F1774&amp;" "&amp;$J1774&amp;" "&amp;$K1774&amp;" "&amp;$L1774&amp;" "&amp;$V1774))),OR(CARI!$C$6="",$F1774=CARI!$C$6),OR(CARI!$C$7="",$G1774=CARI!$C$7),OR(CARI!$C$8="",$T1774=CARI!$C$8)),MAX($Z$3:Z1773)+1,""))</f>
        <v/>
      </c>
      <c r="AA1774" s="40" t="str">
        <f aca="false">IF($Y1774="","",MAX($AA$3:AA1773)+1)</f>
        <v/>
      </c>
      <c r="AB1774" s="40" t="str">
        <f aca="false">IF($F1774="","",$F1774&amp;"#"&amp;COUNTIF($F$4:$F1774,$F1774))</f>
        <v/>
      </c>
      <c r="AC1774" s="40" t="str">
        <f aca="false">IF($B1774="","",IF(AND(OR(CETAK!$J$10="",$F1774=CETAK!$J$10),OR(CETAK!$J$11="",$G1774=CETAK!$J$11),OR(CETAK!$J$12="",$P1774=CETAK!$J$12),OR(CETAK!$J$13="",$N1774=CETAK!$J$13),OR(CETAK!$J$14="",$T1774=CETAK!$J$14)),MAX($AC$3:AC1773)+1,""))</f>
        <v/>
      </c>
      <c r="AD1774" s="40" t="str">
        <f aca="false">IF($B1774="","",IF(AND(OR(ABSENSI!$H$10="",$F1774=ABSENSI!$H$10),OR(ABSENSI!$H$11="",$G1774=ABSENSI!$H$11),OR(ABSENSI!$H$12="",$P1774=ABSENSI!$H$12)),MAX($AD$3:AD1773)+1,""))</f>
        <v/>
      </c>
      <c r="AE1774" s="40" t="str">
        <f aca="false">IF($B1774="","",IF(AND(OR(KARTU!$K$6="",$F1774=KARTU!$K$6),OR(KARTU!$K$7="",$G1774=KARTU!$K$7),OR(KARTU!$K$8="",$P1774=KARTU!$K$8)),MAX($AE$3:AE1773)+1,""))</f>
        <v/>
      </c>
    </row>
    <row r="1775" customFormat="false" ht="15" hidden="false" customHeight="false" outlineLevel="0" collapsed="false">
      <c r="A1775" s="35" t="str">
        <f aca="false">IF($B1775="","",COUNTA($B$4:$B1775))</f>
        <v/>
      </c>
      <c r="B1775" s="36"/>
      <c r="C1775" s="37"/>
      <c r="D1775" s="37"/>
      <c r="E1775" s="38"/>
      <c r="F1775" s="36"/>
      <c r="G1775" s="39"/>
      <c r="H1775" s="39"/>
      <c r="I1775" s="36"/>
      <c r="J1775" s="36"/>
      <c r="K1775" s="36"/>
      <c r="L1775" s="36"/>
      <c r="M1775" s="40" t="str">
        <f aca="false">IF($F1775="","",$F1775&amp;IF($G1775="",""," - RT "&amp;$G1775&amp;IF($H1775="","","/"&amp;$H1775)))</f>
        <v/>
      </c>
      <c r="N1775" s="36"/>
      <c r="O1775" s="37"/>
      <c r="P1775" s="39"/>
      <c r="Q1775" s="41"/>
      <c r="R1775" s="35" t="str">
        <f aca="true">IF(OR($B1775="",$Q1775=""),"",DATEDIF($Q1775,TODAY(),"Y"))</f>
        <v/>
      </c>
      <c r="S1775" s="40" t="str">
        <f aca="false">IF($R1775="","",INDEX(usia_label,MATCH($R1775,usia_min,1)))</f>
        <v/>
      </c>
      <c r="T1775" s="36"/>
      <c r="U1775" s="41"/>
      <c r="V1775" s="36"/>
      <c r="W1775" s="36"/>
      <c r="X1775" s="40" t="str">
        <f aca="false">IF($M1775="","",$M1775&amp;"#"&amp;COUNTIF($M$4:$M1775,$M1775))</f>
        <v/>
      </c>
      <c r="Y1775" s="40" t="str">
        <f aca="false">IF($B1775="","",IF($C1775="","NIK kosong",IF(LEN($C1775)&lt;&gt;16,"NIK bukan 16 digit",IF(COUNTIF($C$4:$C$2003,$C1775&amp;"*")&gt;1,"NIK ganda",IF(AND($D1775&lt;&gt;"",LEN($D1775)&lt;&gt;16),"No. KK bukan 16 digit",IF(AND($F1775="",$I1775=""),"Alamat kosong",IF($N1775="","Jabatan kosong",IF($O1775="","No. HP kosong",IF(AND($R1775&lt;&gt;"",$R1775&lt;17),"Usia di bawah 17","")))))))))</f>
        <v/>
      </c>
      <c r="Z1775" s="40" t="str">
        <f aca="false">IF($B1775="","",IF(AND(OR(CARI!$C$5="",ISNUMBER(SEARCH(CARI!$C$5,$B1775&amp;" "&amp;$C1775&amp;" "&amp;$D1775&amp;" "&amp;$O1775&amp;" "&amp;$I1775&amp;" "&amp;$F1775&amp;" "&amp;$J1775&amp;" "&amp;$K1775&amp;" "&amp;$L1775&amp;" "&amp;$V1775))),OR(CARI!$C$6="",$F1775=CARI!$C$6),OR(CARI!$C$7="",$G1775=CARI!$C$7),OR(CARI!$C$8="",$T1775=CARI!$C$8)),MAX($Z$3:Z1774)+1,""))</f>
        <v/>
      </c>
      <c r="AA1775" s="40" t="str">
        <f aca="false">IF($Y1775="","",MAX($AA$3:AA1774)+1)</f>
        <v/>
      </c>
      <c r="AB1775" s="40" t="str">
        <f aca="false">IF($F1775="","",$F1775&amp;"#"&amp;COUNTIF($F$4:$F1775,$F1775))</f>
        <v/>
      </c>
      <c r="AC1775" s="40" t="str">
        <f aca="false">IF($B1775="","",IF(AND(OR(CETAK!$J$10="",$F1775=CETAK!$J$10),OR(CETAK!$J$11="",$G1775=CETAK!$J$11),OR(CETAK!$J$12="",$P1775=CETAK!$J$12),OR(CETAK!$J$13="",$N1775=CETAK!$J$13),OR(CETAK!$J$14="",$T1775=CETAK!$J$14)),MAX($AC$3:AC1774)+1,""))</f>
        <v/>
      </c>
      <c r="AD1775" s="40" t="str">
        <f aca="false">IF($B1775="","",IF(AND(OR(ABSENSI!$H$10="",$F1775=ABSENSI!$H$10),OR(ABSENSI!$H$11="",$G1775=ABSENSI!$H$11),OR(ABSENSI!$H$12="",$P1775=ABSENSI!$H$12)),MAX($AD$3:AD1774)+1,""))</f>
        <v/>
      </c>
      <c r="AE1775" s="40" t="str">
        <f aca="false">IF($B1775="","",IF(AND(OR(KARTU!$K$6="",$F1775=KARTU!$K$6),OR(KARTU!$K$7="",$G1775=KARTU!$K$7),OR(KARTU!$K$8="",$P1775=KARTU!$K$8)),MAX($AE$3:AE1774)+1,""))</f>
        <v/>
      </c>
    </row>
    <row r="1776" customFormat="false" ht="15" hidden="false" customHeight="false" outlineLevel="0" collapsed="false">
      <c r="A1776" s="35" t="str">
        <f aca="false">IF($B1776="","",COUNTA($B$4:$B1776))</f>
        <v/>
      </c>
      <c r="B1776" s="36"/>
      <c r="C1776" s="37"/>
      <c r="D1776" s="37"/>
      <c r="E1776" s="38"/>
      <c r="F1776" s="36"/>
      <c r="G1776" s="39"/>
      <c r="H1776" s="39"/>
      <c r="I1776" s="36"/>
      <c r="J1776" s="36"/>
      <c r="K1776" s="36"/>
      <c r="L1776" s="36"/>
      <c r="M1776" s="40" t="str">
        <f aca="false">IF($F1776="","",$F1776&amp;IF($G1776="",""," - RT "&amp;$G1776&amp;IF($H1776="","","/"&amp;$H1776)))</f>
        <v/>
      </c>
      <c r="N1776" s="36"/>
      <c r="O1776" s="37"/>
      <c r="P1776" s="39"/>
      <c r="Q1776" s="41"/>
      <c r="R1776" s="35" t="str">
        <f aca="true">IF(OR($B1776="",$Q1776=""),"",DATEDIF($Q1776,TODAY(),"Y"))</f>
        <v/>
      </c>
      <c r="S1776" s="40" t="str">
        <f aca="false">IF($R1776="","",INDEX(usia_label,MATCH($R1776,usia_min,1)))</f>
        <v/>
      </c>
      <c r="T1776" s="36"/>
      <c r="U1776" s="41"/>
      <c r="V1776" s="36"/>
      <c r="W1776" s="36"/>
      <c r="X1776" s="40" t="str">
        <f aca="false">IF($M1776="","",$M1776&amp;"#"&amp;COUNTIF($M$4:$M1776,$M1776))</f>
        <v/>
      </c>
      <c r="Y1776" s="40" t="str">
        <f aca="false">IF($B1776="","",IF($C1776="","NIK kosong",IF(LEN($C1776)&lt;&gt;16,"NIK bukan 16 digit",IF(COUNTIF($C$4:$C$2003,$C1776&amp;"*")&gt;1,"NIK ganda",IF(AND($D1776&lt;&gt;"",LEN($D1776)&lt;&gt;16),"No. KK bukan 16 digit",IF(AND($F1776="",$I1776=""),"Alamat kosong",IF($N1776="","Jabatan kosong",IF($O1776="","No. HP kosong",IF(AND($R1776&lt;&gt;"",$R1776&lt;17),"Usia di bawah 17","")))))))))</f>
        <v/>
      </c>
      <c r="Z1776" s="40" t="str">
        <f aca="false">IF($B1776="","",IF(AND(OR(CARI!$C$5="",ISNUMBER(SEARCH(CARI!$C$5,$B1776&amp;" "&amp;$C1776&amp;" "&amp;$D1776&amp;" "&amp;$O1776&amp;" "&amp;$I1776&amp;" "&amp;$F1776&amp;" "&amp;$J1776&amp;" "&amp;$K1776&amp;" "&amp;$L1776&amp;" "&amp;$V1776))),OR(CARI!$C$6="",$F1776=CARI!$C$6),OR(CARI!$C$7="",$G1776=CARI!$C$7),OR(CARI!$C$8="",$T1776=CARI!$C$8)),MAX($Z$3:Z1775)+1,""))</f>
        <v/>
      </c>
      <c r="AA1776" s="40" t="str">
        <f aca="false">IF($Y1776="","",MAX($AA$3:AA1775)+1)</f>
        <v/>
      </c>
      <c r="AB1776" s="40" t="str">
        <f aca="false">IF($F1776="","",$F1776&amp;"#"&amp;COUNTIF($F$4:$F1776,$F1776))</f>
        <v/>
      </c>
      <c r="AC1776" s="40" t="str">
        <f aca="false">IF($B1776="","",IF(AND(OR(CETAK!$J$10="",$F1776=CETAK!$J$10),OR(CETAK!$J$11="",$G1776=CETAK!$J$11),OR(CETAK!$J$12="",$P1776=CETAK!$J$12),OR(CETAK!$J$13="",$N1776=CETAK!$J$13),OR(CETAK!$J$14="",$T1776=CETAK!$J$14)),MAX($AC$3:AC1775)+1,""))</f>
        <v/>
      </c>
      <c r="AD1776" s="40" t="str">
        <f aca="false">IF($B1776="","",IF(AND(OR(ABSENSI!$H$10="",$F1776=ABSENSI!$H$10),OR(ABSENSI!$H$11="",$G1776=ABSENSI!$H$11),OR(ABSENSI!$H$12="",$P1776=ABSENSI!$H$12)),MAX($AD$3:AD1775)+1,""))</f>
        <v/>
      </c>
      <c r="AE1776" s="40" t="str">
        <f aca="false">IF($B1776="","",IF(AND(OR(KARTU!$K$6="",$F1776=KARTU!$K$6),OR(KARTU!$K$7="",$G1776=KARTU!$K$7),OR(KARTU!$K$8="",$P1776=KARTU!$K$8)),MAX($AE$3:AE1775)+1,""))</f>
        <v/>
      </c>
    </row>
    <row r="1777" customFormat="false" ht="15" hidden="false" customHeight="false" outlineLevel="0" collapsed="false">
      <c r="A1777" s="35" t="str">
        <f aca="false">IF($B1777="","",COUNTA($B$4:$B1777))</f>
        <v/>
      </c>
      <c r="B1777" s="36"/>
      <c r="C1777" s="37"/>
      <c r="D1777" s="37"/>
      <c r="E1777" s="38"/>
      <c r="F1777" s="36"/>
      <c r="G1777" s="39"/>
      <c r="H1777" s="39"/>
      <c r="I1777" s="36"/>
      <c r="J1777" s="36"/>
      <c r="K1777" s="36"/>
      <c r="L1777" s="36"/>
      <c r="M1777" s="40" t="str">
        <f aca="false">IF($F1777="","",$F1777&amp;IF($G1777="",""," - RT "&amp;$G1777&amp;IF($H1777="","","/"&amp;$H1777)))</f>
        <v/>
      </c>
      <c r="N1777" s="36"/>
      <c r="O1777" s="37"/>
      <c r="P1777" s="39"/>
      <c r="Q1777" s="41"/>
      <c r="R1777" s="35" t="str">
        <f aca="true">IF(OR($B1777="",$Q1777=""),"",DATEDIF($Q1777,TODAY(),"Y"))</f>
        <v/>
      </c>
      <c r="S1777" s="40" t="str">
        <f aca="false">IF($R1777="","",INDEX(usia_label,MATCH($R1777,usia_min,1)))</f>
        <v/>
      </c>
      <c r="T1777" s="36"/>
      <c r="U1777" s="41"/>
      <c r="V1777" s="36"/>
      <c r="W1777" s="36"/>
      <c r="X1777" s="40" t="str">
        <f aca="false">IF($M1777="","",$M1777&amp;"#"&amp;COUNTIF($M$4:$M1777,$M1777))</f>
        <v/>
      </c>
      <c r="Y1777" s="40" t="str">
        <f aca="false">IF($B1777="","",IF($C1777="","NIK kosong",IF(LEN($C1777)&lt;&gt;16,"NIK bukan 16 digit",IF(COUNTIF($C$4:$C$2003,$C1777&amp;"*")&gt;1,"NIK ganda",IF(AND($D1777&lt;&gt;"",LEN($D1777)&lt;&gt;16),"No. KK bukan 16 digit",IF(AND($F1777="",$I1777=""),"Alamat kosong",IF($N1777="","Jabatan kosong",IF($O1777="","No. HP kosong",IF(AND($R1777&lt;&gt;"",$R1777&lt;17),"Usia di bawah 17","")))))))))</f>
        <v/>
      </c>
      <c r="Z1777" s="40" t="str">
        <f aca="false">IF($B1777="","",IF(AND(OR(CARI!$C$5="",ISNUMBER(SEARCH(CARI!$C$5,$B1777&amp;" "&amp;$C1777&amp;" "&amp;$D1777&amp;" "&amp;$O1777&amp;" "&amp;$I1777&amp;" "&amp;$F1777&amp;" "&amp;$J1777&amp;" "&amp;$K1777&amp;" "&amp;$L1777&amp;" "&amp;$V1777))),OR(CARI!$C$6="",$F1777=CARI!$C$6),OR(CARI!$C$7="",$G1777=CARI!$C$7),OR(CARI!$C$8="",$T1777=CARI!$C$8)),MAX($Z$3:Z1776)+1,""))</f>
        <v/>
      </c>
      <c r="AA1777" s="40" t="str">
        <f aca="false">IF($Y1777="","",MAX($AA$3:AA1776)+1)</f>
        <v/>
      </c>
      <c r="AB1777" s="40" t="str">
        <f aca="false">IF($F1777="","",$F1777&amp;"#"&amp;COUNTIF($F$4:$F1777,$F1777))</f>
        <v/>
      </c>
      <c r="AC1777" s="40" t="str">
        <f aca="false">IF($B1777="","",IF(AND(OR(CETAK!$J$10="",$F1777=CETAK!$J$10),OR(CETAK!$J$11="",$G1777=CETAK!$J$11),OR(CETAK!$J$12="",$P1777=CETAK!$J$12),OR(CETAK!$J$13="",$N1777=CETAK!$J$13),OR(CETAK!$J$14="",$T1777=CETAK!$J$14)),MAX($AC$3:AC1776)+1,""))</f>
        <v/>
      </c>
      <c r="AD1777" s="40" t="str">
        <f aca="false">IF($B1777="","",IF(AND(OR(ABSENSI!$H$10="",$F1777=ABSENSI!$H$10),OR(ABSENSI!$H$11="",$G1777=ABSENSI!$H$11),OR(ABSENSI!$H$12="",$P1777=ABSENSI!$H$12)),MAX($AD$3:AD1776)+1,""))</f>
        <v/>
      </c>
      <c r="AE1777" s="40" t="str">
        <f aca="false">IF($B1777="","",IF(AND(OR(KARTU!$K$6="",$F1777=KARTU!$K$6),OR(KARTU!$K$7="",$G1777=KARTU!$K$7),OR(KARTU!$K$8="",$P1777=KARTU!$K$8)),MAX($AE$3:AE1776)+1,""))</f>
        <v/>
      </c>
    </row>
    <row r="1778" customFormat="false" ht="15" hidden="false" customHeight="false" outlineLevel="0" collapsed="false">
      <c r="A1778" s="35" t="str">
        <f aca="false">IF($B1778="","",COUNTA($B$4:$B1778))</f>
        <v/>
      </c>
      <c r="B1778" s="36"/>
      <c r="C1778" s="37"/>
      <c r="D1778" s="37"/>
      <c r="E1778" s="38"/>
      <c r="F1778" s="36"/>
      <c r="G1778" s="39"/>
      <c r="H1778" s="39"/>
      <c r="I1778" s="36"/>
      <c r="J1778" s="36"/>
      <c r="K1778" s="36"/>
      <c r="L1778" s="36"/>
      <c r="M1778" s="40" t="str">
        <f aca="false">IF($F1778="","",$F1778&amp;IF($G1778="",""," - RT "&amp;$G1778&amp;IF($H1778="","","/"&amp;$H1778)))</f>
        <v/>
      </c>
      <c r="N1778" s="36"/>
      <c r="O1778" s="37"/>
      <c r="P1778" s="39"/>
      <c r="Q1778" s="41"/>
      <c r="R1778" s="35" t="str">
        <f aca="true">IF(OR($B1778="",$Q1778=""),"",DATEDIF($Q1778,TODAY(),"Y"))</f>
        <v/>
      </c>
      <c r="S1778" s="40" t="str">
        <f aca="false">IF($R1778="","",INDEX(usia_label,MATCH($R1778,usia_min,1)))</f>
        <v/>
      </c>
      <c r="T1778" s="36"/>
      <c r="U1778" s="41"/>
      <c r="V1778" s="36"/>
      <c r="W1778" s="36"/>
      <c r="X1778" s="40" t="str">
        <f aca="false">IF($M1778="","",$M1778&amp;"#"&amp;COUNTIF($M$4:$M1778,$M1778))</f>
        <v/>
      </c>
      <c r="Y1778" s="40" t="str">
        <f aca="false">IF($B1778="","",IF($C1778="","NIK kosong",IF(LEN($C1778)&lt;&gt;16,"NIK bukan 16 digit",IF(COUNTIF($C$4:$C$2003,$C1778&amp;"*")&gt;1,"NIK ganda",IF(AND($D1778&lt;&gt;"",LEN($D1778)&lt;&gt;16),"No. KK bukan 16 digit",IF(AND($F1778="",$I1778=""),"Alamat kosong",IF($N1778="","Jabatan kosong",IF($O1778="","No. HP kosong",IF(AND($R1778&lt;&gt;"",$R1778&lt;17),"Usia di bawah 17","")))))))))</f>
        <v/>
      </c>
      <c r="Z1778" s="40" t="str">
        <f aca="false">IF($B1778="","",IF(AND(OR(CARI!$C$5="",ISNUMBER(SEARCH(CARI!$C$5,$B1778&amp;" "&amp;$C1778&amp;" "&amp;$D1778&amp;" "&amp;$O1778&amp;" "&amp;$I1778&amp;" "&amp;$F1778&amp;" "&amp;$J1778&amp;" "&amp;$K1778&amp;" "&amp;$L1778&amp;" "&amp;$V1778))),OR(CARI!$C$6="",$F1778=CARI!$C$6),OR(CARI!$C$7="",$G1778=CARI!$C$7),OR(CARI!$C$8="",$T1778=CARI!$C$8)),MAX($Z$3:Z1777)+1,""))</f>
        <v/>
      </c>
      <c r="AA1778" s="40" t="str">
        <f aca="false">IF($Y1778="","",MAX($AA$3:AA1777)+1)</f>
        <v/>
      </c>
      <c r="AB1778" s="40" t="str">
        <f aca="false">IF($F1778="","",$F1778&amp;"#"&amp;COUNTIF($F$4:$F1778,$F1778))</f>
        <v/>
      </c>
      <c r="AC1778" s="40" t="str">
        <f aca="false">IF($B1778="","",IF(AND(OR(CETAK!$J$10="",$F1778=CETAK!$J$10),OR(CETAK!$J$11="",$G1778=CETAK!$J$11),OR(CETAK!$J$12="",$P1778=CETAK!$J$12),OR(CETAK!$J$13="",$N1778=CETAK!$J$13),OR(CETAK!$J$14="",$T1778=CETAK!$J$14)),MAX($AC$3:AC1777)+1,""))</f>
        <v/>
      </c>
      <c r="AD1778" s="40" t="str">
        <f aca="false">IF($B1778="","",IF(AND(OR(ABSENSI!$H$10="",$F1778=ABSENSI!$H$10),OR(ABSENSI!$H$11="",$G1778=ABSENSI!$H$11),OR(ABSENSI!$H$12="",$P1778=ABSENSI!$H$12)),MAX($AD$3:AD1777)+1,""))</f>
        <v/>
      </c>
      <c r="AE1778" s="40" t="str">
        <f aca="false">IF($B1778="","",IF(AND(OR(KARTU!$K$6="",$F1778=KARTU!$K$6),OR(KARTU!$K$7="",$G1778=KARTU!$K$7),OR(KARTU!$K$8="",$P1778=KARTU!$K$8)),MAX($AE$3:AE1777)+1,""))</f>
        <v/>
      </c>
    </row>
    <row r="1779" customFormat="false" ht="15" hidden="false" customHeight="false" outlineLevel="0" collapsed="false">
      <c r="A1779" s="35" t="str">
        <f aca="false">IF($B1779="","",COUNTA($B$4:$B1779))</f>
        <v/>
      </c>
      <c r="B1779" s="36"/>
      <c r="C1779" s="37"/>
      <c r="D1779" s="37"/>
      <c r="E1779" s="38"/>
      <c r="F1779" s="36"/>
      <c r="G1779" s="39"/>
      <c r="H1779" s="39"/>
      <c r="I1779" s="36"/>
      <c r="J1779" s="36"/>
      <c r="K1779" s="36"/>
      <c r="L1779" s="36"/>
      <c r="M1779" s="40" t="str">
        <f aca="false">IF($F1779="","",$F1779&amp;IF($G1779="",""," - RT "&amp;$G1779&amp;IF($H1779="","","/"&amp;$H1779)))</f>
        <v/>
      </c>
      <c r="N1779" s="36"/>
      <c r="O1779" s="37"/>
      <c r="P1779" s="39"/>
      <c r="Q1779" s="41"/>
      <c r="R1779" s="35" t="str">
        <f aca="true">IF(OR($B1779="",$Q1779=""),"",DATEDIF($Q1779,TODAY(),"Y"))</f>
        <v/>
      </c>
      <c r="S1779" s="40" t="str">
        <f aca="false">IF($R1779="","",INDEX(usia_label,MATCH($R1779,usia_min,1)))</f>
        <v/>
      </c>
      <c r="T1779" s="36"/>
      <c r="U1779" s="41"/>
      <c r="V1779" s="36"/>
      <c r="W1779" s="36"/>
      <c r="X1779" s="40" t="str">
        <f aca="false">IF($M1779="","",$M1779&amp;"#"&amp;COUNTIF($M$4:$M1779,$M1779))</f>
        <v/>
      </c>
      <c r="Y1779" s="40" t="str">
        <f aca="false">IF($B1779="","",IF($C1779="","NIK kosong",IF(LEN($C1779)&lt;&gt;16,"NIK bukan 16 digit",IF(COUNTIF($C$4:$C$2003,$C1779&amp;"*")&gt;1,"NIK ganda",IF(AND($D1779&lt;&gt;"",LEN($D1779)&lt;&gt;16),"No. KK bukan 16 digit",IF(AND($F1779="",$I1779=""),"Alamat kosong",IF($N1779="","Jabatan kosong",IF($O1779="","No. HP kosong",IF(AND($R1779&lt;&gt;"",$R1779&lt;17),"Usia di bawah 17","")))))))))</f>
        <v/>
      </c>
      <c r="Z1779" s="40" t="str">
        <f aca="false">IF($B1779="","",IF(AND(OR(CARI!$C$5="",ISNUMBER(SEARCH(CARI!$C$5,$B1779&amp;" "&amp;$C1779&amp;" "&amp;$D1779&amp;" "&amp;$O1779&amp;" "&amp;$I1779&amp;" "&amp;$F1779&amp;" "&amp;$J1779&amp;" "&amp;$K1779&amp;" "&amp;$L1779&amp;" "&amp;$V1779))),OR(CARI!$C$6="",$F1779=CARI!$C$6),OR(CARI!$C$7="",$G1779=CARI!$C$7),OR(CARI!$C$8="",$T1779=CARI!$C$8)),MAX($Z$3:Z1778)+1,""))</f>
        <v/>
      </c>
      <c r="AA1779" s="40" t="str">
        <f aca="false">IF($Y1779="","",MAX($AA$3:AA1778)+1)</f>
        <v/>
      </c>
      <c r="AB1779" s="40" t="str">
        <f aca="false">IF($F1779="","",$F1779&amp;"#"&amp;COUNTIF($F$4:$F1779,$F1779))</f>
        <v/>
      </c>
      <c r="AC1779" s="40" t="str">
        <f aca="false">IF($B1779="","",IF(AND(OR(CETAK!$J$10="",$F1779=CETAK!$J$10),OR(CETAK!$J$11="",$G1779=CETAK!$J$11),OR(CETAK!$J$12="",$P1779=CETAK!$J$12),OR(CETAK!$J$13="",$N1779=CETAK!$J$13),OR(CETAK!$J$14="",$T1779=CETAK!$J$14)),MAX($AC$3:AC1778)+1,""))</f>
        <v/>
      </c>
      <c r="AD1779" s="40" t="str">
        <f aca="false">IF($B1779="","",IF(AND(OR(ABSENSI!$H$10="",$F1779=ABSENSI!$H$10),OR(ABSENSI!$H$11="",$G1779=ABSENSI!$H$11),OR(ABSENSI!$H$12="",$P1779=ABSENSI!$H$12)),MAX($AD$3:AD1778)+1,""))</f>
        <v/>
      </c>
      <c r="AE1779" s="40" t="str">
        <f aca="false">IF($B1779="","",IF(AND(OR(KARTU!$K$6="",$F1779=KARTU!$K$6),OR(KARTU!$K$7="",$G1779=KARTU!$K$7),OR(KARTU!$K$8="",$P1779=KARTU!$K$8)),MAX($AE$3:AE1778)+1,""))</f>
        <v/>
      </c>
    </row>
    <row r="1780" customFormat="false" ht="15" hidden="false" customHeight="false" outlineLevel="0" collapsed="false">
      <c r="A1780" s="35" t="str">
        <f aca="false">IF($B1780="","",COUNTA($B$4:$B1780))</f>
        <v/>
      </c>
      <c r="B1780" s="36"/>
      <c r="C1780" s="37"/>
      <c r="D1780" s="37"/>
      <c r="E1780" s="38"/>
      <c r="F1780" s="36"/>
      <c r="G1780" s="39"/>
      <c r="H1780" s="39"/>
      <c r="I1780" s="36"/>
      <c r="J1780" s="36"/>
      <c r="K1780" s="36"/>
      <c r="L1780" s="36"/>
      <c r="M1780" s="40" t="str">
        <f aca="false">IF($F1780="","",$F1780&amp;IF($G1780="",""," - RT "&amp;$G1780&amp;IF($H1780="","","/"&amp;$H1780)))</f>
        <v/>
      </c>
      <c r="N1780" s="36"/>
      <c r="O1780" s="37"/>
      <c r="P1780" s="39"/>
      <c r="Q1780" s="41"/>
      <c r="R1780" s="35" t="str">
        <f aca="true">IF(OR($B1780="",$Q1780=""),"",DATEDIF($Q1780,TODAY(),"Y"))</f>
        <v/>
      </c>
      <c r="S1780" s="40" t="str">
        <f aca="false">IF($R1780="","",INDEX(usia_label,MATCH($R1780,usia_min,1)))</f>
        <v/>
      </c>
      <c r="T1780" s="36"/>
      <c r="U1780" s="41"/>
      <c r="V1780" s="36"/>
      <c r="W1780" s="36"/>
      <c r="X1780" s="40" t="str">
        <f aca="false">IF($M1780="","",$M1780&amp;"#"&amp;COUNTIF($M$4:$M1780,$M1780))</f>
        <v/>
      </c>
      <c r="Y1780" s="40" t="str">
        <f aca="false">IF($B1780="","",IF($C1780="","NIK kosong",IF(LEN($C1780)&lt;&gt;16,"NIK bukan 16 digit",IF(COUNTIF($C$4:$C$2003,$C1780&amp;"*")&gt;1,"NIK ganda",IF(AND($D1780&lt;&gt;"",LEN($D1780)&lt;&gt;16),"No. KK bukan 16 digit",IF(AND($F1780="",$I1780=""),"Alamat kosong",IF($N1780="","Jabatan kosong",IF($O1780="","No. HP kosong",IF(AND($R1780&lt;&gt;"",$R1780&lt;17),"Usia di bawah 17","")))))))))</f>
        <v/>
      </c>
      <c r="Z1780" s="40" t="str">
        <f aca="false">IF($B1780="","",IF(AND(OR(CARI!$C$5="",ISNUMBER(SEARCH(CARI!$C$5,$B1780&amp;" "&amp;$C1780&amp;" "&amp;$D1780&amp;" "&amp;$O1780&amp;" "&amp;$I1780&amp;" "&amp;$F1780&amp;" "&amp;$J1780&amp;" "&amp;$K1780&amp;" "&amp;$L1780&amp;" "&amp;$V1780))),OR(CARI!$C$6="",$F1780=CARI!$C$6),OR(CARI!$C$7="",$G1780=CARI!$C$7),OR(CARI!$C$8="",$T1780=CARI!$C$8)),MAX($Z$3:Z1779)+1,""))</f>
        <v/>
      </c>
      <c r="AA1780" s="40" t="str">
        <f aca="false">IF($Y1780="","",MAX($AA$3:AA1779)+1)</f>
        <v/>
      </c>
      <c r="AB1780" s="40" t="str">
        <f aca="false">IF($F1780="","",$F1780&amp;"#"&amp;COUNTIF($F$4:$F1780,$F1780))</f>
        <v/>
      </c>
      <c r="AC1780" s="40" t="str">
        <f aca="false">IF($B1780="","",IF(AND(OR(CETAK!$J$10="",$F1780=CETAK!$J$10),OR(CETAK!$J$11="",$G1780=CETAK!$J$11),OR(CETAK!$J$12="",$P1780=CETAK!$J$12),OR(CETAK!$J$13="",$N1780=CETAK!$J$13),OR(CETAK!$J$14="",$T1780=CETAK!$J$14)),MAX($AC$3:AC1779)+1,""))</f>
        <v/>
      </c>
      <c r="AD1780" s="40" t="str">
        <f aca="false">IF($B1780="","",IF(AND(OR(ABSENSI!$H$10="",$F1780=ABSENSI!$H$10),OR(ABSENSI!$H$11="",$G1780=ABSENSI!$H$11),OR(ABSENSI!$H$12="",$P1780=ABSENSI!$H$12)),MAX($AD$3:AD1779)+1,""))</f>
        <v/>
      </c>
      <c r="AE1780" s="40" t="str">
        <f aca="false">IF($B1780="","",IF(AND(OR(KARTU!$K$6="",$F1780=KARTU!$K$6),OR(KARTU!$K$7="",$G1780=KARTU!$K$7),OR(KARTU!$K$8="",$P1780=KARTU!$K$8)),MAX($AE$3:AE1779)+1,""))</f>
        <v/>
      </c>
    </row>
    <row r="1781" customFormat="false" ht="15" hidden="false" customHeight="false" outlineLevel="0" collapsed="false">
      <c r="A1781" s="35" t="str">
        <f aca="false">IF($B1781="","",COUNTA($B$4:$B1781))</f>
        <v/>
      </c>
      <c r="B1781" s="36"/>
      <c r="C1781" s="37"/>
      <c r="D1781" s="37"/>
      <c r="E1781" s="38"/>
      <c r="F1781" s="36"/>
      <c r="G1781" s="39"/>
      <c r="H1781" s="39"/>
      <c r="I1781" s="36"/>
      <c r="J1781" s="36"/>
      <c r="K1781" s="36"/>
      <c r="L1781" s="36"/>
      <c r="M1781" s="40" t="str">
        <f aca="false">IF($F1781="","",$F1781&amp;IF($G1781="",""," - RT "&amp;$G1781&amp;IF($H1781="","","/"&amp;$H1781)))</f>
        <v/>
      </c>
      <c r="N1781" s="36"/>
      <c r="O1781" s="37"/>
      <c r="P1781" s="39"/>
      <c r="Q1781" s="41"/>
      <c r="R1781" s="35" t="str">
        <f aca="true">IF(OR($B1781="",$Q1781=""),"",DATEDIF($Q1781,TODAY(),"Y"))</f>
        <v/>
      </c>
      <c r="S1781" s="40" t="str">
        <f aca="false">IF($R1781="","",INDEX(usia_label,MATCH($R1781,usia_min,1)))</f>
        <v/>
      </c>
      <c r="T1781" s="36"/>
      <c r="U1781" s="41"/>
      <c r="V1781" s="36"/>
      <c r="W1781" s="36"/>
      <c r="X1781" s="40" t="str">
        <f aca="false">IF($M1781="","",$M1781&amp;"#"&amp;COUNTIF($M$4:$M1781,$M1781))</f>
        <v/>
      </c>
      <c r="Y1781" s="40" t="str">
        <f aca="false">IF($B1781="","",IF($C1781="","NIK kosong",IF(LEN($C1781)&lt;&gt;16,"NIK bukan 16 digit",IF(COUNTIF($C$4:$C$2003,$C1781&amp;"*")&gt;1,"NIK ganda",IF(AND($D1781&lt;&gt;"",LEN($D1781)&lt;&gt;16),"No. KK bukan 16 digit",IF(AND($F1781="",$I1781=""),"Alamat kosong",IF($N1781="","Jabatan kosong",IF($O1781="","No. HP kosong",IF(AND($R1781&lt;&gt;"",$R1781&lt;17),"Usia di bawah 17","")))))))))</f>
        <v/>
      </c>
      <c r="Z1781" s="40" t="str">
        <f aca="false">IF($B1781="","",IF(AND(OR(CARI!$C$5="",ISNUMBER(SEARCH(CARI!$C$5,$B1781&amp;" "&amp;$C1781&amp;" "&amp;$D1781&amp;" "&amp;$O1781&amp;" "&amp;$I1781&amp;" "&amp;$F1781&amp;" "&amp;$J1781&amp;" "&amp;$K1781&amp;" "&amp;$L1781&amp;" "&amp;$V1781))),OR(CARI!$C$6="",$F1781=CARI!$C$6),OR(CARI!$C$7="",$G1781=CARI!$C$7),OR(CARI!$C$8="",$T1781=CARI!$C$8)),MAX($Z$3:Z1780)+1,""))</f>
        <v/>
      </c>
      <c r="AA1781" s="40" t="str">
        <f aca="false">IF($Y1781="","",MAX($AA$3:AA1780)+1)</f>
        <v/>
      </c>
      <c r="AB1781" s="40" t="str">
        <f aca="false">IF($F1781="","",$F1781&amp;"#"&amp;COUNTIF($F$4:$F1781,$F1781))</f>
        <v/>
      </c>
      <c r="AC1781" s="40" t="str">
        <f aca="false">IF($B1781="","",IF(AND(OR(CETAK!$J$10="",$F1781=CETAK!$J$10),OR(CETAK!$J$11="",$G1781=CETAK!$J$11),OR(CETAK!$J$12="",$P1781=CETAK!$J$12),OR(CETAK!$J$13="",$N1781=CETAK!$J$13),OR(CETAK!$J$14="",$T1781=CETAK!$J$14)),MAX($AC$3:AC1780)+1,""))</f>
        <v/>
      </c>
      <c r="AD1781" s="40" t="str">
        <f aca="false">IF($B1781="","",IF(AND(OR(ABSENSI!$H$10="",$F1781=ABSENSI!$H$10),OR(ABSENSI!$H$11="",$G1781=ABSENSI!$H$11),OR(ABSENSI!$H$12="",$P1781=ABSENSI!$H$12)),MAX($AD$3:AD1780)+1,""))</f>
        <v/>
      </c>
      <c r="AE1781" s="40" t="str">
        <f aca="false">IF($B1781="","",IF(AND(OR(KARTU!$K$6="",$F1781=KARTU!$K$6),OR(KARTU!$K$7="",$G1781=KARTU!$K$7),OR(KARTU!$K$8="",$P1781=KARTU!$K$8)),MAX($AE$3:AE1780)+1,""))</f>
        <v/>
      </c>
    </row>
    <row r="1782" customFormat="false" ht="15" hidden="false" customHeight="false" outlineLevel="0" collapsed="false">
      <c r="A1782" s="35" t="str">
        <f aca="false">IF($B1782="","",COUNTA($B$4:$B1782))</f>
        <v/>
      </c>
      <c r="B1782" s="36"/>
      <c r="C1782" s="37"/>
      <c r="D1782" s="37"/>
      <c r="E1782" s="38"/>
      <c r="F1782" s="36"/>
      <c r="G1782" s="39"/>
      <c r="H1782" s="39"/>
      <c r="I1782" s="36"/>
      <c r="J1782" s="36"/>
      <c r="K1782" s="36"/>
      <c r="L1782" s="36"/>
      <c r="M1782" s="40" t="str">
        <f aca="false">IF($F1782="","",$F1782&amp;IF($G1782="",""," - RT "&amp;$G1782&amp;IF($H1782="","","/"&amp;$H1782)))</f>
        <v/>
      </c>
      <c r="N1782" s="36"/>
      <c r="O1782" s="37"/>
      <c r="P1782" s="39"/>
      <c r="Q1782" s="41"/>
      <c r="R1782" s="35" t="str">
        <f aca="true">IF(OR($B1782="",$Q1782=""),"",DATEDIF($Q1782,TODAY(),"Y"))</f>
        <v/>
      </c>
      <c r="S1782" s="40" t="str">
        <f aca="false">IF($R1782="","",INDEX(usia_label,MATCH($R1782,usia_min,1)))</f>
        <v/>
      </c>
      <c r="T1782" s="36"/>
      <c r="U1782" s="41"/>
      <c r="V1782" s="36"/>
      <c r="W1782" s="36"/>
      <c r="X1782" s="40" t="str">
        <f aca="false">IF($M1782="","",$M1782&amp;"#"&amp;COUNTIF($M$4:$M1782,$M1782))</f>
        <v/>
      </c>
      <c r="Y1782" s="40" t="str">
        <f aca="false">IF($B1782="","",IF($C1782="","NIK kosong",IF(LEN($C1782)&lt;&gt;16,"NIK bukan 16 digit",IF(COUNTIF($C$4:$C$2003,$C1782&amp;"*")&gt;1,"NIK ganda",IF(AND($D1782&lt;&gt;"",LEN($D1782)&lt;&gt;16),"No. KK bukan 16 digit",IF(AND($F1782="",$I1782=""),"Alamat kosong",IF($N1782="","Jabatan kosong",IF($O1782="","No. HP kosong",IF(AND($R1782&lt;&gt;"",$R1782&lt;17),"Usia di bawah 17","")))))))))</f>
        <v/>
      </c>
      <c r="Z1782" s="40" t="str">
        <f aca="false">IF($B1782="","",IF(AND(OR(CARI!$C$5="",ISNUMBER(SEARCH(CARI!$C$5,$B1782&amp;" "&amp;$C1782&amp;" "&amp;$D1782&amp;" "&amp;$O1782&amp;" "&amp;$I1782&amp;" "&amp;$F1782&amp;" "&amp;$J1782&amp;" "&amp;$K1782&amp;" "&amp;$L1782&amp;" "&amp;$V1782))),OR(CARI!$C$6="",$F1782=CARI!$C$6),OR(CARI!$C$7="",$G1782=CARI!$C$7),OR(CARI!$C$8="",$T1782=CARI!$C$8)),MAX($Z$3:Z1781)+1,""))</f>
        <v/>
      </c>
      <c r="AA1782" s="40" t="str">
        <f aca="false">IF($Y1782="","",MAX($AA$3:AA1781)+1)</f>
        <v/>
      </c>
      <c r="AB1782" s="40" t="str">
        <f aca="false">IF($F1782="","",$F1782&amp;"#"&amp;COUNTIF($F$4:$F1782,$F1782))</f>
        <v/>
      </c>
      <c r="AC1782" s="40" t="str">
        <f aca="false">IF($B1782="","",IF(AND(OR(CETAK!$J$10="",$F1782=CETAK!$J$10),OR(CETAK!$J$11="",$G1782=CETAK!$J$11),OR(CETAK!$J$12="",$P1782=CETAK!$J$12),OR(CETAK!$J$13="",$N1782=CETAK!$J$13),OR(CETAK!$J$14="",$T1782=CETAK!$J$14)),MAX($AC$3:AC1781)+1,""))</f>
        <v/>
      </c>
      <c r="AD1782" s="40" t="str">
        <f aca="false">IF($B1782="","",IF(AND(OR(ABSENSI!$H$10="",$F1782=ABSENSI!$H$10),OR(ABSENSI!$H$11="",$G1782=ABSENSI!$H$11),OR(ABSENSI!$H$12="",$P1782=ABSENSI!$H$12)),MAX($AD$3:AD1781)+1,""))</f>
        <v/>
      </c>
      <c r="AE1782" s="40" t="str">
        <f aca="false">IF($B1782="","",IF(AND(OR(KARTU!$K$6="",$F1782=KARTU!$K$6),OR(KARTU!$K$7="",$G1782=KARTU!$K$7),OR(KARTU!$K$8="",$P1782=KARTU!$K$8)),MAX($AE$3:AE1781)+1,""))</f>
        <v/>
      </c>
    </row>
    <row r="1783" customFormat="false" ht="15" hidden="false" customHeight="false" outlineLevel="0" collapsed="false">
      <c r="A1783" s="35" t="str">
        <f aca="false">IF($B1783="","",COUNTA($B$4:$B1783))</f>
        <v/>
      </c>
      <c r="B1783" s="36"/>
      <c r="C1783" s="37"/>
      <c r="D1783" s="37"/>
      <c r="E1783" s="38"/>
      <c r="F1783" s="36"/>
      <c r="G1783" s="39"/>
      <c r="H1783" s="39"/>
      <c r="I1783" s="36"/>
      <c r="J1783" s="36"/>
      <c r="K1783" s="36"/>
      <c r="L1783" s="36"/>
      <c r="M1783" s="40" t="str">
        <f aca="false">IF($F1783="","",$F1783&amp;IF($G1783="",""," - RT "&amp;$G1783&amp;IF($H1783="","","/"&amp;$H1783)))</f>
        <v/>
      </c>
      <c r="N1783" s="36"/>
      <c r="O1783" s="37"/>
      <c r="P1783" s="39"/>
      <c r="Q1783" s="41"/>
      <c r="R1783" s="35" t="str">
        <f aca="true">IF(OR($B1783="",$Q1783=""),"",DATEDIF($Q1783,TODAY(),"Y"))</f>
        <v/>
      </c>
      <c r="S1783" s="40" t="str">
        <f aca="false">IF($R1783="","",INDEX(usia_label,MATCH($R1783,usia_min,1)))</f>
        <v/>
      </c>
      <c r="T1783" s="36"/>
      <c r="U1783" s="41"/>
      <c r="V1783" s="36"/>
      <c r="W1783" s="36"/>
      <c r="X1783" s="40" t="str">
        <f aca="false">IF($M1783="","",$M1783&amp;"#"&amp;COUNTIF($M$4:$M1783,$M1783))</f>
        <v/>
      </c>
      <c r="Y1783" s="40" t="str">
        <f aca="false">IF($B1783="","",IF($C1783="","NIK kosong",IF(LEN($C1783)&lt;&gt;16,"NIK bukan 16 digit",IF(COUNTIF($C$4:$C$2003,$C1783&amp;"*")&gt;1,"NIK ganda",IF(AND($D1783&lt;&gt;"",LEN($D1783)&lt;&gt;16),"No. KK bukan 16 digit",IF(AND($F1783="",$I1783=""),"Alamat kosong",IF($N1783="","Jabatan kosong",IF($O1783="","No. HP kosong",IF(AND($R1783&lt;&gt;"",$R1783&lt;17),"Usia di bawah 17","")))))))))</f>
        <v/>
      </c>
      <c r="Z1783" s="40" t="str">
        <f aca="false">IF($B1783="","",IF(AND(OR(CARI!$C$5="",ISNUMBER(SEARCH(CARI!$C$5,$B1783&amp;" "&amp;$C1783&amp;" "&amp;$D1783&amp;" "&amp;$O1783&amp;" "&amp;$I1783&amp;" "&amp;$F1783&amp;" "&amp;$J1783&amp;" "&amp;$K1783&amp;" "&amp;$L1783&amp;" "&amp;$V1783))),OR(CARI!$C$6="",$F1783=CARI!$C$6),OR(CARI!$C$7="",$G1783=CARI!$C$7),OR(CARI!$C$8="",$T1783=CARI!$C$8)),MAX($Z$3:Z1782)+1,""))</f>
        <v/>
      </c>
      <c r="AA1783" s="40" t="str">
        <f aca="false">IF($Y1783="","",MAX($AA$3:AA1782)+1)</f>
        <v/>
      </c>
      <c r="AB1783" s="40" t="str">
        <f aca="false">IF($F1783="","",$F1783&amp;"#"&amp;COUNTIF($F$4:$F1783,$F1783))</f>
        <v/>
      </c>
      <c r="AC1783" s="40" t="str">
        <f aca="false">IF($B1783="","",IF(AND(OR(CETAK!$J$10="",$F1783=CETAK!$J$10),OR(CETAK!$J$11="",$G1783=CETAK!$J$11),OR(CETAK!$J$12="",$P1783=CETAK!$J$12),OR(CETAK!$J$13="",$N1783=CETAK!$J$13),OR(CETAK!$J$14="",$T1783=CETAK!$J$14)),MAX($AC$3:AC1782)+1,""))</f>
        <v/>
      </c>
      <c r="AD1783" s="40" t="str">
        <f aca="false">IF($B1783="","",IF(AND(OR(ABSENSI!$H$10="",$F1783=ABSENSI!$H$10),OR(ABSENSI!$H$11="",$G1783=ABSENSI!$H$11),OR(ABSENSI!$H$12="",$P1783=ABSENSI!$H$12)),MAX($AD$3:AD1782)+1,""))</f>
        <v/>
      </c>
      <c r="AE1783" s="40" t="str">
        <f aca="false">IF($B1783="","",IF(AND(OR(KARTU!$K$6="",$F1783=KARTU!$K$6),OR(KARTU!$K$7="",$G1783=KARTU!$K$7),OR(KARTU!$K$8="",$P1783=KARTU!$K$8)),MAX($AE$3:AE1782)+1,""))</f>
        <v/>
      </c>
    </row>
    <row r="1784" customFormat="false" ht="15" hidden="false" customHeight="false" outlineLevel="0" collapsed="false">
      <c r="A1784" s="35" t="str">
        <f aca="false">IF($B1784="","",COUNTA($B$4:$B1784))</f>
        <v/>
      </c>
      <c r="B1784" s="36"/>
      <c r="C1784" s="37"/>
      <c r="D1784" s="37"/>
      <c r="E1784" s="38"/>
      <c r="F1784" s="36"/>
      <c r="G1784" s="39"/>
      <c r="H1784" s="39"/>
      <c r="I1784" s="36"/>
      <c r="J1784" s="36"/>
      <c r="K1784" s="36"/>
      <c r="L1784" s="36"/>
      <c r="M1784" s="40" t="str">
        <f aca="false">IF($F1784="","",$F1784&amp;IF($G1784="",""," - RT "&amp;$G1784&amp;IF($H1784="","","/"&amp;$H1784)))</f>
        <v/>
      </c>
      <c r="N1784" s="36"/>
      <c r="O1784" s="37"/>
      <c r="P1784" s="39"/>
      <c r="Q1784" s="41"/>
      <c r="R1784" s="35" t="str">
        <f aca="true">IF(OR($B1784="",$Q1784=""),"",DATEDIF($Q1784,TODAY(),"Y"))</f>
        <v/>
      </c>
      <c r="S1784" s="40" t="str">
        <f aca="false">IF($R1784="","",INDEX(usia_label,MATCH($R1784,usia_min,1)))</f>
        <v/>
      </c>
      <c r="T1784" s="36"/>
      <c r="U1784" s="41"/>
      <c r="V1784" s="36"/>
      <c r="W1784" s="36"/>
      <c r="X1784" s="40" t="str">
        <f aca="false">IF($M1784="","",$M1784&amp;"#"&amp;COUNTIF($M$4:$M1784,$M1784))</f>
        <v/>
      </c>
      <c r="Y1784" s="40" t="str">
        <f aca="false">IF($B1784="","",IF($C1784="","NIK kosong",IF(LEN($C1784)&lt;&gt;16,"NIK bukan 16 digit",IF(COUNTIF($C$4:$C$2003,$C1784&amp;"*")&gt;1,"NIK ganda",IF(AND($D1784&lt;&gt;"",LEN($D1784)&lt;&gt;16),"No. KK bukan 16 digit",IF(AND($F1784="",$I1784=""),"Alamat kosong",IF($N1784="","Jabatan kosong",IF($O1784="","No. HP kosong",IF(AND($R1784&lt;&gt;"",$R1784&lt;17),"Usia di bawah 17","")))))))))</f>
        <v/>
      </c>
      <c r="Z1784" s="40" t="str">
        <f aca="false">IF($B1784="","",IF(AND(OR(CARI!$C$5="",ISNUMBER(SEARCH(CARI!$C$5,$B1784&amp;" "&amp;$C1784&amp;" "&amp;$D1784&amp;" "&amp;$O1784&amp;" "&amp;$I1784&amp;" "&amp;$F1784&amp;" "&amp;$J1784&amp;" "&amp;$K1784&amp;" "&amp;$L1784&amp;" "&amp;$V1784))),OR(CARI!$C$6="",$F1784=CARI!$C$6),OR(CARI!$C$7="",$G1784=CARI!$C$7),OR(CARI!$C$8="",$T1784=CARI!$C$8)),MAX($Z$3:Z1783)+1,""))</f>
        <v/>
      </c>
      <c r="AA1784" s="40" t="str">
        <f aca="false">IF($Y1784="","",MAX($AA$3:AA1783)+1)</f>
        <v/>
      </c>
      <c r="AB1784" s="40" t="str">
        <f aca="false">IF($F1784="","",$F1784&amp;"#"&amp;COUNTIF($F$4:$F1784,$F1784))</f>
        <v/>
      </c>
      <c r="AC1784" s="40" t="str">
        <f aca="false">IF($B1784="","",IF(AND(OR(CETAK!$J$10="",$F1784=CETAK!$J$10),OR(CETAK!$J$11="",$G1784=CETAK!$J$11),OR(CETAK!$J$12="",$P1784=CETAK!$J$12),OR(CETAK!$J$13="",$N1784=CETAK!$J$13),OR(CETAK!$J$14="",$T1784=CETAK!$J$14)),MAX($AC$3:AC1783)+1,""))</f>
        <v/>
      </c>
      <c r="AD1784" s="40" t="str">
        <f aca="false">IF($B1784="","",IF(AND(OR(ABSENSI!$H$10="",$F1784=ABSENSI!$H$10),OR(ABSENSI!$H$11="",$G1784=ABSENSI!$H$11),OR(ABSENSI!$H$12="",$P1784=ABSENSI!$H$12)),MAX($AD$3:AD1783)+1,""))</f>
        <v/>
      </c>
      <c r="AE1784" s="40" t="str">
        <f aca="false">IF($B1784="","",IF(AND(OR(KARTU!$K$6="",$F1784=KARTU!$K$6),OR(KARTU!$K$7="",$G1784=KARTU!$K$7),OR(KARTU!$K$8="",$P1784=KARTU!$K$8)),MAX($AE$3:AE1783)+1,""))</f>
        <v/>
      </c>
    </row>
    <row r="1785" customFormat="false" ht="15" hidden="false" customHeight="false" outlineLevel="0" collapsed="false">
      <c r="A1785" s="35" t="str">
        <f aca="false">IF($B1785="","",COUNTA($B$4:$B1785))</f>
        <v/>
      </c>
      <c r="B1785" s="36"/>
      <c r="C1785" s="37"/>
      <c r="D1785" s="37"/>
      <c r="E1785" s="38"/>
      <c r="F1785" s="36"/>
      <c r="G1785" s="39"/>
      <c r="H1785" s="39"/>
      <c r="I1785" s="36"/>
      <c r="J1785" s="36"/>
      <c r="K1785" s="36"/>
      <c r="L1785" s="36"/>
      <c r="M1785" s="40" t="str">
        <f aca="false">IF($F1785="","",$F1785&amp;IF($G1785="",""," - RT "&amp;$G1785&amp;IF($H1785="","","/"&amp;$H1785)))</f>
        <v/>
      </c>
      <c r="N1785" s="36"/>
      <c r="O1785" s="37"/>
      <c r="P1785" s="39"/>
      <c r="Q1785" s="41"/>
      <c r="R1785" s="35" t="str">
        <f aca="true">IF(OR($B1785="",$Q1785=""),"",DATEDIF($Q1785,TODAY(),"Y"))</f>
        <v/>
      </c>
      <c r="S1785" s="40" t="str">
        <f aca="false">IF($R1785="","",INDEX(usia_label,MATCH($R1785,usia_min,1)))</f>
        <v/>
      </c>
      <c r="T1785" s="36"/>
      <c r="U1785" s="41"/>
      <c r="V1785" s="36"/>
      <c r="W1785" s="36"/>
      <c r="X1785" s="40" t="str">
        <f aca="false">IF($M1785="","",$M1785&amp;"#"&amp;COUNTIF($M$4:$M1785,$M1785))</f>
        <v/>
      </c>
      <c r="Y1785" s="40" t="str">
        <f aca="false">IF($B1785="","",IF($C1785="","NIK kosong",IF(LEN($C1785)&lt;&gt;16,"NIK bukan 16 digit",IF(COUNTIF($C$4:$C$2003,$C1785&amp;"*")&gt;1,"NIK ganda",IF(AND($D1785&lt;&gt;"",LEN($D1785)&lt;&gt;16),"No. KK bukan 16 digit",IF(AND($F1785="",$I1785=""),"Alamat kosong",IF($N1785="","Jabatan kosong",IF($O1785="","No. HP kosong",IF(AND($R1785&lt;&gt;"",$R1785&lt;17),"Usia di bawah 17","")))))))))</f>
        <v/>
      </c>
      <c r="Z1785" s="40" t="str">
        <f aca="false">IF($B1785="","",IF(AND(OR(CARI!$C$5="",ISNUMBER(SEARCH(CARI!$C$5,$B1785&amp;" "&amp;$C1785&amp;" "&amp;$D1785&amp;" "&amp;$O1785&amp;" "&amp;$I1785&amp;" "&amp;$F1785&amp;" "&amp;$J1785&amp;" "&amp;$K1785&amp;" "&amp;$L1785&amp;" "&amp;$V1785))),OR(CARI!$C$6="",$F1785=CARI!$C$6),OR(CARI!$C$7="",$G1785=CARI!$C$7),OR(CARI!$C$8="",$T1785=CARI!$C$8)),MAX($Z$3:Z1784)+1,""))</f>
        <v/>
      </c>
      <c r="AA1785" s="40" t="str">
        <f aca="false">IF($Y1785="","",MAX($AA$3:AA1784)+1)</f>
        <v/>
      </c>
      <c r="AB1785" s="40" t="str">
        <f aca="false">IF($F1785="","",$F1785&amp;"#"&amp;COUNTIF($F$4:$F1785,$F1785))</f>
        <v/>
      </c>
      <c r="AC1785" s="40" t="str">
        <f aca="false">IF($B1785="","",IF(AND(OR(CETAK!$J$10="",$F1785=CETAK!$J$10),OR(CETAK!$J$11="",$G1785=CETAK!$J$11),OR(CETAK!$J$12="",$P1785=CETAK!$J$12),OR(CETAK!$J$13="",$N1785=CETAK!$J$13),OR(CETAK!$J$14="",$T1785=CETAK!$J$14)),MAX($AC$3:AC1784)+1,""))</f>
        <v/>
      </c>
      <c r="AD1785" s="40" t="str">
        <f aca="false">IF($B1785="","",IF(AND(OR(ABSENSI!$H$10="",$F1785=ABSENSI!$H$10),OR(ABSENSI!$H$11="",$G1785=ABSENSI!$H$11),OR(ABSENSI!$H$12="",$P1785=ABSENSI!$H$12)),MAX($AD$3:AD1784)+1,""))</f>
        <v/>
      </c>
      <c r="AE1785" s="40" t="str">
        <f aca="false">IF($B1785="","",IF(AND(OR(KARTU!$K$6="",$F1785=KARTU!$K$6),OR(KARTU!$K$7="",$G1785=KARTU!$K$7),OR(KARTU!$K$8="",$P1785=KARTU!$K$8)),MAX($AE$3:AE1784)+1,""))</f>
        <v/>
      </c>
    </row>
    <row r="1786" customFormat="false" ht="15" hidden="false" customHeight="false" outlineLevel="0" collapsed="false">
      <c r="A1786" s="35" t="str">
        <f aca="false">IF($B1786="","",COUNTA($B$4:$B1786))</f>
        <v/>
      </c>
      <c r="B1786" s="36"/>
      <c r="C1786" s="37"/>
      <c r="D1786" s="37"/>
      <c r="E1786" s="38"/>
      <c r="F1786" s="36"/>
      <c r="G1786" s="39"/>
      <c r="H1786" s="39"/>
      <c r="I1786" s="36"/>
      <c r="J1786" s="36"/>
      <c r="K1786" s="36"/>
      <c r="L1786" s="36"/>
      <c r="M1786" s="40" t="str">
        <f aca="false">IF($F1786="","",$F1786&amp;IF($G1786="",""," - RT "&amp;$G1786&amp;IF($H1786="","","/"&amp;$H1786)))</f>
        <v/>
      </c>
      <c r="N1786" s="36"/>
      <c r="O1786" s="37"/>
      <c r="P1786" s="39"/>
      <c r="Q1786" s="41"/>
      <c r="R1786" s="35" t="str">
        <f aca="true">IF(OR($B1786="",$Q1786=""),"",DATEDIF($Q1786,TODAY(),"Y"))</f>
        <v/>
      </c>
      <c r="S1786" s="40" t="str">
        <f aca="false">IF($R1786="","",INDEX(usia_label,MATCH($R1786,usia_min,1)))</f>
        <v/>
      </c>
      <c r="T1786" s="36"/>
      <c r="U1786" s="41"/>
      <c r="V1786" s="36"/>
      <c r="W1786" s="36"/>
      <c r="X1786" s="40" t="str">
        <f aca="false">IF($M1786="","",$M1786&amp;"#"&amp;COUNTIF($M$4:$M1786,$M1786))</f>
        <v/>
      </c>
      <c r="Y1786" s="40" t="str">
        <f aca="false">IF($B1786="","",IF($C1786="","NIK kosong",IF(LEN($C1786)&lt;&gt;16,"NIK bukan 16 digit",IF(COUNTIF($C$4:$C$2003,$C1786&amp;"*")&gt;1,"NIK ganda",IF(AND($D1786&lt;&gt;"",LEN($D1786)&lt;&gt;16),"No. KK bukan 16 digit",IF(AND($F1786="",$I1786=""),"Alamat kosong",IF($N1786="","Jabatan kosong",IF($O1786="","No. HP kosong",IF(AND($R1786&lt;&gt;"",$R1786&lt;17),"Usia di bawah 17","")))))))))</f>
        <v/>
      </c>
      <c r="Z1786" s="40" t="str">
        <f aca="false">IF($B1786="","",IF(AND(OR(CARI!$C$5="",ISNUMBER(SEARCH(CARI!$C$5,$B1786&amp;" "&amp;$C1786&amp;" "&amp;$D1786&amp;" "&amp;$O1786&amp;" "&amp;$I1786&amp;" "&amp;$F1786&amp;" "&amp;$J1786&amp;" "&amp;$K1786&amp;" "&amp;$L1786&amp;" "&amp;$V1786))),OR(CARI!$C$6="",$F1786=CARI!$C$6),OR(CARI!$C$7="",$G1786=CARI!$C$7),OR(CARI!$C$8="",$T1786=CARI!$C$8)),MAX($Z$3:Z1785)+1,""))</f>
        <v/>
      </c>
      <c r="AA1786" s="40" t="str">
        <f aca="false">IF($Y1786="","",MAX($AA$3:AA1785)+1)</f>
        <v/>
      </c>
      <c r="AB1786" s="40" t="str">
        <f aca="false">IF($F1786="","",$F1786&amp;"#"&amp;COUNTIF($F$4:$F1786,$F1786))</f>
        <v/>
      </c>
      <c r="AC1786" s="40" t="str">
        <f aca="false">IF($B1786="","",IF(AND(OR(CETAK!$J$10="",$F1786=CETAK!$J$10),OR(CETAK!$J$11="",$G1786=CETAK!$J$11),OR(CETAK!$J$12="",$P1786=CETAK!$J$12),OR(CETAK!$J$13="",$N1786=CETAK!$J$13),OR(CETAK!$J$14="",$T1786=CETAK!$J$14)),MAX($AC$3:AC1785)+1,""))</f>
        <v/>
      </c>
      <c r="AD1786" s="40" t="str">
        <f aca="false">IF($B1786="","",IF(AND(OR(ABSENSI!$H$10="",$F1786=ABSENSI!$H$10),OR(ABSENSI!$H$11="",$G1786=ABSENSI!$H$11),OR(ABSENSI!$H$12="",$P1786=ABSENSI!$H$12)),MAX($AD$3:AD1785)+1,""))</f>
        <v/>
      </c>
      <c r="AE1786" s="40" t="str">
        <f aca="false">IF($B1786="","",IF(AND(OR(KARTU!$K$6="",$F1786=KARTU!$K$6),OR(KARTU!$K$7="",$G1786=KARTU!$K$7),OR(KARTU!$K$8="",$P1786=KARTU!$K$8)),MAX($AE$3:AE1785)+1,""))</f>
        <v/>
      </c>
    </row>
    <row r="1787" customFormat="false" ht="15" hidden="false" customHeight="false" outlineLevel="0" collapsed="false">
      <c r="A1787" s="35" t="str">
        <f aca="false">IF($B1787="","",COUNTA($B$4:$B1787))</f>
        <v/>
      </c>
      <c r="B1787" s="36"/>
      <c r="C1787" s="37"/>
      <c r="D1787" s="37"/>
      <c r="E1787" s="38"/>
      <c r="F1787" s="36"/>
      <c r="G1787" s="39"/>
      <c r="H1787" s="39"/>
      <c r="I1787" s="36"/>
      <c r="J1787" s="36"/>
      <c r="K1787" s="36"/>
      <c r="L1787" s="36"/>
      <c r="M1787" s="40" t="str">
        <f aca="false">IF($F1787="","",$F1787&amp;IF($G1787="",""," - RT "&amp;$G1787&amp;IF($H1787="","","/"&amp;$H1787)))</f>
        <v/>
      </c>
      <c r="N1787" s="36"/>
      <c r="O1787" s="37"/>
      <c r="P1787" s="39"/>
      <c r="Q1787" s="41"/>
      <c r="R1787" s="35" t="str">
        <f aca="true">IF(OR($B1787="",$Q1787=""),"",DATEDIF($Q1787,TODAY(),"Y"))</f>
        <v/>
      </c>
      <c r="S1787" s="40" t="str">
        <f aca="false">IF($R1787="","",INDEX(usia_label,MATCH($R1787,usia_min,1)))</f>
        <v/>
      </c>
      <c r="T1787" s="36"/>
      <c r="U1787" s="41"/>
      <c r="V1787" s="36"/>
      <c r="W1787" s="36"/>
      <c r="X1787" s="40" t="str">
        <f aca="false">IF($M1787="","",$M1787&amp;"#"&amp;COUNTIF($M$4:$M1787,$M1787))</f>
        <v/>
      </c>
      <c r="Y1787" s="40" t="str">
        <f aca="false">IF($B1787="","",IF($C1787="","NIK kosong",IF(LEN($C1787)&lt;&gt;16,"NIK bukan 16 digit",IF(COUNTIF($C$4:$C$2003,$C1787&amp;"*")&gt;1,"NIK ganda",IF(AND($D1787&lt;&gt;"",LEN($D1787)&lt;&gt;16),"No. KK bukan 16 digit",IF(AND($F1787="",$I1787=""),"Alamat kosong",IF($N1787="","Jabatan kosong",IF($O1787="","No. HP kosong",IF(AND($R1787&lt;&gt;"",$R1787&lt;17),"Usia di bawah 17","")))))))))</f>
        <v/>
      </c>
      <c r="Z1787" s="40" t="str">
        <f aca="false">IF($B1787="","",IF(AND(OR(CARI!$C$5="",ISNUMBER(SEARCH(CARI!$C$5,$B1787&amp;" "&amp;$C1787&amp;" "&amp;$D1787&amp;" "&amp;$O1787&amp;" "&amp;$I1787&amp;" "&amp;$F1787&amp;" "&amp;$J1787&amp;" "&amp;$K1787&amp;" "&amp;$L1787&amp;" "&amp;$V1787))),OR(CARI!$C$6="",$F1787=CARI!$C$6),OR(CARI!$C$7="",$G1787=CARI!$C$7),OR(CARI!$C$8="",$T1787=CARI!$C$8)),MAX($Z$3:Z1786)+1,""))</f>
        <v/>
      </c>
      <c r="AA1787" s="40" t="str">
        <f aca="false">IF($Y1787="","",MAX($AA$3:AA1786)+1)</f>
        <v/>
      </c>
      <c r="AB1787" s="40" t="str">
        <f aca="false">IF($F1787="","",$F1787&amp;"#"&amp;COUNTIF($F$4:$F1787,$F1787))</f>
        <v/>
      </c>
      <c r="AC1787" s="40" t="str">
        <f aca="false">IF($B1787="","",IF(AND(OR(CETAK!$J$10="",$F1787=CETAK!$J$10),OR(CETAK!$J$11="",$G1787=CETAK!$J$11),OR(CETAK!$J$12="",$P1787=CETAK!$J$12),OR(CETAK!$J$13="",$N1787=CETAK!$J$13),OR(CETAK!$J$14="",$T1787=CETAK!$J$14)),MAX($AC$3:AC1786)+1,""))</f>
        <v/>
      </c>
      <c r="AD1787" s="40" t="str">
        <f aca="false">IF($B1787="","",IF(AND(OR(ABSENSI!$H$10="",$F1787=ABSENSI!$H$10),OR(ABSENSI!$H$11="",$G1787=ABSENSI!$H$11),OR(ABSENSI!$H$12="",$P1787=ABSENSI!$H$12)),MAX($AD$3:AD1786)+1,""))</f>
        <v/>
      </c>
      <c r="AE1787" s="40" t="str">
        <f aca="false">IF($B1787="","",IF(AND(OR(KARTU!$K$6="",$F1787=KARTU!$K$6),OR(KARTU!$K$7="",$G1787=KARTU!$K$7),OR(KARTU!$K$8="",$P1787=KARTU!$K$8)),MAX($AE$3:AE1786)+1,""))</f>
        <v/>
      </c>
    </row>
    <row r="1788" customFormat="false" ht="15" hidden="false" customHeight="false" outlineLevel="0" collapsed="false">
      <c r="A1788" s="35" t="str">
        <f aca="false">IF($B1788="","",COUNTA($B$4:$B1788))</f>
        <v/>
      </c>
      <c r="B1788" s="36"/>
      <c r="C1788" s="37"/>
      <c r="D1788" s="37"/>
      <c r="E1788" s="38"/>
      <c r="F1788" s="36"/>
      <c r="G1788" s="39"/>
      <c r="H1788" s="39"/>
      <c r="I1788" s="36"/>
      <c r="J1788" s="36"/>
      <c r="K1788" s="36"/>
      <c r="L1788" s="36"/>
      <c r="M1788" s="40" t="str">
        <f aca="false">IF($F1788="","",$F1788&amp;IF($G1788="",""," - RT "&amp;$G1788&amp;IF($H1788="","","/"&amp;$H1788)))</f>
        <v/>
      </c>
      <c r="N1788" s="36"/>
      <c r="O1788" s="37"/>
      <c r="P1788" s="39"/>
      <c r="Q1788" s="41"/>
      <c r="R1788" s="35" t="str">
        <f aca="true">IF(OR($B1788="",$Q1788=""),"",DATEDIF($Q1788,TODAY(),"Y"))</f>
        <v/>
      </c>
      <c r="S1788" s="40" t="str">
        <f aca="false">IF($R1788="","",INDEX(usia_label,MATCH($R1788,usia_min,1)))</f>
        <v/>
      </c>
      <c r="T1788" s="36"/>
      <c r="U1788" s="41"/>
      <c r="V1788" s="36"/>
      <c r="W1788" s="36"/>
      <c r="X1788" s="40" t="str">
        <f aca="false">IF($M1788="","",$M1788&amp;"#"&amp;COUNTIF($M$4:$M1788,$M1788))</f>
        <v/>
      </c>
      <c r="Y1788" s="40" t="str">
        <f aca="false">IF($B1788="","",IF($C1788="","NIK kosong",IF(LEN($C1788)&lt;&gt;16,"NIK bukan 16 digit",IF(COUNTIF($C$4:$C$2003,$C1788&amp;"*")&gt;1,"NIK ganda",IF(AND($D1788&lt;&gt;"",LEN($D1788)&lt;&gt;16),"No. KK bukan 16 digit",IF(AND($F1788="",$I1788=""),"Alamat kosong",IF($N1788="","Jabatan kosong",IF($O1788="","No. HP kosong",IF(AND($R1788&lt;&gt;"",$R1788&lt;17),"Usia di bawah 17","")))))))))</f>
        <v/>
      </c>
      <c r="Z1788" s="40" t="str">
        <f aca="false">IF($B1788="","",IF(AND(OR(CARI!$C$5="",ISNUMBER(SEARCH(CARI!$C$5,$B1788&amp;" "&amp;$C1788&amp;" "&amp;$D1788&amp;" "&amp;$O1788&amp;" "&amp;$I1788&amp;" "&amp;$F1788&amp;" "&amp;$J1788&amp;" "&amp;$K1788&amp;" "&amp;$L1788&amp;" "&amp;$V1788))),OR(CARI!$C$6="",$F1788=CARI!$C$6),OR(CARI!$C$7="",$G1788=CARI!$C$7),OR(CARI!$C$8="",$T1788=CARI!$C$8)),MAX($Z$3:Z1787)+1,""))</f>
        <v/>
      </c>
      <c r="AA1788" s="40" t="str">
        <f aca="false">IF($Y1788="","",MAX($AA$3:AA1787)+1)</f>
        <v/>
      </c>
      <c r="AB1788" s="40" t="str">
        <f aca="false">IF($F1788="","",$F1788&amp;"#"&amp;COUNTIF($F$4:$F1788,$F1788))</f>
        <v/>
      </c>
      <c r="AC1788" s="40" t="str">
        <f aca="false">IF($B1788="","",IF(AND(OR(CETAK!$J$10="",$F1788=CETAK!$J$10),OR(CETAK!$J$11="",$G1788=CETAK!$J$11),OR(CETAK!$J$12="",$P1788=CETAK!$J$12),OR(CETAK!$J$13="",$N1788=CETAK!$J$13),OR(CETAK!$J$14="",$T1788=CETAK!$J$14)),MAX($AC$3:AC1787)+1,""))</f>
        <v/>
      </c>
      <c r="AD1788" s="40" t="str">
        <f aca="false">IF($B1788="","",IF(AND(OR(ABSENSI!$H$10="",$F1788=ABSENSI!$H$10),OR(ABSENSI!$H$11="",$G1788=ABSENSI!$H$11),OR(ABSENSI!$H$12="",$P1788=ABSENSI!$H$12)),MAX($AD$3:AD1787)+1,""))</f>
        <v/>
      </c>
      <c r="AE1788" s="40" t="str">
        <f aca="false">IF($B1788="","",IF(AND(OR(KARTU!$K$6="",$F1788=KARTU!$K$6),OR(KARTU!$K$7="",$G1788=KARTU!$K$7),OR(KARTU!$K$8="",$P1788=KARTU!$K$8)),MAX($AE$3:AE1787)+1,""))</f>
        <v/>
      </c>
    </row>
    <row r="1789" customFormat="false" ht="15" hidden="false" customHeight="false" outlineLevel="0" collapsed="false">
      <c r="A1789" s="35" t="str">
        <f aca="false">IF($B1789="","",COUNTA($B$4:$B1789))</f>
        <v/>
      </c>
      <c r="B1789" s="36"/>
      <c r="C1789" s="37"/>
      <c r="D1789" s="37"/>
      <c r="E1789" s="38"/>
      <c r="F1789" s="36"/>
      <c r="G1789" s="39"/>
      <c r="H1789" s="39"/>
      <c r="I1789" s="36"/>
      <c r="J1789" s="36"/>
      <c r="K1789" s="36"/>
      <c r="L1789" s="36"/>
      <c r="M1789" s="40" t="str">
        <f aca="false">IF($F1789="","",$F1789&amp;IF($G1789="",""," - RT "&amp;$G1789&amp;IF($H1789="","","/"&amp;$H1789)))</f>
        <v/>
      </c>
      <c r="N1789" s="36"/>
      <c r="O1789" s="37"/>
      <c r="P1789" s="39"/>
      <c r="Q1789" s="41"/>
      <c r="R1789" s="35" t="str">
        <f aca="true">IF(OR($B1789="",$Q1789=""),"",DATEDIF($Q1789,TODAY(),"Y"))</f>
        <v/>
      </c>
      <c r="S1789" s="40" t="str">
        <f aca="false">IF($R1789="","",INDEX(usia_label,MATCH($R1789,usia_min,1)))</f>
        <v/>
      </c>
      <c r="T1789" s="36"/>
      <c r="U1789" s="41"/>
      <c r="V1789" s="36"/>
      <c r="W1789" s="36"/>
      <c r="X1789" s="40" t="str">
        <f aca="false">IF($M1789="","",$M1789&amp;"#"&amp;COUNTIF($M$4:$M1789,$M1789))</f>
        <v/>
      </c>
      <c r="Y1789" s="40" t="str">
        <f aca="false">IF($B1789="","",IF($C1789="","NIK kosong",IF(LEN($C1789)&lt;&gt;16,"NIK bukan 16 digit",IF(COUNTIF($C$4:$C$2003,$C1789&amp;"*")&gt;1,"NIK ganda",IF(AND($D1789&lt;&gt;"",LEN($D1789)&lt;&gt;16),"No. KK bukan 16 digit",IF(AND($F1789="",$I1789=""),"Alamat kosong",IF($N1789="","Jabatan kosong",IF($O1789="","No. HP kosong",IF(AND($R1789&lt;&gt;"",$R1789&lt;17),"Usia di bawah 17","")))))))))</f>
        <v/>
      </c>
      <c r="Z1789" s="40" t="str">
        <f aca="false">IF($B1789="","",IF(AND(OR(CARI!$C$5="",ISNUMBER(SEARCH(CARI!$C$5,$B1789&amp;" "&amp;$C1789&amp;" "&amp;$D1789&amp;" "&amp;$O1789&amp;" "&amp;$I1789&amp;" "&amp;$F1789&amp;" "&amp;$J1789&amp;" "&amp;$K1789&amp;" "&amp;$L1789&amp;" "&amp;$V1789))),OR(CARI!$C$6="",$F1789=CARI!$C$6),OR(CARI!$C$7="",$G1789=CARI!$C$7),OR(CARI!$C$8="",$T1789=CARI!$C$8)),MAX($Z$3:Z1788)+1,""))</f>
        <v/>
      </c>
      <c r="AA1789" s="40" t="str">
        <f aca="false">IF($Y1789="","",MAX($AA$3:AA1788)+1)</f>
        <v/>
      </c>
      <c r="AB1789" s="40" t="str">
        <f aca="false">IF($F1789="","",$F1789&amp;"#"&amp;COUNTIF($F$4:$F1789,$F1789))</f>
        <v/>
      </c>
      <c r="AC1789" s="40" t="str">
        <f aca="false">IF($B1789="","",IF(AND(OR(CETAK!$J$10="",$F1789=CETAK!$J$10),OR(CETAK!$J$11="",$G1789=CETAK!$J$11),OR(CETAK!$J$12="",$P1789=CETAK!$J$12),OR(CETAK!$J$13="",$N1789=CETAK!$J$13),OR(CETAK!$J$14="",$T1789=CETAK!$J$14)),MAX($AC$3:AC1788)+1,""))</f>
        <v/>
      </c>
      <c r="AD1789" s="40" t="str">
        <f aca="false">IF($B1789="","",IF(AND(OR(ABSENSI!$H$10="",$F1789=ABSENSI!$H$10),OR(ABSENSI!$H$11="",$G1789=ABSENSI!$H$11),OR(ABSENSI!$H$12="",$P1789=ABSENSI!$H$12)),MAX($AD$3:AD1788)+1,""))</f>
        <v/>
      </c>
      <c r="AE1789" s="40" t="str">
        <f aca="false">IF($B1789="","",IF(AND(OR(KARTU!$K$6="",$F1789=KARTU!$K$6),OR(KARTU!$K$7="",$G1789=KARTU!$K$7),OR(KARTU!$K$8="",$P1789=KARTU!$K$8)),MAX($AE$3:AE1788)+1,""))</f>
        <v/>
      </c>
    </row>
    <row r="1790" customFormat="false" ht="15" hidden="false" customHeight="false" outlineLevel="0" collapsed="false">
      <c r="A1790" s="35" t="str">
        <f aca="false">IF($B1790="","",COUNTA($B$4:$B1790))</f>
        <v/>
      </c>
      <c r="B1790" s="36"/>
      <c r="C1790" s="37"/>
      <c r="D1790" s="37"/>
      <c r="E1790" s="38"/>
      <c r="F1790" s="36"/>
      <c r="G1790" s="39"/>
      <c r="H1790" s="39"/>
      <c r="I1790" s="36"/>
      <c r="J1790" s="36"/>
      <c r="K1790" s="36"/>
      <c r="L1790" s="36"/>
      <c r="M1790" s="40" t="str">
        <f aca="false">IF($F1790="","",$F1790&amp;IF($G1790="",""," - RT "&amp;$G1790&amp;IF($H1790="","","/"&amp;$H1790)))</f>
        <v/>
      </c>
      <c r="N1790" s="36"/>
      <c r="O1790" s="37"/>
      <c r="P1790" s="39"/>
      <c r="Q1790" s="41"/>
      <c r="R1790" s="35" t="str">
        <f aca="true">IF(OR($B1790="",$Q1790=""),"",DATEDIF($Q1790,TODAY(),"Y"))</f>
        <v/>
      </c>
      <c r="S1790" s="40" t="str">
        <f aca="false">IF($R1790="","",INDEX(usia_label,MATCH($R1790,usia_min,1)))</f>
        <v/>
      </c>
      <c r="T1790" s="36"/>
      <c r="U1790" s="41"/>
      <c r="V1790" s="36"/>
      <c r="W1790" s="36"/>
      <c r="X1790" s="40" t="str">
        <f aca="false">IF($M1790="","",$M1790&amp;"#"&amp;COUNTIF($M$4:$M1790,$M1790))</f>
        <v/>
      </c>
      <c r="Y1790" s="40" t="str">
        <f aca="false">IF($B1790="","",IF($C1790="","NIK kosong",IF(LEN($C1790)&lt;&gt;16,"NIK bukan 16 digit",IF(COUNTIF($C$4:$C$2003,$C1790&amp;"*")&gt;1,"NIK ganda",IF(AND($D1790&lt;&gt;"",LEN($D1790)&lt;&gt;16),"No. KK bukan 16 digit",IF(AND($F1790="",$I1790=""),"Alamat kosong",IF($N1790="","Jabatan kosong",IF($O1790="","No. HP kosong",IF(AND($R1790&lt;&gt;"",$R1790&lt;17),"Usia di bawah 17","")))))))))</f>
        <v/>
      </c>
      <c r="Z1790" s="40" t="str">
        <f aca="false">IF($B1790="","",IF(AND(OR(CARI!$C$5="",ISNUMBER(SEARCH(CARI!$C$5,$B1790&amp;" "&amp;$C1790&amp;" "&amp;$D1790&amp;" "&amp;$O1790&amp;" "&amp;$I1790&amp;" "&amp;$F1790&amp;" "&amp;$J1790&amp;" "&amp;$K1790&amp;" "&amp;$L1790&amp;" "&amp;$V1790))),OR(CARI!$C$6="",$F1790=CARI!$C$6),OR(CARI!$C$7="",$G1790=CARI!$C$7),OR(CARI!$C$8="",$T1790=CARI!$C$8)),MAX($Z$3:Z1789)+1,""))</f>
        <v/>
      </c>
      <c r="AA1790" s="40" t="str">
        <f aca="false">IF($Y1790="","",MAX($AA$3:AA1789)+1)</f>
        <v/>
      </c>
      <c r="AB1790" s="40" t="str">
        <f aca="false">IF($F1790="","",$F1790&amp;"#"&amp;COUNTIF($F$4:$F1790,$F1790))</f>
        <v/>
      </c>
      <c r="AC1790" s="40" t="str">
        <f aca="false">IF($B1790="","",IF(AND(OR(CETAK!$J$10="",$F1790=CETAK!$J$10),OR(CETAK!$J$11="",$G1790=CETAK!$J$11),OR(CETAK!$J$12="",$P1790=CETAK!$J$12),OR(CETAK!$J$13="",$N1790=CETAK!$J$13),OR(CETAK!$J$14="",$T1790=CETAK!$J$14)),MAX($AC$3:AC1789)+1,""))</f>
        <v/>
      </c>
      <c r="AD1790" s="40" t="str">
        <f aca="false">IF($B1790="","",IF(AND(OR(ABSENSI!$H$10="",$F1790=ABSENSI!$H$10),OR(ABSENSI!$H$11="",$G1790=ABSENSI!$H$11),OR(ABSENSI!$H$12="",$P1790=ABSENSI!$H$12)),MAX($AD$3:AD1789)+1,""))</f>
        <v/>
      </c>
      <c r="AE1790" s="40" t="str">
        <f aca="false">IF($B1790="","",IF(AND(OR(KARTU!$K$6="",$F1790=KARTU!$K$6),OR(KARTU!$K$7="",$G1790=KARTU!$K$7),OR(KARTU!$K$8="",$P1790=KARTU!$K$8)),MAX($AE$3:AE1789)+1,""))</f>
        <v/>
      </c>
    </row>
    <row r="1791" customFormat="false" ht="15" hidden="false" customHeight="false" outlineLevel="0" collapsed="false">
      <c r="A1791" s="35" t="str">
        <f aca="false">IF($B1791="","",COUNTA($B$4:$B1791))</f>
        <v/>
      </c>
      <c r="B1791" s="36"/>
      <c r="C1791" s="37"/>
      <c r="D1791" s="37"/>
      <c r="E1791" s="38"/>
      <c r="F1791" s="36"/>
      <c r="G1791" s="39"/>
      <c r="H1791" s="39"/>
      <c r="I1791" s="36"/>
      <c r="J1791" s="36"/>
      <c r="K1791" s="36"/>
      <c r="L1791" s="36"/>
      <c r="M1791" s="40" t="str">
        <f aca="false">IF($F1791="","",$F1791&amp;IF($G1791="",""," - RT "&amp;$G1791&amp;IF($H1791="","","/"&amp;$H1791)))</f>
        <v/>
      </c>
      <c r="N1791" s="36"/>
      <c r="O1791" s="37"/>
      <c r="P1791" s="39"/>
      <c r="Q1791" s="41"/>
      <c r="R1791" s="35" t="str">
        <f aca="true">IF(OR($B1791="",$Q1791=""),"",DATEDIF($Q1791,TODAY(),"Y"))</f>
        <v/>
      </c>
      <c r="S1791" s="40" t="str">
        <f aca="false">IF($R1791="","",INDEX(usia_label,MATCH($R1791,usia_min,1)))</f>
        <v/>
      </c>
      <c r="T1791" s="36"/>
      <c r="U1791" s="41"/>
      <c r="V1791" s="36"/>
      <c r="W1791" s="36"/>
      <c r="X1791" s="40" t="str">
        <f aca="false">IF($M1791="","",$M1791&amp;"#"&amp;COUNTIF($M$4:$M1791,$M1791))</f>
        <v/>
      </c>
      <c r="Y1791" s="40" t="str">
        <f aca="false">IF($B1791="","",IF($C1791="","NIK kosong",IF(LEN($C1791)&lt;&gt;16,"NIK bukan 16 digit",IF(COUNTIF($C$4:$C$2003,$C1791&amp;"*")&gt;1,"NIK ganda",IF(AND($D1791&lt;&gt;"",LEN($D1791)&lt;&gt;16),"No. KK bukan 16 digit",IF(AND($F1791="",$I1791=""),"Alamat kosong",IF($N1791="","Jabatan kosong",IF($O1791="","No. HP kosong",IF(AND($R1791&lt;&gt;"",$R1791&lt;17),"Usia di bawah 17","")))))))))</f>
        <v/>
      </c>
      <c r="Z1791" s="40" t="str">
        <f aca="false">IF($B1791="","",IF(AND(OR(CARI!$C$5="",ISNUMBER(SEARCH(CARI!$C$5,$B1791&amp;" "&amp;$C1791&amp;" "&amp;$D1791&amp;" "&amp;$O1791&amp;" "&amp;$I1791&amp;" "&amp;$F1791&amp;" "&amp;$J1791&amp;" "&amp;$K1791&amp;" "&amp;$L1791&amp;" "&amp;$V1791))),OR(CARI!$C$6="",$F1791=CARI!$C$6),OR(CARI!$C$7="",$G1791=CARI!$C$7),OR(CARI!$C$8="",$T1791=CARI!$C$8)),MAX($Z$3:Z1790)+1,""))</f>
        <v/>
      </c>
      <c r="AA1791" s="40" t="str">
        <f aca="false">IF($Y1791="","",MAX($AA$3:AA1790)+1)</f>
        <v/>
      </c>
      <c r="AB1791" s="40" t="str">
        <f aca="false">IF($F1791="","",$F1791&amp;"#"&amp;COUNTIF($F$4:$F1791,$F1791))</f>
        <v/>
      </c>
      <c r="AC1791" s="40" t="str">
        <f aca="false">IF($B1791="","",IF(AND(OR(CETAK!$J$10="",$F1791=CETAK!$J$10),OR(CETAK!$J$11="",$G1791=CETAK!$J$11),OR(CETAK!$J$12="",$P1791=CETAK!$J$12),OR(CETAK!$J$13="",$N1791=CETAK!$J$13),OR(CETAK!$J$14="",$T1791=CETAK!$J$14)),MAX($AC$3:AC1790)+1,""))</f>
        <v/>
      </c>
      <c r="AD1791" s="40" t="str">
        <f aca="false">IF($B1791="","",IF(AND(OR(ABSENSI!$H$10="",$F1791=ABSENSI!$H$10),OR(ABSENSI!$H$11="",$G1791=ABSENSI!$H$11),OR(ABSENSI!$H$12="",$P1791=ABSENSI!$H$12)),MAX($AD$3:AD1790)+1,""))</f>
        <v/>
      </c>
      <c r="AE1791" s="40" t="str">
        <f aca="false">IF($B1791="","",IF(AND(OR(KARTU!$K$6="",$F1791=KARTU!$K$6),OR(KARTU!$K$7="",$G1791=KARTU!$K$7),OR(KARTU!$K$8="",$P1791=KARTU!$K$8)),MAX($AE$3:AE1790)+1,""))</f>
        <v/>
      </c>
    </row>
    <row r="1792" customFormat="false" ht="15" hidden="false" customHeight="false" outlineLevel="0" collapsed="false">
      <c r="A1792" s="35" t="str">
        <f aca="false">IF($B1792="","",COUNTA($B$4:$B1792))</f>
        <v/>
      </c>
      <c r="B1792" s="36"/>
      <c r="C1792" s="37"/>
      <c r="D1792" s="37"/>
      <c r="E1792" s="38"/>
      <c r="F1792" s="36"/>
      <c r="G1792" s="39"/>
      <c r="H1792" s="39"/>
      <c r="I1792" s="36"/>
      <c r="J1792" s="36"/>
      <c r="K1792" s="36"/>
      <c r="L1792" s="36"/>
      <c r="M1792" s="40" t="str">
        <f aca="false">IF($F1792="","",$F1792&amp;IF($G1792="",""," - RT "&amp;$G1792&amp;IF($H1792="","","/"&amp;$H1792)))</f>
        <v/>
      </c>
      <c r="N1792" s="36"/>
      <c r="O1792" s="37"/>
      <c r="P1792" s="39"/>
      <c r="Q1792" s="41"/>
      <c r="R1792" s="35" t="str">
        <f aca="true">IF(OR($B1792="",$Q1792=""),"",DATEDIF($Q1792,TODAY(),"Y"))</f>
        <v/>
      </c>
      <c r="S1792" s="40" t="str">
        <f aca="false">IF($R1792="","",INDEX(usia_label,MATCH($R1792,usia_min,1)))</f>
        <v/>
      </c>
      <c r="T1792" s="36"/>
      <c r="U1792" s="41"/>
      <c r="V1792" s="36"/>
      <c r="W1792" s="36"/>
      <c r="X1792" s="40" t="str">
        <f aca="false">IF($M1792="","",$M1792&amp;"#"&amp;COUNTIF($M$4:$M1792,$M1792))</f>
        <v/>
      </c>
      <c r="Y1792" s="40" t="str">
        <f aca="false">IF($B1792="","",IF($C1792="","NIK kosong",IF(LEN($C1792)&lt;&gt;16,"NIK bukan 16 digit",IF(COUNTIF($C$4:$C$2003,$C1792&amp;"*")&gt;1,"NIK ganda",IF(AND($D1792&lt;&gt;"",LEN($D1792)&lt;&gt;16),"No. KK bukan 16 digit",IF(AND($F1792="",$I1792=""),"Alamat kosong",IF($N1792="","Jabatan kosong",IF($O1792="","No. HP kosong",IF(AND($R1792&lt;&gt;"",$R1792&lt;17),"Usia di bawah 17","")))))))))</f>
        <v/>
      </c>
      <c r="Z1792" s="40" t="str">
        <f aca="false">IF($B1792="","",IF(AND(OR(CARI!$C$5="",ISNUMBER(SEARCH(CARI!$C$5,$B1792&amp;" "&amp;$C1792&amp;" "&amp;$D1792&amp;" "&amp;$O1792&amp;" "&amp;$I1792&amp;" "&amp;$F1792&amp;" "&amp;$J1792&amp;" "&amp;$K1792&amp;" "&amp;$L1792&amp;" "&amp;$V1792))),OR(CARI!$C$6="",$F1792=CARI!$C$6),OR(CARI!$C$7="",$G1792=CARI!$C$7),OR(CARI!$C$8="",$T1792=CARI!$C$8)),MAX($Z$3:Z1791)+1,""))</f>
        <v/>
      </c>
      <c r="AA1792" s="40" t="str">
        <f aca="false">IF($Y1792="","",MAX($AA$3:AA1791)+1)</f>
        <v/>
      </c>
      <c r="AB1792" s="40" t="str">
        <f aca="false">IF($F1792="","",$F1792&amp;"#"&amp;COUNTIF($F$4:$F1792,$F1792))</f>
        <v/>
      </c>
      <c r="AC1792" s="40" t="str">
        <f aca="false">IF($B1792="","",IF(AND(OR(CETAK!$J$10="",$F1792=CETAK!$J$10),OR(CETAK!$J$11="",$G1792=CETAK!$J$11),OR(CETAK!$J$12="",$P1792=CETAK!$J$12),OR(CETAK!$J$13="",$N1792=CETAK!$J$13),OR(CETAK!$J$14="",$T1792=CETAK!$J$14)),MAX($AC$3:AC1791)+1,""))</f>
        <v/>
      </c>
      <c r="AD1792" s="40" t="str">
        <f aca="false">IF($B1792="","",IF(AND(OR(ABSENSI!$H$10="",$F1792=ABSENSI!$H$10),OR(ABSENSI!$H$11="",$G1792=ABSENSI!$H$11),OR(ABSENSI!$H$12="",$P1792=ABSENSI!$H$12)),MAX($AD$3:AD1791)+1,""))</f>
        <v/>
      </c>
      <c r="AE1792" s="40" t="str">
        <f aca="false">IF($B1792="","",IF(AND(OR(KARTU!$K$6="",$F1792=KARTU!$K$6),OR(KARTU!$K$7="",$G1792=KARTU!$K$7),OR(KARTU!$K$8="",$P1792=KARTU!$K$8)),MAX($AE$3:AE1791)+1,""))</f>
        <v/>
      </c>
    </row>
    <row r="1793" customFormat="false" ht="15" hidden="false" customHeight="false" outlineLevel="0" collapsed="false">
      <c r="A1793" s="35" t="str">
        <f aca="false">IF($B1793="","",COUNTA($B$4:$B1793))</f>
        <v/>
      </c>
      <c r="B1793" s="36"/>
      <c r="C1793" s="37"/>
      <c r="D1793" s="37"/>
      <c r="E1793" s="38"/>
      <c r="F1793" s="36"/>
      <c r="G1793" s="39"/>
      <c r="H1793" s="39"/>
      <c r="I1793" s="36"/>
      <c r="J1793" s="36"/>
      <c r="K1793" s="36"/>
      <c r="L1793" s="36"/>
      <c r="M1793" s="40" t="str">
        <f aca="false">IF($F1793="","",$F1793&amp;IF($G1793="",""," - RT "&amp;$G1793&amp;IF($H1793="","","/"&amp;$H1793)))</f>
        <v/>
      </c>
      <c r="N1793" s="36"/>
      <c r="O1793" s="37"/>
      <c r="P1793" s="39"/>
      <c r="Q1793" s="41"/>
      <c r="R1793" s="35" t="str">
        <f aca="true">IF(OR($B1793="",$Q1793=""),"",DATEDIF($Q1793,TODAY(),"Y"))</f>
        <v/>
      </c>
      <c r="S1793" s="40" t="str">
        <f aca="false">IF($R1793="","",INDEX(usia_label,MATCH($R1793,usia_min,1)))</f>
        <v/>
      </c>
      <c r="T1793" s="36"/>
      <c r="U1793" s="41"/>
      <c r="V1793" s="36"/>
      <c r="W1793" s="36"/>
      <c r="X1793" s="40" t="str">
        <f aca="false">IF($M1793="","",$M1793&amp;"#"&amp;COUNTIF($M$4:$M1793,$M1793))</f>
        <v/>
      </c>
      <c r="Y1793" s="40" t="str">
        <f aca="false">IF($B1793="","",IF($C1793="","NIK kosong",IF(LEN($C1793)&lt;&gt;16,"NIK bukan 16 digit",IF(COUNTIF($C$4:$C$2003,$C1793&amp;"*")&gt;1,"NIK ganda",IF(AND($D1793&lt;&gt;"",LEN($D1793)&lt;&gt;16),"No. KK bukan 16 digit",IF(AND($F1793="",$I1793=""),"Alamat kosong",IF($N1793="","Jabatan kosong",IF($O1793="","No. HP kosong",IF(AND($R1793&lt;&gt;"",$R1793&lt;17),"Usia di bawah 17","")))))))))</f>
        <v/>
      </c>
      <c r="Z1793" s="40" t="str">
        <f aca="false">IF($B1793="","",IF(AND(OR(CARI!$C$5="",ISNUMBER(SEARCH(CARI!$C$5,$B1793&amp;" "&amp;$C1793&amp;" "&amp;$D1793&amp;" "&amp;$O1793&amp;" "&amp;$I1793&amp;" "&amp;$F1793&amp;" "&amp;$J1793&amp;" "&amp;$K1793&amp;" "&amp;$L1793&amp;" "&amp;$V1793))),OR(CARI!$C$6="",$F1793=CARI!$C$6),OR(CARI!$C$7="",$G1793=CARI!$C$7),OR(CARI!$C$8="",$T1793=CARI!$C$8)),MAX($Z$3:Z1792)+1,""))</f>
        <v/>
      </c>
      <c r="AA1793" s="40" t="str">
        <f aca="false">IF($Y1793="","",MAX($AA$3:AA1792)+1)</f>
        <v/>
      </c>
      <c r="AB1793" s="40" t="str">
        <f aca="false">IF($F1793="","",$F1793&amp;"#"&amp;COUNTIF($F$4:$F1793,$F1793))</f>
        <v/>
      </c>
      <c r="AC1793" s="40" t="str">
        <f aca="false">IF($B1793="","",IF(AND(OR(CETAK!$J$10="",$F1793=CETAK!$J$10),OR(CETAK!$J$11="",$G1793=CETAK!$J$11),OR(CETAK!$J$12="",$P1793=CETAK!$J$12),OR(CETAK!$J$13="",$N1793=CETAK!$J$13),OR(CETAK!$J$14="",$T1793=CETAK!$J$14)),MAX($AC$3:AC1792)+1,""))</f>
        <v/>
      </c>
      <c r="AD1793" s="40" t="str">
        <f aca="false">IF($B1793="","",IF(AND(OR(ABSENSI!$H$10="",$F1793=ABSENSI!$H$10),OR(ABSENSI!$H$11="",$G1793=ABSENSI!$H$11),OR(ABSENSI!$H$12="",$P1793=ABSENSI!$H$12)),MAX($AD$3:AD1792)+1,""))</f>
        <v/>
      </c>
      <c r="AE1793" s="40" t="str">
        <f aca="false">IF($B1793="","",IF(AND(OR(KARTU!$K$6="",$F1793=KARTU!$K$6),OR(KARTU!$K$7="",$G1793=KARTU!$K$7),OR(KARTU!$K$8="",$P1793=KARTU!$K$8)),MAX($AE$3:AE1792)+1,""))</f>
        <v/>
      </c>
    </row>
    <row r="1794" customFormat="false" ht="15" hidden="false" customHeight="false" outlineLevel="0" collapsed="false">
      <c r="A1794" s="35" t="str">
        <f aca="false">IF($B1794="","",COUNTA($B$4:$B1794))</f>
        <v/>
      </c>
      <c r="B1794" s="36"/>
      <c r="C1794" s="37"/>
      <c r="D1794" s="37"/>
      <c r="E1794" s="38"/>
      <c r="F1794" s="36"/>
      <c r="G1794" s="39"/>
      <c r="H1794" s="39"/>
      <c r="I1794" s="36"/>
      <c r="J1794" s="36"/>
      <c r="K1794" s="36"/>
      <c r="L1794" s="36"/>
      <c r="M1794" s="40" t="str">
        <f aca="false">IF($F1794="","",$F1794&amp;IF($G1794="",""," - RT "&amp;$G1794&amp;IF($H1794="","","/"&amp;$H1794)))</f>
        <v/>
      </c>
      <c r="N1794" s="36"/>
      <c r="O1794" s="37"/>
      <c r="P1794" s="39"/>
      <c r="Q1794" s="41"/>
      <c r="R1794" s="35" t="str">
        <f aca="true">IF(OR($B1794="",$Q1794=""),"",DATEDIF($Q1794,TODAY(),"Y"))</f>
        <v/>
      </c>
      <c r="S1794" s="40" t="str">
        <f aca="false">IF($R1794="","",INDEX(usia_label,MATCH($R1794,usia_min,1)))</f>
        <v/>
      </c>
      <c r="T1794" s="36"/>
      <c r="U1794" s="41"/>
      <c r="V1794" s="36"/>
      <c r="W1794" s="36"/>
      <c r="X1794" s="40" t="str">
        <f aca="false">IF($M1794="","",$M1794&amp;"#"&amp;COUNTIF($M$4:$M1794,$M1794))</f>
        <v/>
      </c>
      <c r="Y1794" s="40" t="str">
        <f aca="false">IF($B1794="","",IF($C1794="","NIK kosong",IF(LEN($C1794)&lt;&gt;16,"NIK bukan 16 digit",IF(COUNTIF($C$4:$C$2003,$C1794&amp;"*")&gt;1,"NIK ganda",IF(AND($D1794&lt;&gt;"",LEN($D1794)&lt;&gt;16),"No. KK bukan 16 digit",IF(AND($F1794="",$I1794=""),"Alamat kosong",IF($N1794="","Jabatan kosong",IF($O1794="","No. HP kosong",IF(AND($R1794&lt;&gt;"",$R1794&lt;17),"Usia di bawah 17","")))))))))</f>
        <v/>
      </c>
      <c r="Z1794" s="40" t="str">
        <f aca="false">IF($B1794="","",IF(AND(OR(CARI!$C$5="",ISNUMBER(SEARCH(CARI!$C$5,$B1794&amp;" "&amp;$C1794&amp;" "&amp;$D1794&amp;" "&amp;$O1794&amp;" "&amp;$I1794&amp;" "&amp;$F1794&amp;" "&amp;$J1794&amp;" "&amp;$K1794&amp;" "&amp;$L1794&amp;" "&amp;$V1794))),OR(CARI!$C$6="",$F1794=CARI!$C$6),OR(CARI!$C$7="",$G1794=CARI!$C$7),OR(CARI!$C$8="",$T1794=CARI!$C$8)),MAX($Z$3:Z1793)+1,""))</f>
        <v/>
      </c>
      <c r="AA1794" s="40" t="str">
        <f aca="false">IF($Y1794="","",MAX($AA$3:AA1793)+1)</f>
        <v/>
      </c>
      <c r="AB1794" s="40" t="str">
        <f aca="false">IF($F1794="","",$F1794&amp;"#"&amp;COUNTIF($F$4:$F1794,$F1794))</f>
        <v/>
      </c>
      <c r="AC1794" s="40" t="str">
        <f aca="false">IF($B1794="","",IF(AND(OR(CETAK!$J$10="",$F1794=CETAK!$J$10),OR(CETAK!$J$11="",$G1794=CETAK!$J$11),OR(CETAK!$J$12="",$P1794=CETAK!$J$12),OR(CETAK!$J$13="",$N1794=CETAK!$J$13),OR(CETAK!$J$14="",$T1794=CETAK!$J$14)),MAX($AC$3:AC1793)+1,""))</f>
        <v/>
      </c>
      <c r="AD1794" s="40" t="str">
        <f aca="false">IF($B1794="","",IF(AND(OR(ABSENSI!$H$10="",$F1794=ABSENSI!$H$10),OR(ABSENSI!$H$11="",$G1794=ABSENSI!$H$11),OR(ABSENSI!$H$12="",$P1794=ABSENSI!$H$12)),MAX($AD$3:AD1793)+1,""))</f>
        <v/>
      </c>
      <c r="AE1794" s="40" t="str">
        <f aca="false">IF($B1794="","",IF(AND(OR(KARTU!$K$6="",$F1794=KARTU!$K$6),OR(KARTU!$K$7="",$G1794=KARTU!$K$7),OR(KARTU!$K$8="",$P1794=KARTU!$K$8)),MAX($AE$3:AE1793)+1,""))</f>
        <v/>
      </c>
    </row>
    <row r="1795" customFormat="false" ht="15" hidden="false" customHeight="false" outlineLevel="0" collapsed="false">
      <c r="A1795" s="35" t="str">
        <f aca="false">IF($B1795="","",COUNTA($B$4:$B1795))</f>
        <v/>
      </c>
      <c r="B1795" s="36"/>
      <c r="C1795" s="37"/>
      <c r="D1795" s="37"/>
      <c r="E1795" s="38"/>
      <c r="F1795" s="36"/>
      <c r="G1795" s="39"/>
      <c r="H1795" s="39"/>
      <c r="I1795" s="36"/>
      <c r="J1795" s="36"/>
      <c r="K1795" s="36"/>
      <c r="L1795" s="36"/>
      <c r="M1795" s="40" t="str">
        <f aca="false">IF($F1795="","",$F1795&amp;IF($G1795="",""," - RT "&amp;$G1795&amp;IF($H1795="","","/"&amp;$H1795)))</f>
        <v/>
      </c>
      <c r="N1795" s="36"/>
      <c r="O1795" s="37"/>
      <c r="P1795" s="39"/>
      <c r="Q1795" s="41"/>
      <c r="R1795" s="35" t="str">
        <f aca="true">IF(OR($B1795="",$Q1795=""),"",DATEDIF($Q1795,TODAY(),"Y"))</f>
        <v/>
      </c>
      <c r="S1795" s="40" t="str">
        <f aca="false">IF($R1795="","",INDEX(usia_label,MATCH($R1795,usia_min,1)))</f>
        <v/>
      </c>
      <c r="T1795" s="36"/>
      <c r="U1795" s="41"/>
      <c r="V1795" s="36"/>
      <c r="W1795" s="36"/>
      <c r="X1795" s="40" t="str">
        <f aca="false">IF($M1795="","",$M1795&amp;"#"&amp;COUNTIF($M$4:$M1795,$M1795))</f>
        <v/>
      </c>
      <c r="Y1795" s="40" t="str">
        <f aca="false">IF($B1795="","",IF($C1795="","NIK kosong",IF(LEN($C1795)&lt;&gt;16,"NIK bukan 16 digit",IF(COUNTIF($C$4:$C$2003,$C1795&amp;"*")&gt;1,"NIK ganda",IF(AND($D1795&lt;&gt;"",LEN($D1795)&lt;&gt;16),"No. KK bukan 16 digit",IF(AND($F1795="",$I1795=""),"Alamat kosong",IF($N1795="","Jabatan kosong",IF($O1795="","No. HP kosong",IF(AND($R1795&lt;&gt;"",$R1795&lt;17),"Usia di bawah 17","")))))))))</f>
        <v/>
      </c>
      <c r="Z1795" s="40" t="str">
        <f aca="false">IF($B1795="","",IF(AND(OR(CARI!$C$5="",ISNUMBER(SEARCH(CARI!$C$5,$B1795&amp;" "&amp;$C1795&amp;" "&amp;$D1795&amp;" "&amp;$O1795&amp;" "&amp;$I1795&amp;" "&amp;$F1795&amp;" "&amp;$J1795&amp;" "&amp;$K1795&amp;" "&amp;$L1795&amp;" "&amp;$V1795))),OR(CARI!$C$6="",$F1795=CARI!$C$6),OR(CARI!$C$7="",$G1795=CARI!$C$7),OR(CARI!$C$8="",$T1795=CARI!$C$8)),MAX($Z$3:Z1794)+1,""))</f>
        <v/>
      </c>
      <c r="AA1795" s="40" t="str">
        <f aca="false">IF($Y1795="","",MAX($AA$3:AA1794)+1)</f>
        <v/>
      </c>
      <c r="AB1795" s="40" t="str">
        <f aca="false">IF($F1795="","",$F1795&amp;"#"&amp;COUNTIF($F$4:$F1795,$F1795))</f>
        <v/>
      </c>
      <c r="AC1795" s="40" t="str">
        <f aca="false">IF($B1795="","",IF(AND(OR(CETAK!$J$10="",$F1795=CETAK!$J$10),OR(CETAK!$J$11="",$G1795=CETAK!$J$11),OR(CETAK!$J$12="",$P1795=CETAK!$J$12),OR(CETAK!$J$13="",$N1795=CETAK!$J$13),OR(CETAK!$J$14="",$T1795=CETAK!$J$14)),MAX($AC$3:AC1794)+1,""))</f>
        <v/>
      </c>
      <c r="AD1795" s="40" t="str">
        <f aca="false">IF($B1795="","",IF(AND(OR(ABSENSI!$H$10="",$F1795=ABSENSI!$H$10),OR(ABSENSI!$H$11="",$G1795=ABSENSI!$H$11),OR(ABSENSI!$H$12="",$P1795=ABSENSI!$H$12)),MAX($AD$3:AD1794)+1,""))</f>
        <v/>
      </c>
      <c r="AE1795" s="40" t="str">
        <f aca="false">IF($B1795="","",IF(AND(OR(KARTU!$K$6="",$F1795=KARTU!$K$6),OR(KARTU!$K$7="",$G1795=KARTU!$K$7),OR(KARTU!$K$8="",$P1795=KARTU!$K$8)),MAX($AE$3:AE1794)+1,""))</f>
        <v/>
      </c>
    </row>
    <row r="1796" customFormat="false" ht="15" hidden="false" customHeight="false" outlineLevel="0" collapsed="false">
      <c r="A1796" s="35" t="str">
        <f aca="false">IF($B1796="","",COUNTA($B$4:$B1796))</f>
        <v/>
      </c>
      <c r="B1796" s="36"/>
      <c r="C1796" s="37"/>
      <c r="D1796" s="37"/>
      <c r="E1796" s="38"/>
      <c r="F1796" s="36"/>
      <c r="G1796" s="39"/>
      <c r="H1796" s="39"/>
      <c r="I1796" s="36"/>
      <c r="J1796" s="36"/>
      <c r="K1796" s="36"/>
      <c r="L1796" s="36"/>
      <c r="M1796" s="40" t="str">
        <f aca="false">IF($F1796="","",$F1796&amp;IF($G1796="",""," - RT "&amp;$G1796&amp;IF($H1796="","","/"&amp;$H1796)))</f>
        <v/>
      </c>
      <c r="N1796" s="36"/>
      <c r="O1796" s="37"/>
      <c r="P1796" s="39"/>
      <c r="Q1796" s="41"/>
      <c r="R1796" s="35" t="str">
        <f aca="true">IF(OR($B1796="",$Q1796=""),"",DATEDIF($Q1796,TODAY(),"Y"))</f>
        <v/>
      </c>
      <c r="S1796" s="40" t="str">
        <f aca="false">IF($R1796="","",INDEX(usia_label,MATCH($R1796,usia_min,1)))</f>
        <v/>
      </c>
      <c r="T1796" s="36"/>
      <c r="U1796" s="41"/>
      <c r="V1796" s="36"/>
      <c r="W1796" s="36"/>
      <c r="X1796" s="40" t="str">
        <f aca="false">IF($M1796="","",$M1796&amp;"#"&amp;COUNTIF($M$4:$M1796,$M1796))</f>
        <v/>
      </c>
      <c r="Y1796" s="40" t="str">
        <f aca="false">IF($B1796="","",IF($C1796="","NIK kosong",IF(LEN($C1796)&lt;&gt;16,"NIK bukan 16 digit",IF(COUNTIF($C$4:$C$2003,$C1796&amp;"*")&gt;1,"NIK ganda",IF(AND($D1796&lt;&gt;"",LEN($D1796)&lt;&gt;16),"No. KK bukan 16 digit",IF(AND($F1796="",$I1796=""),"Alamat kosong",IF($N1796="","Jabatan kosong",IF($O1796="","No. HP kosong",IF(AND($R1796&lt;&gt;"",$R1796&lt;17),"Usia di bawah 17","")))))))))</f>
        <v/>
      </c>
      <c r="Z1796" s="40" t="str">
        <f aca="false">IF($B1796="","",IF(AND(OR(CARI!$C$5="",ISNUMBER(SEARCH(CARI!$C$5,$B1796&amp;" "&amp;$C1796&amp;" "&amp;$D1796&amp;" "&amp;$O1796&amp;" "&amp;$I1796&amp;" "&amp;$F1796&amp;" "&amp;$J1796&amp;" "&amp;$K1796&amp;" "&amp;$L1796&amp;" "&amp;$V1796))),OR(CARI!$C$6="",$F1796=CARI!$C$6),OR(CARI!$C$7="",$G1796=CARI!$C$7),OR(CARI!$C$8="",$T1796=CARI!$C$8)),MAX($Z$3:Z1795)+1,""))</f>
        <v/>
      </c>
      <c r="AA1796" s="40" t="str">
        <f aca="false">IF($Y1796="","",MAX($AA$3:AA1795)+1)</f>
        <v/>
      </c>
      <c r="AB1796" s="40" t="str">
        <f aca="false">IF($F1796="","",$F1796&amp;"#"&amp;COUNTIF($F$4:$F1796,$F1796))</f>
        <v/>
      </c>
      <c r="AC1796" s="40" t="str">
        <f aca="false">IF($B1796="","",IF(AND(OR(CETAK!$J$10="",$F1796=CETAK!$J$10),OR(CETAK!$J$11="",$G1796=CETAK!$J$11),OR(CETAK!$J$12="",$P1796=CETAK!$J$12),OR(CETAK!$J$13="",$N1796=CETAK!$J$13),OR(CETAK!$J$14="",$T1796=CETAK!$J$14)),MAX($AC$3:AC1795)+1,""))</f>
        <v/>
      </c>
      <c r="AD1796" s="40" t="str">
        <f aca="false">IF($B1796="","",IF(AND(OR(ABSENSI!$H$10="",$F1796=ABSENSI!$H$10),OR(ABSENSI!$H$11="",$G1796=ABSENSI!$H$11),OR(ABSENSI!$H$12="",$P1796=ABSENSI!$H$12)),MAX($AD$3:AD1795)+1,""))</f>
        <v/>
      </c>
      <c r="AE1796" s="40" t="str">
        <f aca="false">IF($B1796="","",IF(AND(OR(KARTU!$K$6="",$F1796=KARTU!$K$6),OR(KARTU!$K$7="",$G1796=KARTU!$K$7),OR(KARTU!$K$8="",$P1796=KARTU!$K$8)),MAX($AE$3:AE1795)+1,""))</f>
        <v/>
      </c>
    </row>
    <row r="1797" customFormat="false" ht="15" hidden="false" customHeight="false" outlineLevel="0" collapsed="false">
      <c r="A1797" s="35" t="str">
        <f aca="false">IF($B1797="","",COUNTA($B$4:$B1797))</f>
        <v/>
      </c>
      <c r="B1797" s="36"/>
      <c r="C1797" s="37"/>
      <c r="D1797" s="37"/>
      <c r="E1797" s="38"/>
      <c r="F1797" s="36"/>
      <c r="G1797" s="39"/>
      <c r="H1797" s="39"/>
      <c r="I1797" s="36"/>
      <c r="J1797" s="36"/>
      <c r="K1797" s="36"/>
      <c r="L1797" s="36"/>
      <c r="M1797" s="40" t="str">
        <f aca="false">IF($F1797="","",$F1797&amp;IF($G1797="",""," - RT "&amp;$G1797&amp;IF($H1797="","","/"&amp;$H1797)))</f>
        <v/>
      </c>
      <c r="N1797" s="36"/>
      <c r="O1797" s="37"/>
      <c r="P1797" s="39"/>
      <c r="Q1797" s="41"/>
      <c r="R1797" s="35" t="str">
        <f aca="true">IF(OR($B1797="",$Q1797=""),"",DATEDIF($Q1797,TODAY(),"Y"))</f>
        <v/>
      </c>
      <c r="S1797" s="40" t="str">
        <f aca="false">IF($R1797="","",INDEX(usia_label,MATCH($R1797,usia_min,1)))</f>
        <v/>
      </c>
      <c r="T1797" s="36"/>
      <c r="U1797" s="41"/>
      <c r="V1797" s="36"/>
      <c r="W1797" s="36"/>
      <c r="X1797" s="40" t="str">
        <f aca="false">IF($M1797="","",$M1797&amp;"#"&amp;COUNTIF($M$4:$M1797,$M1797))</f>
        <v/>
      </c>
      <c r="Y1797" s="40" t="str">
        <f aca="false">IF($B1797="","",IF($C1797="","NIK kosong",IF(LEN($C1797)&lt;&gt;16,"NIK bukan 16 digit",IF(COUNTIF($C$4:$C$2003,$C1797&amp;"*")&gt;1,"NIK ganda",IF(AND($D1797&lt;&gt;"",LEN($D1797)&lt;&gt;16),"No. KK bukan 16 digit",IF(AND($F1797="",$I1797=""),"Alamat kosong",IF($N1797="","Jabatan kosong",IF($O1797="","No. HP kosong",IF(AND($R1797&lt;&gt;"",$R1797&lt;17),"Usia di bawah 17","")))))))))</f>
        <v/>
      </c>
      <c r="Z1797" s="40" t="str">
        <f aca="false">IF($B1797="","",IF(AND(OR(CARI!$C$5="",ISNUMBER(SEARCH(CARI!$C$5,$B1797&amp;" "&amp;$C1797&amp;" "&amp;$D1797&amp;" "&amp;$O1797&amp;" "&amp;$I1797&amp;" "&amp;$F1797&amp;" "&amp;$J1797&amp;" "&amp;$K1797&amp;" "&amp;$L1797&amp;" "&amp;$V1797))),OR(CARI!$C$6="",$F1797=CARI!$C$6),OR(CARI!$C$7="",$G1797=CARI!$C$7),OR(CARI!$C$8="",$T1797=CARI!$C$8)),MAX($Z$3:Z1796)+1,""))</f>
        <v/>
      </c>
      <c r="AA1797" s="40" t="str">
        <f aca="false">IF($Y1797="","",MAX($AA$3:AA1796)+1)</f>
        <v/>
      </c>
      <c r="AB1797" s="40" t="str">
        <f aca="false">IF($F1797="","",$F1797&amp;"#"&amp;COUNTIF($F$4:$F1797,$F1797))</f>
        <v/>
      </c>
      <c r="AC1797" s="40" t="str">
        <f aca="false">IF($B1797="","",IF(AND(OR(CETAK!$J$10="",$F1797=CETAK!$J$10),OR(CETAK!$J$11="",$G1797=CETAK!$J$11),OR(CETAK!$J$12="",$P1797=CETAK!$J$12),OR(CETAK!$J$13="",$N1797=CETAK!$J$13),OR(CETAK!$J$14="",$T1797=CETAK!$J$14)),MAX($AC$3:AC1796)+1,""))</f>
        <v/>
      </c>
      <c r="AD1797" s="40" t="str">
        <f aca="false">IF($B1797="","",IF(AND(OR(ABSENSI!$H$10="",$F1797=ABSENSI!$H$10),OR(ABSENSI!$H$11="",$G1797=ABSENSI!$H$11),OR(ABSENSI!$H$12="",$P1797=ABSENSI!$H$12)),MAX($AD$3:AD1796)+1,""))</f>
        <v/>
      </c>
      <c r="AE1797" s="40" t="str">
        <f aca="false">IF($B1797="","",IF(AND(OR(KARTU!$K$6="",$F1797=KARTU!$K$6),OR(KARTU!$K$7="",$G1797=KARTU!$K$7),OR(KARTU!$K$8="",$P1797=KARTU!$K$8)),MAX($AE$3:AE1796)+1,""))</f>
        <v/>
      </c>
    </row>
    <row r="1798" customFormat="false" ht="15" hidden="false" customHeight="false" outlineLevel="0" collapsed="false">
      <c r="A1798" s="35" t="str">
        <f aca="false">IF($B1798="","",COUNTA($B$4:$B1798))</f>
        <v/>
      </c>
      <c r="B1798" s="36"/>
      <c r="C1798" s="37"/>
      <c r="D1798" s="37"/>
      <c r="E1798" s="38"/>
      <c r="F1798" s="36"/>
      <c r="G1798" s="39"/>
      <c r="H1798" s="39"/>
      <c r="I1798" s="36"/>
      <c r="J1798" s="36"/>
      <c r="K1798" s="36"/>
      <c r="L1798" s="36"/>
      <c r="M1798" s="40" t="str">
        <f aca="false">IF($F1798="","",$F1798&amp;IF($G1798="",""," - RT "&amp;$G1798&amp;IF($H1798="","","/"&amp;$H1798)))</f>
        <v/>
      </c>
      <c r="N1798" s="36"/>
      <c r="O1798" s="37"/>
      <c r="P1798" s="39"/>
      <c r="Q1798" s="41"/>
      <c r="R1798" s="35" t="str">
        <f aca="true">IF(OR($B1798="",$Q1798=""),"",DATEDIF($Q1798,TODAY(),"Y"))</f>
        <v/>
      </c>
      <c r="S1798" s="40" t="str">
        <f aca="false">IF($R1798="","",INDEX(usia_label,MATCH($R1798,usia_min,1)))</f>
        <v/>
      </c>
      <c r="T1798" s="36"/>
      <c r="U1798" s="41"/>
      <c r="V1798" s="36"/>
      <c r="W1798" s="36"/>
      <c r="X1798" s="40" t="str">
        <f aca="false">IF($M1798="","",$M1798&amp;"#"&amp;COUNTIF($M$4:$M1798,$M1798))</f>
        <v/>
      </c>
      <c r="Y1798" s="40" t="str">
        <f aca="false">IF($B1798="","",IF($C1798="","NIK kosong",IF(LEN($C1798)&lt;&gt;16,"NIK bukan 16 digit",IF(COUNTIF($C$4:$C$2003,$C1798&amp;"*")&gt;1,"NIK ganda",IF(AND($D1798&lt;&gt;"",LEN($D1798)&lt;&gt;16),"No. KK bukan 16 digit",IF(AND($F1798="",$I1798=""),"Alamat kosong",IF($N1798="","Jabatan kosong",IF($O1798="","No. HP kosong",IF(AND($R1798&lt;&gt;"",$R1798&lt;17),"Usia di bawah 17","")))))))))</f>
        <v/>
      </c>
      <c r="Z1798" s="40" t="str">
        <f aca="false">IF($B1798="","",IF(AND(OR(CARI!$C$5="",ISNUMBER(SEARCH(CARI!$C$5,$B1798&amp;" "&amp;$C1798&amp;" "&amp;$D1798&amp;" "&amp;$O1798&amp;" "&amp;$I1798&amp;" "&amp;$F1798&amp;" "&amp;$J1798&amp;" "&amp;$K1798&amp;" "&amp;$L1798&amp;" "&amp;$V1798))),OR(CARI!$C$6="",$F1798=CARI!$C$6),OR(CARI!$C$7="",$G1798=CARI!$C$7),OR(CARI!$C$8="",$T1798=CARI!$C$8)),MAX($Z$3:Z1797)+1,""))</f>
        <v/>
      </c>
      <c r="AA1798" s="40" t="str">
        <f aca="false">IF($Y1798="","",MAX($AA$3:AA1797)+1)</f>
        <v/>
      </c>
      <c r="AB1798" s="40" t="str">
        <f aca="false">IF($F1798="","",$F1798&amp;"#"&amp;COUNTIF($F$4:$F1798,$F1798))</f>
        <v/>
      </c>
      <c r="AC1798" s="40" t="str">
        <f aca="false">IF($B1798="","",IF(AND(OR(CETAK!$J$10="",$F1798=CETAK!$J$10),OR(CETAK!$J$11="",$G1798=CETAK!$J$11),OR(CETAK!$J$12="",$P1798=CETAK!$J$12),OR(CETAK!$J$13="",$N1798=CETAK!$J$13),OR(CETAK!$J$14="",$T1798=CETAK!$J$14)),MAX($AC$3:AC1797)+1,""))</f>
        <v/>
      </c>
      <c r="AD1798" s="40" t="str">
        <f aca="false">IF($B1798="","",IF(AND(OR(ABSENSI!$H$10="",$F1798=ABSENSI!$H$10),OR(ABSENSI!$H$11="",$G1798=ABSENSI!$H$11),OR(ABSENSI!$H$12="",$P1798=ABSENSI!$H$12)),MAX($AD$3:AD1797)+1,""))</f>
        <v/>
      </c>
      <c r="AE1798" s="40" t="str">
        <f aca="false">IF($B1798="","",IF(AND(OR(KARTU!$K$6="",$F1798=KARTU!$K$6),OR(KARTU!$K$7="",$G1798=KARTU!$K$7),OR(KARTU!$K$8="",$P1798=KARTU!$K$8)),MAX($AE$3:AE1797)+1,""))</f>
        <v/>
      </c>
    </row>
    <row r="1799" customFormat="false" ht="15" hidden="false" customHeight="false" outlineLevel="0" collapsed="false">
      <c r="A1799" s="35" t="str">
        <f aca="false">IF($B1799="","",COUNTA($B$4:$B1799))</f>
        <v/>
      </c>
      <c r="B1799" s="36"/>
      <c r="C1799" s="37"/>
      <c r="D1799" s="37"/>
      <c r="E1799" s="38"/>
      <c r="F1799" s="36"/>
      <c r="G1799" s="39"/>
      <c r="H1799" s="39"/>
      <c r="I1799" s="36"/>
      <c r="J1799" s="36"/>
      <c r="K1799" s="36"/>
      <c r="L1799" s="36"/>
      <c r="M1799" s="40" t="str">
        <f aca="false">IF($F1799="","",$F1799&amp;IF($G1799="",""," - RT "&amp;$G1799&amp;IF($H1799="","","/"&amp;$H1799)))</f>
        <v/>
      </c>
      <c r="N1799" s="36"/>
      <c r="O1799" s="37"/>
      <c r="P1799" s="39"/>
      <c r="Q1799" s="41"/>
      <c r="R1799" s="35" t="str">
        <f aca="true">IF(OR($B1799="",$Q1799=""),"",DATEDIF($Q1799,TODAY(),"Y"))</f>
        <v/>
      </c>
      <c r="S1799" s="40" t="str">
        <f aca="false">IF($R1799="","",INDEX(usia_label,MATCH($R1799,usia_min,1)))</f>
        <v/>
      </c>
      <c r="T1799" s="36"/>
      <c r="U1799" s="41"/>
      <c r="V1799" s="36"/>
      <c r="W1799" s="36"/>
      <c r="X1799" s="40" t="str">
        <f aca="false">IF($M1799="","",$M1799&amp;"#"&amp;COUNTIF($M$4:$M1799,$M1799))</f>
        <v/>
      </c>
      <c r="Y1799" s="40" t="str">
        <f aca="false">IF($B1799="","",IF($C1799="","NIK kosong",IF(LEN($C1799)&lt;&gt;16,"NIK bukan 16 digit",IF(COUNTIF($C$4:$C$2003,$C1799&amp;"*")&gt;1,"NIK ganda",IF(AND($D1799&lt;&gt;"",LEN($D1799)&lt;&gt;16),"No. KK bukan 16 digit",IF(AND($F1799="",$I1799=""),"Alamat kosong",IF($N1799="","Jabatan kosong",IF($O1799="","No. HP kosong",IF(AND($R1799&lt;&gt;"",$R1799&lt;17),"Usia di bawah 17","")))))))))</f>
        <v/>
      </c>
      <c r="Z1799" s="40" t="str">
        <f aca="false">IF($B1799="","",IF(AND(OR(CARI!$C$5="",ISNUMBER(SEARCH(CARI!$C$5,$B1799&amp;" "&amp;$C1799&amp;" "&amp;$D1799&amp;" "&amp;$O1799&amp;" "&amp;$I1799&amp;" "&amp;$F1799&amp;" "&amp;$J1799&amp;" "&amp;$K1799&amp;" "&amp;$L1799&amp;" "&amp;$V1799))),OR(CARI!$C$6="",$F1799=CARI!$C$6),OR(CARI!$C$7="",$G1799=CARI!$C$7),OR(CARI!$C$8="",$T1799=CARI!$C$8)),MAX($Z$3:Z1798)+1,""))</f>
        <v/>
      </c>
      <c r="AA1799" s="40" t="str">
        <f aca="false">IF($Y1799="","",MAX($AA$3:AA1798)+1)</f>
        <v/>
      </c>
      <c r="AB1799" s="40" t="str">
        <f aca="false">IF($F1799="","",$F1799&amp;"#"&amp;COUNTIF($F$4:$F1799,$F1799))</f>
        <v/>
      </c>
      <c r="AC1799" s="40" t="str">
        <f aca="false">IF($B1799="","",IF(AND(OR(CETAK!$J$10="",$F1799=CETAK!$J$10),OR(CETAK!$J$11="",$G1799=CETAK!$J$11),OR(CETAK!$J$12="",$P1799=CETAK!$J$12),OR(CETAK!$J$13="",$N1799=CETAK!$J$13),OR(CETAK!$J$14="",$T1799=CETAK!$J$14)),MAX($AC$3:AC1798)+1,""))</f>
        <v/>
      </c>
      <c r="AD1799" s="40" t="str">
        <f aca="false">IF($B1799="","",IF(AND(OR(ABSENSI!$H$10="",$F1799=ABSENSI!$H$10),OR(ABSENSI!$H$11="",$G1799=ABSENSI!$H$11),OR(ABSENSI!$H$12="",$P1799=ABSENSI!$H$12)),MAX($AD$3:AD1798)+1,""))</f>
        <v/>
      </c>
      <c r="AE1799" s="40" t="str">
        <f aca="false">IF($B1799="","",IF(AND(OR(KARTU!$K$6="",$F1799=KARTU!$K$6),OR(KARTU!$K$7="",$G1799=KARTU!$K$7),OR(KARTU!$K$8="",$P1799=KARTU!$K$8)),MAX($AE$3:AE1798)+1,""))</f>
        <v/>
      </c>
    </row>
    <row r="1800" customFormat="false" ht="15" hidden="false" customHeight="false" outlineLevel="0" collapsed="false">
      <c r="A1800" s="35" t="str">
        <f aca="false">IF($B1800="","",COUNTA($B$4:$B1800))</f>
        <v/>
      </c>
      <c r="B1800" s="36"/>
      <c r="C1800" s="37"/>
      <c r="D1800" s="37"/>
      <c r="E1800" s="38"/>
      <c r="F1800" s="36"/>
      <c r="G1800" s="39"/>
      <c r="H1800" s="39"/>
      <c r="I1800" s="36"/>
      <c r="J1800" s="36"/>
      <c r="K1800" s="36"/>
      <c r="L1800" s="36"/>
      <c r="M1800" s="40" t="str">
        <f aca="false">IF($F1800="","",$F1800&amp;IF($G1800="",""," - RT "&amp;$G1800&amp;IF($H1800="","","/"&amp;$H1800)))</f>
        <v/>
      </c>
      <c r="N1800" s="36"/>
      <c r="O1800" s="37"/>
      <c r="P1800" s="39"/>
      <c r="Q1800" s="41"/>
      <c r="R1800" s="35" t="str">
        <f aca="true">IF(OR($B1800="",$Q1800=""),"",DATEDIF($Q1800,TODAY(),"Y"))</f>
        <v/>
      </c>
      <c r="S1800" s="40" t="str">
        <f aca="false">IF($R1800="","",INDEX(usia_label,MATCH($R1800,usia_min,1)))</f>
        <v/>
      </c>
      <c r="T1800" s="36"/>
      <c r="U1800" s="41"/>
      <c r="V1800" s="36"/>
      <c r="W1800" s="36"/>
      <c r="X1800" s="40" t="str">
        <f aca="false">IF($M1800="","",$M1800&amp;"#"&amp;COUNTIF($M$4:$M1800,$M1800))</f>
        <v/>
      </c>
      <c r="Y1800" s="40" t="str">
        <f aca="false">IF($B1800="","",IF($C1800="","NIK kosong",IF(LEN($C1800)&lt;&gt;16,"NIK bukan 16 digit",IF(COUNTIF($C$4:$C$2003,$C1800&amp;"*")&gt;1,"NIK ganda",IF(AND($D1800&lt;&gt;"",LEN($D1800)&lt;&gt;16),"No. KK bukan 16 digit",IF(AND($F1800="",$I1800=""),"Alamat kosong",IF($N1800="","Jabatan kosong",IF($O1800="","No. HP kosong",IF(AND($R1800&lt;&gt;"",$R1800&lt;17),"Usia di bawah 17","")))))))))</f>
        <v/>
      </c>
      <c r="Z1800" s="40" t="str">
        <f aca="false">IF($B1800="","",IF(AND(OR(CARI!$C$5="",ISNUMBER(SEARCH(CARI!$C$5,$B1800&amp;" "&amp;$C1800&amp;" "&amp;$D1800&amp;" "&amp;$O1800&amp;" "&amp;$I1800&amp;" "&amp;$F1800&amp;" "&amp;$J1800&amp;" "&amp;$K1800&amp;" "&amp;$L1800&amp;" "&amp;$V1800))),OR(CARI!$C$6="",$F1800=CARI!$C$6),OR(CARI!$C$7="",$G1800=CARI!$C$7),OR(CARI!$C$8="",$T1800=CARI!$C$8)),MAX($Z$3:Z1799)+1,""))</f>
        <v/>
      </c>
      <c r="AA1800" s="40" t="str">
        <f aca="false">IF($Y1800="","",MAX($AA$3:AA1799)+1)</f>
        <v/>
      </c>
      <c r="AB1800" s="40" t="str">
        <f aca="false">IF($F1800="","",$F1800&amp;"#"&amp;COUNTIF($F$4:$F1800,$F1800))</f>
        <v/>
      </c>
      <c r="AC1800" s="40" t="str">
        <f aca="false">IF($B1800="","",IF(AND(OR(CETAK!$J$10="",$F1800=CETAK!$J$10),OR(CETAK!$J$11="",$G1800=CETAK!$J$11),OR(CETAK!$J$12="",$P1800=CETAK!$J$12),OR(CETAK!$J$13="",$N1800=CETAK!$J$13),OR(CETAK!$J$14="",$T1800=CETAK!$J$14)),MAX($AC$3:AC1799)+1,""))</f>
        <v/>
      </c>
      <c r="AD1800" s="40" t="str">
        <f aca="false">IF($B1800="","",IF(AND(OR(ABSENSI!$H$10="",$F1800=ABSENSI!$H$10),OR(ABSENSI!$H$11="",$G1800=ABSENSI!$H$11),OR(ABSENSI!$H$12="",$P1800=ABSENSI!$H$12)),MAX($AD$3:AD1799)+1,""))</f>
        <v/>
      </c>
      <c r="AE1800" s="40" t="str">
        <f aca="false">IF($B1800="","",IF(AND(OR(KARTU!$K$6="",$F1800=KARTU!$K$6),OR(KARTU!$K$7="",$G1800=KARTU!$K$7),OR(KARTU!$K$8="",$P1800=KARTU!$K$8)),MAX($AE$3:AE1799)+1,""))</f>
        <v/>
      </c>
    </row>
    <row r="1801" customFormat="false" ht="15" hidden="false" customHeight="false" outlineLevel="0" collapsed="false">
      <c r="A1801" s="35" t="str">
        <f aca="false">IF($B1801="","",COUNTA($B$4:$B1801))</f>
        <v/>
      </c>
      <c r="B1801" s="36"/>
      <c r="C1801" s="37"/>
      <c r="D1801" s="37"/>
      <c r="E1801" s="38"/>
      <c r="F1801" s="36"/>
      <c r="G1801" s="39"/>
      <c r="H1801" s="39"/>
      <c r="I1801" s="36"/>
      <c r="J1801" s="36"/>
      <c r="K1801" s="36"/>
      <c r="L1801" s="36"/>
      <c r="M1801" s="40" t="str">
        <f aca="false">IF($F1801="","",$F1801&amp;IF($G1801="",""," - RT "&amp;$G1801&amp;IF($H1801="","","/"&amp;$H1801)))</f>
        <v/>
      </c>
      <c r="N1801" s="36"/>
      <c r="O1801" s="37"/>
      <c r="P1801" s="39"/>
      <c r="Q1801" s="41"/>
      <c r="R1801" s="35" t="str">
        <f aca="true">IF(OR($B1801="",$Q1801=""),"",DATEDIF($Q1801,TODAY(),"Y"))</f>
        <v/>
      </c>
      <c r="S1801" s="40" t="str">
        <f aca="false">IF($R1801="","",INDEX(usia_label,MATCH($R1801,usia_min,1)))</f>
        <v/>
      </c>
      <c r="T1801" s="36"/>
      <c r="U1801" s="41"/>
      <c r="V1801" s="36"/>
      <c r="W1801" s="36"/>
      <c r="X1801" s="40" t="str">
        <f aca="false">IF($M1801="","",$M1801&amp;"#"&amp;COUNTIF($M$4:$M1801,$M1801))</f>
        <v/>
      </c>
      <c r="Y1801" s="40" t="str">
        <f aca="false">IF($B1801="","",IF($C1801="","NIK kosong",IF(LEN($C1801)&lt;&gt;16,"NIK bukan 16 digit",IF(COUNTIF($C$4:$C$2003,$C1801&amp;"*")&gt;1,"NIK ganda",IF(AND($D1801&lt;&gt;"",LEN($D1801)&lt;&gt;16),"No. KK bukan 16 digit",IF(AND($F1801="",$I1801=""),"Alamat kosong",IF($N1801="","Jabatan kosong",IF($O1801="","No. HP kosong",IF(AND($R1801&lt;&gt;"",$R1801&lt;17),"Usia di bawah 17","")))))))))</f>
        <v/>
      </c>
      <c r="Z1801" s="40" t="str">
        <f aca="false">IF($B1801="","",IF(AND(OR(CARI!$C$5="",ISNUMBER(SEARCH(CARI!$C$5,$B1801&amp;" "&amp;$C1801&amp;" "&amp;$D1801&amp;" "&amp;$O1801&amp;" "&amp;$I1801&amp;" "&amp;$F1801&amp;" "&amp;$J1801&amp;" "&amp;$K1801&amp;" "&amp;$L1801&amp;" "&amp;$V1801))),OR(CARI!$C$6="",$F1801=CARI!$C$6),OR(CARI!$C$7="",$G1801=CARI!$C$7),OR(CARI!$C$8="",$T1801=CARI!$C$8)),MAX($Z$3:Z1800)+1,""))</f>
        <v/>
      </c>
      <c r="AA1801" s="40" t="str">
        <f aca="false">IF($Y1801="","",MAX($AA$3:AA1800)+1)</f>
        <v/>
      </c>
      <c r="AB1801" s="40" t="str">
        <f aca="false">IF($F1801="","",$F1801&amp;"#"&amp;COUNTIF($F$4:$F1801,$F1801))</f>
        <v/>
      </c>
      <c r="AC1801" s="40" t="str">
        <f aca="false">IF($B1801="","",IF(AND(OR(CETAK!$J$10="",$F1801=CETAK!$J$10),OR(CETAK!$J$11="",$G1801=CETAK!$J$11),OR(CETAK!$J$12="",$P1801=CETAK!$J$12),OR(CETAK!$J$13="",$N1801=CETAK!$J$13),OR(CETAK!$J$14="",$T1801=CETAK!$J$14)),MAX($AC$3:AC1800)+1,""))</f>
        <v/>
      </c>
      <c r="AD1801" s="40" t="str">
        <f aca="false">IF($B1801="","",IF(AND(OR(ABSENSI!$H$10="",$F1801=ABSENSI!$H$10),OR(ABSENSI!$H$11="",$G1801=ABSENSI!$H$11),OR(ABSENSI!$H$12="",$P1801=ABSENSI!$H$12)),MAX($AD$3:AD1800)+1,""))</f>
        <v/>
      </c>
      <c r="AE1801" s="40" t="str">
        <f aca="false">IF($B1801="","",IF(AND(OR(KARTU!$K$6="",$F1801=KARTU!$K$6),OR(KARTU!$K$7="",$G1801=KARTU!$K$7),OR(KARTU!$K$8="",$P1801=KARTU!$K$8)),MAX($AE$3:AE1800)+1,""))</f>
        <v/>
      </c>
    </row>
    <row r="1802" customFormat="false" ht="15" hidden="false" customHeight="false" outlineLevel="0" collapsed="false">
      <c r="A1802" s="35" t="str">
        <f aca="false">IF($B1802="","",COUNTA($B$4:$B1802))</f>
        <v/>
      </c>
      <c r="B1802" s="36"/>
      <c r="C1802" s="37"/>
      <c r="D1802" s="37"/>
      <c r="E1802" s="38"/>
      <c r="F1802" s="36"/>
      <c r="G1802" s="39"/>
      <c r="H1802" s="39"/>
      <c r="I1802" s="36"/>
      <c r="J1802" s="36"/>
      <c r="K1802" s="36"/>
      <c r="L1802" s="36"/>
      <c r="M1802" s="40" t="str">
        <f aca="false">IF($F1802="","",$F1802&amp;IF($G1802="",""," - RT "&amp;$G1802&amp;IF($H1802="","","/"&amp;$H1802)))</f>
        <v/>
      </c>
      <c r="N1802" s="36"/>
      <c r="O1802" s="37"/>
      <c r="P1802" s="39"/>
      <c r="Q1802" s="41"/>
      <c r="R1802" s="35" t="str">
        <f aca="true">IF(OR($B1802="",$Q1802=""),"",DATEDIF($Q1802,TODAY(),"Y"))</f>
        <v/>
      </c>
      <c r="S1802" s="40" t="str">
        <f aca="false">IF($R1802="","",INDEX(usia_label,MATCH($R1802,usia_min,1)))</f>
        <v/>
      </c>
      <c r="T1802" s="36"/>
      <c r="U1802" s="41"/>
      <c r="V1802" s="36"/>
      <c r="W1802" s="36"/>
      <c r="X1802" s="40" t="str">
        <f aca="false">IF($M1802="","",$M1802&amp;"#"&amp;COUNTIF($M$4:$M1802,$M1802))</f>
        <v/>
      </c>
      <c r="Y1802" s="40" t="str">
        <f aca="false">IF($B1802="","",IF($C1802="","NIK kosong",IF(LEN($C1802)&lt;&gt;16,"NIK bukan 16 digit",IF(COUNTIF($C$4:$C$2003,$C1802&amp;"*")&gt;1,"NIK ganda",IF(AND($D1802&lt;&gt;"",LEN($D1802)&lt;&gt;16),"No. KK bukan 16 digit",IF(AND($F1802="",$I1802=""),"Alamat kosong",IF($N1802="","Jabatan kosong",IF($O1802="","No. HP kosong",IF(AND($R1802&lt;&gt;"",$R1802&lt;17),"Usia di bawah 17","")))))))))</f>
        <v/>
      </c>
      <c r="Z1802" s="40" t="str">
        <f aca="false">IF($B1802="","",IF(AND(OR(CARI!$C$5="",ISNUMBER(SEARCH(CARI!$C$5,$B1802&amp;" "&amp;$C1802&amp;" "&amp;$D1802&amp;" "&amp;$O1802&amp;" "&amp;$I1802&amp;" "&amp;$F1802&amp;" "&amp;$J1802&amp;" "&amp;$K1802&amp;" "&amp;$L1802&amp;" "&amp;$V1802))),OR(CARI!$C$6="",$F1802=CARI!$C$6),OR(CARI!$C$7="",$G1802=CARI!$C$7),OR(CARI!$C$8="",$T1802=CARI!$C$8)),MAX($Z$3:Z1801)+1,""))</f>
        <v/>
      </c>
      <c r="AA1802" s="40" t="str">
        <f aca="false">IF($Y1802="","",MAX($AA$3:AA1801)+1)</f>
        <v/>
      </c>
      <c r="AB1802" s="40" t="str">
        <f aca="false">IF($F1802="","",$F1802&amp;"#"&amp;COUNTIF($F$4:$F1802,$F1802))</f>
        <v/>
      </c>
      <c r="AC1802" s="40" t="str">
        <f aca="false">IF($B1802="","",IF(AND(OR(CETAK!$J$10="",$F1802=CETAK!$J$10),OR(CETAK!$J$11="",$G1802=CETAK!$J$11),OR(CETAK!$J$12="",$P1802=CETAK!$J$12),OR(CETAK!$J$13="",$N1802=CETAK!$J$13),OR(CETAK!$J$14="",$T1802=CETAK!$J$14)),MAX($AC$3:AC1801)+1,""))</f>
        <v/>
      </c>
      <c r="AD1802" s="40" t="str">
        <f aca="false">IF($B1802="","",IF(AND(OR(ABSENSI!$H$10="",$F1802=ABSENSI!$H$10),OR(ABSENSI!$H$11="",$G1802=ABSENSI!$H$11),OR(ABSENSI!$H$12="",$P1802=ABSENSI!$H$12)),MAX($AD$3:AD1801)+1,""))</f>
        <v/>
      </c>
      <c r="AE1802" s="40" t="str">
        <f aca="false">IF($B1802="","",IF(AND(OR(KARTU!$K$6="",$F1802=KARTU!$K$6),OR(KARTU!$K$7="",$G1802=KARTU!$K$7),OR(KARTU!$K$8="",$P1802=KARTU!$K$8)),MAX($AE$3:AE1801)+1,""))</f>
        <v/>
      </c>
    </row>
    <row r="1803" customFormat="false" ht="15" hidden="false" customHeight="false" outlineLevel="0" collapsed="false">
      <c r="A1803" s="35" t="str">
        <f aca="false">IF($B1803="","",COUNTA($B$4:$B1803))</f>
        <v/>
      </c>
      <c r="B1803" s="36"/>
      <c r="C1803" s="37"/>
      <c r="D1803" s="37"/>
      <c r="E1803" s="38"/>
      <c r="F1803" s="36"/>
      <c r="G1803" s="39"/>
      <c r="H1803" s="39"/>
      <c r="I1803" s="36"/>
      <c r="J1803" s="36"/>
      <c r="K1803" s="36"/>
      <c r="L1803" s="36"/>
      <c r="M1803" s="40" t="str">
        <f aca="false">IF($F1803="","",$F1803&amp;IF($G1803="",""," - RT "&amp;$G1803&amp;IF($H1803="","","/"&amp;$H1803)))</f>
        <v/>
      </c>
      <c r="N1803" s="36"/>
      <c r="O1803" s="37"/>
      <c r="P1803" s="39"/>
      <c r="Q1803" s="41"/>
      <c r="R1803" s="35" t="str">
        <f aca="true">IF(OR($B1803="",$Q1803=""),"",DATEDIF($Q1803,TODAY(),"Y"))</f>
        <v/>
      </c>
      <c r="S1803" s="40" t="str">
        <f aca="false">IF($R1803="","",INDEX(usia_label,MATCH($R1803,usia_min,1)))</f>
        <v/>
      </c>
      <c r="T1803" s="36"/>
      <c r="U1803" s="41"/>
      <c r="V1803" s="36"/>
      <c r="W1803" s="36"/>
      <c r="X1803" s="40" t="str">
        <f aca="false">IF($M1803="","",$M1803&amp;"#"&amp;COUNTIF($M$4:$M1803,$M1803))</f>
        <v/>
      </c>
      <c r="Y1803" s="40" t="str">
        <f aca="false">IF($B1803="","",IF($C1803="","NIK kosong",IF(LEN($C1803)&lt;&gt;16,"NIK bukan 16 digit",IF(COUNTIF($C$4:$C$2003,$C1803&amp;"*")&gt;1,"NIK ganda",IF(AND($D1803&lt;&gt;"",LEN($D1803)&lt;&gt;16),"No. KK bukan 16 digit",IF(AND($F1803="",$I1803=""),"Alamat kosong",IF($N1803="","Jabatan kosong",IF($O1803="","No. HP kosong",IF(AND($R1803&lt;&gt;"",$R1803&lt;17),"Usia di bawah 17","")))))))))</f>
        <v/>
      </c>
      <c r="Z1803" s="40" t="str">
        <f aca="false">IF($B1803="","",IF(AND(OR(CARI!$C$5="",ISNUMBER(SEARCH(CARI!$C$5,$B1803&amp;" "&amp;$C1803&amp;" "&amp;$D1803&amp;" "&amp;$O1803&amp;" "&amp;$I1803&amp;" "&amp;$F1803&amp;" "&amp;$J1803&amp;" "&amp;$K1803&amp;" "&amp;$L1803&amp;" "&amp;$V1803))),OR(CARI!$C$6="",$F1803=CARI!$C$6),OR(CARI!$C$7="",$G1803=CARI!$C$7),OR(CARI!$C$8="",$T1803=CARI!$C$8)),MAX($Z$3:Z1802)+1,""))</f>
        <v/>
      </c>
      <c r="AA1803" s="40" t="str">
        <f aca="false">IF($Y1803="","",MAX($AA$3:AA1802)+1)</f>
        <v/>
      </c>
      <c r="AB1803" s="40" t="str">
        <f aca="false">IF($F1803="","",$F1803&amp;"#"&amp;COUNTIF($F$4:$F1803,$F1803))</f>
        <v/>
      </c>
      <c r="AC1803" s="40" t="str">
        <f aca="false">IF($B1803="","",IF(AND(OR(CETAK!$J$10="",$F1803=CETAK!$J$10),OR(CETAK!$J$11="",$G1803=CETAK!$J$11),OR(CETAK!$J$12="",$P1803=CETAK!$J$12),OR(CETAK!$J$13="",$N1803=CETAK!$J$13),OR(CETAK!$J$14="",$T1803=CETAK!$J$14)),MAX($AC$3:AC1802)+1,""))</f>
        <v/>
      </c>
      <c r="AD1803" s="40" t="str">
        <f aca="false">IF($B1803="","",IF(AND(OR(ABSENSI!$H$10="",$F1803=ABSENSI!$H$10),OR(ABSENSI!$H$11="",$G1803=ABSENSI!$H$11),OR(ABSENSI!$H$12="",$P1803=ABSENSI!$H$12)),MAX($AD$3:AD1802)+1,""))</f>
        <v/>
      </c>
      <c r="AE1803" s="40" t="str">
        <f aca="false">IF($B1803="","",IF(AND(OR(KARTU!$K$6="",$F1803=KARTU!$K$6),OR(KARTU!$K$7="",$G1803=KARTU!$K$7),OR(KARTU!$K$8="",$P1803=KARTU!$K$8)),MAX($AE$3:AE1802)+1,""))</f>
        <v/>
      </c>
    </row>
    <row r="1804" customFormat="false" ht="15" hidden="false" customHeight="false" outlineLevel="0" collapsed="false">
      <c r="A1804" s="35" t="str">
        <f aca="false">IF($B1804="","",COUNTA($B$4:$B1804))</f>
        <v/>
      </c>
      <c r="B1804" s="36"/>
      <c r="C1804" s="37"/>
      <c r="D1804" s="37"/>
      <c r="E1804" s="38"/>
      <c r="F1804" s="36"/>
      <c r="G1804" s="39"/>
      <c r="H1804" s="39"/>
      <c r="I1804" s="36"/>
      <c r="J1804" s="36"/>
      <c r="K1804" s="36"/>
      <c r="L1804" s="36"/>
      <c r="M1804" s="40" t="str">
        <f aca="false">IF($F1804="","",$F1804&amp;IF($G1804="",""," - RT "&amp;$G1804&amp;IF($H1804="","","/"&amp;$H1804)))</f>
        <v/>
      </c>
      <c r="N1804" s="36"/>
      <c r="O1804" s="37"/>
      <c r="P1804" s="39"/>
      <c r="Q1804" s="41"/>
      <c r="R1804" s="35" t="str">
        <f aca="true">IF(OR($B1804="",$Q1804=""),"",DATEDIF($Q1804,TODAY(),"Y"))</f>
        <v/>
      </c>
      <c r="S1804" s="40" t="str">
        <f aca="false">IF($R1804="","",INDEX(usia_label,MATCH($R1804,usia_min,1)))</f>
        <v/>
      </c>
      <c r="T1804" s="36"/>
      <c r="U1804" s="41"/>
      <c r="V1804" s="36"/>
      <c r="W1804" s="36"/>
      <c r="X1804" s="40" t="str">
        <f aca="false">IF($M1804="","",$M1804&amp;"#"&amp;COUNTIF($M$4:$M1804,$M1804))</f>
        <v/>
      </c>
      <c r="Y1804" s="40" t="str">
        <f aca="false">IF($B1804="","",IF($C1804="","NIK kosong",IF(LEN($C1804)&lt;&gt;16,"NIK bukan 16 digit",IF(COUNTIF($C$4:$C$2003,$C1804&amp;"*")&gt;1,"NIK ganda",IF(AND($D1804&lt;&gt;"",LEN($D1804)&lt;&gt;16),"No. KK bukan 16 digit",IF(AND($F1804="",$I1804=""),"Alamat kosong",IF($N1804="","Jabatan kosong",IF($O1804="","No. HP kosong",IF(AND($R1804&lt;&gt;"",$R1804&lt;17),"Usia di bawah 17","")))))))))</f>
        <v/>
      </c>
      <c r="Z1804" s="40" t="str">
        <f aca="false">IF($B1804="","",IF(AND(OR(CARI!$C$5="",ISNUMBER(SEARCH(CARI!$C$5,$B1804&amp;" "&amp;$C1804&amp;" "&amp;$D1804&amp;" "&amp;$O1804&amp;" "&amp;$I1804&amp;" "&amp;$F1804&amp;" "&amp;$J1804&amp;" "&amp;$K1804&amp;" "&amp;$L1804&amp;" "&amp;$V1804))),OR(CARI!$C$6="",$F1804=CARI!$C$6),OR(CARI!$C$7="",$G1804=CARI!$C$7),OR(CARI!$C$8="",$T1804=CARI!$C$8)),MAX($Z$3:Z1803)+1,""))</f>
        <v/>
      </c>
      <c r="AA1804" s="40" t="str">
        <f aca="false">IF($Y1804="","",MAX($AA$3:AA1803)+1)</f>
        <v/>
      </c>
      <c r="AB1804" s="40" t="str">
        <f aca="false">IF($F1804="","",$F1804&amp;"#"&amp;COUNTIF($F$4:$F1804,$F1804))</f>
        <v/>
      </c>
      <c r="AC1804" s="40" t="str">
        <f aca="false">IF($B1804="","",IF(AND(OR(CETAK!$J$10="",$F1804=CETAK!$J$10),OR(CETAK!$J$11="",$G1804=CETAK!$J$11),OR(CETAK!$J$12="",$P1804=CETAK!$J$12),OR(CETAK!$J$13="",$N1804=CETAK!$J$13),OR(CETAK!$J$14="",$T1804=CETAK!$J$14)),MAX($AC$3:AC1803)+1,""))</f>
        <v/>
      </c>
      <c r="AD1804" s="40" t="str">
        <f aca="false">IF($B1804="","",IF(AND(OR(ABSENSI!$H$10="",$F1804=ABSENSI!$H$10),OR(ABSENSI!$H$11="",$G1804=ABSENSI!$H$11),OR(ABSENSI!$H$12="",$P1804=ABSENSI!$H$12)),MAX($AD$3:AD1803)+1,""))</f>
        <v/>
      </c>
      <c r="AE1804" s="40" t="str">
        <f aca="false">IF($B1804="","",IF(AND(OR(KARTU!$K$6="",$F1804=KARTU!$K$6),OR(KARTU!$K$7="",$G1804=KARTU!$K$7),OR(KARTU!$K$8="",$P1804=KARTU!$K$8)),MAX($AE$3:AE1803)+1,""))</f>
        <v/>
      </c>
    </row>
    <row r="1805" customFormat="false" ht="15" hidden="false" customHeight="false" outlineLevel="0" collapsed="false">
      <c r="A1805" s="35" t="str">
        <f aca="false">IF($B1805="","",COUNTA($B$4:$B1805))</f>
        <v/>
      </c>
      <c r="B1805" s="36"/>
      <c r="C1805" s="37"/>
      <c r="D1805" s="37"/>
      <c r="E1805" s="38"/>
      <c r="F1805" s="36"/>
      <c r="G1805" s="39"/>
      <c r="H1805" s="39"/>
      <c r="I1805" s="36"/>
      <c r="J1805" s="36"/>
      <c r="K1805" s="36"/>
      <c r="L1805" s="36"/>
      <c r="M1805" s="40" t="str">
        <f aca="false">IF($F1805="","",$F1805&amp;IF($G1805="",""," - RT "&amp;$G1805&amp;IF($H1805="","","/"&amp;$H1805)))</f>
        <v/>
      </c>
      <c r="N1805" s="36"/>
      <c r="O1805" s="37"/>
      <c r="P1805" s="39"/>
      <c r="Q1805" s="41"/>
      <c r="R1805" s="35" t="str">
        <f aca="true">IF(OR($B1805="",$Q1805=""),"",DATEDIF($Q1805,TODAY(),"Y"))</f>
        <v/>
      </c>
      <c r="S1805" s="40" t="str">
        <f aca="false">IF($R1805="","",INDEX(usia_label,MATCH($R1805,usia_min,1)))</f>
        <v/>
      </c>
      <c r="T1805" s="36"/>
      <c r="U1805" s="41"/>
      <c r="V1805" s="36"/>
      <c r="W1805" s="36"/>
      <c r="X1805" s="40" t="str">
        <f aca="false">IF($M1805="","",$M1805&amp;"#"&amp;COUNTIF($M$4:$M1805,$M1805))</f>
        <v/>
      </c>
      <c r="Y1805" s="40" t="str">
        <f aca="false">IF($B1805="","",IF($C1805="","NIK kosong",IF(LEN($C1805)&lt;&gt;16,"NIK bukan 16 digit",IF(COUNTIF($C$4:$C$2003,$C1805&amp;"*")&gt;1,"NIK ganda",IF(AND($D1805&lt;&gt;"",LEN($D1805)&lt;&gt;16),"No. KK bukan 16 digit",IF(AND($F1805="",$I1805=""),"Alamat kosong",IF($N1805="","Jabatan kosong",IF($O1805="","No. HP kosong",IF(AND($R1805&lt;&gt;"",$R1805&lt;17),"Usia di bawah 17","")))))))))</f>
        <v/>
      </c>
      <c r="Z1805" s="40" t="str">
        <f aca="false">IF($B1805="","",IF(AND(OR(CARI!$C$5="",ISNUMBER(SEARCH(CARI!$C$5,$B1805&amp;" "&amp;$C1805&amp;" "&amp;$D1805&amp;" "&amp;$O1805&amp;" "&amp;$I1805&amp;" "&amp;$F1805&amp;" "&amp;$J1805&amp;" "&amp;$K1805&amp;" "&amp;$L1805&amp;" "&amp;$V1805))),OR(CARI!$C$6="",$F1805=CARI!$C$6),OR(CARI!$C$7="",$G1805=CARI!$C$7),OR(CARI!$C$8="",$T1805=CARI!$C$8)),MAX($Z$3:Z1804)+1,""))</f>
        <v/>
      </c>
      <c r="AA1805" s="40" t="str">
        <f aca="false">IF($Y1805="","",MAX($AA$3:AA1804)+1)</f>
        <v/>
      </c>
      <c r="AB1805" s="40" t="str">
        <f aca="false">IF($F1805="","",$F1805&amp;"#"&amp;COUNTIF($F$4:$F1805,$F1805))</f>
        <v/>
      </c>
      <c r="AC1805" s="40" t="str">
        <f aca="false">IF($B1805="","",IF(AND(OR(CETAK!$J$10="",$F1805=CETAK!$J$10),OR(CETAK!$J$11="",$G1805=CETAK!$J$11),OR(CETAK!$J$12="",$P1805=CETAK!$J$12),OR(CETAK!$J$13="",$N1805=CETAK!$J$13),OR(CETAK!$J$14="",$T1805=CETAK!$J$14)),MAX($AC$3:AC1804)+1,""))</f>
        <v/>
      </c>
      <c r="AD1805" s="40" t="str">
        <f aca="false">IF($B1805="","",IF(AND(OR(ABSENSI!$H$10="",$F1805=ABSENSI!$H$10),OR(ABSENSI!$H$11="",$G1805=ABSENSI!$H$11),OR(ABSENSI!$H$12="",$P1805=ABSENSI!$H$12)),MAX($AD$3:AD1804)+1,""))</f>
        <v/>
      </c>
      <c r="AE1805" s="40" t="str">
        <f aca="false">IF($B1805="","",IF(AND(OR(KARTU!$K$6="",$F1805=KARTU!$K$6),OR(KARTU!$K$7="",$G1805=KARTU!$K$7),OR(KARTU!$K$8="",$P1805=KARTU!$K$8)),MAX($AE$3:AE1804)+1,""))</f>
        <v/>
      </c>
    </row>
    <row r="1806" customFormat="false" ht="15" hidden="false" customHeight="false" outlineLevel="0" collapsed="false">
      <c r="A1806" s="35" t="str">
        <f aca="false">IF($B1806="","",COUNTA($B$4:$B1806))</f>
        <v/>
      </c>
      <c r="B1806" s="36"/>
      <c r="C1806" s="37"/>
      <c r="D1806" s="37"/>
      <c r="E1806" s="38"/>
      <c r="F1806" s="36"/>
      <c r="G1806" s="39"/>
      <c r="H1806" s="39"/>
      <c r="I1806" s="36"/>
      <c r="J1806" s="36"/>
      <c r="K1806" s="36"/>
      <c r="L1806" s="36"/>
      <c r="M1806" s="40" t="str">
        <f aca="false">IF($F1806="","",$F1806&amp;IF($G1806="",""," - RT "&amp;$G1806&amp;IF($H1806="","","/"&amp;$H1806)))</f>
        <v/>
      </c>
      <c r="N1806" s="36"/>
      <c r="O1806" s="37"/>
      <c r="P1806" s="39"/>
      <c r="Q1806" s="41"/>
      <c r="R1806" s="35" t="str">
        <f aca="true">IF(OR($B1806="",$Q1806=""),"",DATEDIF($Q1806,TODAY(),"Y"))</f>
        <v/>
      </c>
      <c r="S1806" s="40" t="str">
        <f aca="false">IF($R1806="","",INDEX(usia_label,MATCH($R1806,usia_min,1)))</f>
        <v/>
      </c>
      <c r="T1806" s="36"/>
      <c r="U1806" s="41"/>
      <c r="V1806" s="36"/>
      <c r="W1806" s="36"/>
      <c r="X1806" s="40" t="str">
        <f aca="false">IF($M1806="","",$M1806&amp;"#"&amp;COUNTIF($M$4:$M1806,$M1806))</f>
        <v/>
      </c>
      <c r="Y1806" s="40" t="str">
        <f aca="false">IF($B1806="","",IF($C1806="","NIK kosong",IF(LEN($C1806)&lt;&gt;16,"NIK bukan 16 digit",IF(COUNTIF($C$4:$C$2003,$C1806&amp;"*")&gt;1,"NIK ganda",IF(AND($D1806&lt;&gt;"",LEN($D1806)&lt;&gt;16),"No. KK bukan 16 digit",IF(AND($F1806="",$I1806=""),"Alamat kosong",IF($N1806="","Jabatan kosong",IF($O1806="","No. HP kosong",IF(AND($R1806&lt;&gt;"",$R1806&lt;17),"Usia di bawah 17","")))))))))</f>
        <v/>
      </c>
      <c r="Z1806" s="40" t="str">
        <f aca="false">IF($B1806="","",IF(AND(OR(CARI!$C$5="",ISNUMBER(SEARCH(CARI!$C$5,$B1806&amp;" "&amp;$C1806&amp;" "&amp;$D1806&amp;" "&amp;$O1806&amp;" "&amp;$I1806&amp;" "&amp;$F1806&amp;" "&amp;$J1806&amp;" "&amp;$K1806&amp;" "&amp;$L1806&amp;" "&amp;$V1806))),OR(CARI!$C$6="",$F1806=CARI!$C$6),OR(CARI!$C$7="",$G1806=CARI!$C$7),OR(CARI!$C$8="",$T1806=CARI!$C$8)),MAX($Z$3:Z1805)+1,""))</f>
        <v/>
      </c>
      <c r="AA1806" s="40" t="str">
        <f aca="false">IF($Y1806="","",MAX($AA$3:AA1805)+1)</f>
        <v/>
      </c>
      <c r="AB1806" s="40" t="str">
        <f aca="false">IF($F1806="","",$F1806&amp;"#"&amp;COUNTIF($F$4:$F1806,$F1806))</f>
        <v/>
      </c>
      <c r="AC1806" s="40" t="str">
        <f aca="false">IF($B1806="","",IF(AND(OR(CETAK!$J$10="",$F1806=CETAK!$J$10),OR(CETAK!$J$11="",$G1806=CETAK!$J$11),OR(CETAK!$J$12="",$P1806=CETAK!$J$12),OR(CETAK!$J$13="",$N1806=CETAK!$J$13),OR(CETAK!$J$14="",$T1806=CETAK!$J$14)),MAX($AC$3:AC1805)+1,""))</f>
        <v/>
      </c>
      <c r="AD1806" s="40" t="str">
        <f aca="false">IF($B1806="","",IF(AND(OR(ABSENSI!$H$10="",$F1806=ABSENSI!$H$10),OR(ABSENSI!$H$11="",$G1806=ABSENSI!$H$11),OR(ABSENSI!$H$12="",$P1806=ABSENSI!$H$12)),MAX($AD$3:AD1805)+1,""))</f>
        <v/>
      </c>
      <c r="AE1806" s="40" t="str">
        <f aca="false">IF($B1806="","",IF(AND(OR(KARTU!$K$6="",$F1806=KARTU!$K$6),OR(KARTU!$K$7="",$G1806=KARTU!$K$7),OR(KARTU!$K$8="",$P1806=KARTU!$K$8)),MAX($AE$3:AE1805)+1,""))</f>
        <v/>
      </c>
    </row>
    <row r="1807" customFormat="false" ht="15" hidden="false" customHeight="false" outlineLevel="0" collapsed="false">
      <c r="A1807" s="35" t="str">
        <f aca="false">IF($B1807="","",COUNTA($B$4:$B1807))</f>
        <v/>
      </c>
      <c r="B1807" s="36"/>
      <c r="C1807" s="37"/>
      <c r="D1807" s="37"/>
      <c r="E1807" s="38"/>
      <c r="F1807" s="36"/>
      <c r="G1807" s="39"/>
      <c r="H1807" s="39"/>
      <c r="I1807" s="36"/>
      <c r="J1807" s="36"/>
      <c r="K1807" s="36"/>
      <c r="L1807" s="36"/>
      <c r="M1807" s="40" t="str">
        <f aca="false">IF($F1807="","",$F1807&amp;IF($G1807="",""," - RT "&amp;$G1807&amp;IF($H1807="","","/"&amp;$H1807)))</f>
        <v/>
      </c>
      <c r="N1807" s="36"/>
      <c r="O1807" s="37"/>
      <c r="P1807" s="39"/>
      <c r="Q1807" s="41"/>
      <c r="R1807" s="35" t="str">
        <f aca="true">IF(OR($B1807="",$Q1807=""),"",DATEDIF($Q1807,TODAY(),"Y"))</f>
        <v/>
      </c>
      <c r="S1807" s="40" t="str">
        <f aca="false">IF($R1807="","",INDEX(usia_label,MATCH($R1807,usia_min,1)))</f>
        <v/>
      </c>
      <c r="T1807" s="36"/>
      <c r="U1807" s="41"/>
      <c r="V1807" s="36"/>
      <c r="W1807" s="36"/>
      <c r="X1807" s="40" t="str">
        <f aca="false">IF($M1807="","",$M1807&amp;"#"&amp;COUNTIF($M$4:$M1807,$M1807))</f>
        <v/>
      </c>
      <c r="Y1807" s="40" t="str">
        <f aca="false">IF($B1807="","",IF($C1807="","NIK kosong",IF(LEN($C1807)&lt;&gt;16,"NIK bukan 16 digit",IF(COUNTIF($C$4:$C$2003,$C1807&amp;"*")&gt;1,"NIK ganda",IF(AND($D1807&lt;&gt;"",LEN($D1807)&lt;&gt;16),"No. KK bukan 16 digit",IF(AND($F1807="",$I1807=""),"Alamat kosong",IF($N1807="","Jabatan kosong",IF($O1807="","No. HP kosong",IF(AND($R1807&lt;&gt;"",$R1807&lt;17),"Usia di bawah 17","")))))))))</f>
        <v/>
      </c>
      <c r="Z1807" s="40" t="str">
        <f aca="false">IF($B1807="","",IF(AND(OR(CARI!$C$5="",ISNUMBER(SEARCH(CARI!$C$5,$B1807&amp;" "&amp;$C1807&amp;" "&amp;$D1807&amp;" "&amp;$O1807&amp;" "&amp;$I1807&amp;" "&amp;$F1807&amp;" "&amp;$J1807&amp;" "&amp;$K1807&amp;" "&amp;$L1807&amp;" "&amp;$V1807))),OR(CARI!$C$6="",$F1807=CARI!$C$6),OR(CARI!$C$7="",$G1807=CARI!$C$7),OR(CARI!$C$8="",$T1807=CARI!$C$8)),MAX($Z$3:Z1806)+1,""))</f>
        <v/>
      </c>
      <c r="AA1807" s="40" t="str">
        <f aca="false">IF($Y1807="","",MAX($AA$3:AA1806)+1)</f>
        <v/>
      </c>
      <c r="AB1807" s="40" t="str">
        <f aca="false">IF($F1807="","",$F1807&amp;"#"&amp;COUNTIF($F$4:$F1807,$F1807))</f>
        <v/>
      </c>
      <c r="AC1807" s="40" t="str">
        <f aca="false">IF($B1807="","",IF(AND(OR(CETAK!$J$10="",$F1807=CETAK!$J$10),OR(CETAK!$J$11="",$G1807=CETAK!$J$11),OR(CETAK!$J$12="",$P1807=CETAK!$J$12),OR(CETAK!$J$13="",$N1807=CETAK!$J$13),OR(CETAK!$J$14="",$T1807=CETAK!$J$14)),MAX($AC$3:AC1806)+1,""))</f>
        <v/>
      </c>
      <c r="AD1807" s="40" t="str">
        <f aca="false">IF($B1807="","",IF(AND(OR(ABSENSI!$H$10="",$F1807=ABSENSI!$H$10),OR(ABSENSI!$H$11="",$G1807=ABSENSI!$H$11),OR(ABSENSI!$H$12="",$P1807=ABSENSI!$H$12)),MAX($AD$3:AD1806)+1,""))</f>
        <v/>
      </c>
      <c r="AE1807" s="40" t="str">
        <f aca="false">IF($B1807="","",IF(AND(OR(KARTU!$K$6="",$F1807=KARTU!$K$6),OR(KARTU!$K$7="",$G1807=KARTU!$K$7),OR(KARTU!$K$8="",$P1807=KARTU!$K$8)),MAX($AE$3:AE1806)+1,""))</f>
        <v/>
      </c>
    </row>
    <row r="1808" customFormat="false" ht="15" hidden="false" customHeight="false" outlineLevel="0" collapsed="false">
      <c r="A1808" s="35" t="str">
        <f aca="false">IF($B1808="","",COUNTA($B$4:$B1808))</f>
        <v/>
      </c>
      <c r="B1808" s="36"/>
      <c r="C1808" s="37"/>
      <c r="D1808" s="37"/>
      <c r="E1808" s="38"/>
      <c r="F1808" s="36"/>
      <c r="G1808" s="39"/>
      <c r="H1808" s="39"/>
      <c r="I1808" s="36"/>
      <c r="J1808" s="36"/>
      <c r="K1808" s="36"/>
      <c r="L1808" s="36"/>
      <c r="M1808" s="40" t="str">
        <f aca="false">IF($F1808="","",$F1808&amp;IF($G1808="",""," - RT "&amp;$G1808&amp;IF($H1808="","","/"&amp;$H1808)))</f>
        <v/>
      </c>
      <c r="N1808" s="36"/>
      <c r="O1808" s="37"/>
      <c r="P1808" s="39"/>
      <c r="Q1808" s="41"/>
      <c r="R1808" s="35" t="str">
        <f aca="true">IF(OR($B1808="",$Q1808=""),"",DATEDIF($Q1808,TODAY(),"Y"))</f>
        <v/>
      </c>
      <c r="S1808" s="40" t="str">
        <f aca="false">IF($R1808="","",INDEX(usia_label,MATCH($R1808,usia_min,1)))</f>
        <v/>
      </c>
      <c r="T1808" s="36"/>
      <c r="U1808" s="41"/>
      <c r="V1808" s="36"/>
      <c r="W1808" s="36"/>
      <c r="X1808" s="40" t="str">
        <f aca="false">IF($M1808="","",$M1808&amp;"#"&amp;COUNTIF($M$4:$M1808,$M1808))</f>
        <v/>
      </c>
      <c r="Y1808" s="40" t="str">
        <f aca="false">IF($B1808="","",IF($C1808="","NIK kosong",IF(LEN($C1808)&lt;&gt;16,"NIK bukan 16 digit",IF(COUNTIF($C$4:$C$2003,$C1808&amp;"*")&gt;1,"NIK ganda",IF(AND($D1808&lt;&gt;"",LEN($D1808)&lt;&gt;16),"No. KK bukan 16 digit",IF(AND($F1808="",$I1808=""),"Alamat kosong",IF($N1808="","Jabatan kosong",IF($O1808="","No. HP kosong",IF(AND($R1808&lt;&gt;"",$R1808&lt;17),"Usia di bawah 17","")))))))))</f>
        <v/>
      </c>
      <c r="Z1808" s="40" t="str">
        <f aca="false">IF($B1808="","",IF(AND(OR(CARI!$C$5="",ISNUMBER(SEARCH(CARI!$C$5,$B1808&amp;" "&amp;$C1808&amp;" "&amp;$D1808&amp;" "&amp;$O1808&amp;" "&amp;$I1808&amp;" "&amp;$F1808&amp;" "&amp;$J1808&amp;" "&amp;$K1808&amp;" "&amp;$L1808&amp;" "&amp;$V1808))),OR(CARI!$C$6="",$F1808=CARI!$C$6),OR(CARI!$C$7="",$G1808=CARI!$C$7),OR(CARI!$C$8="",$T1808=CARI!$C$8)),MAX($Z$3:Z1807)+1,""))</f>
        <v/>
      </c>
      <c r="AA1808" s="40" t="str">
        <f aca="false">IF($Y1808="","",MAX($AA$3:AA1807)+1)</f>
        <v/>
      </c>
      <c r="AB1808" s="40" t="str">
        <f aca="false">IF($F1808="","",$F1808&amp;"#"&amp;COUNTIF($F$4:$F1808,$F1808))</f>
        <v/>
      </c>
      <c r="AC1808" s="40" t="str">
        <f aca="false">IF($B1808="","",IF(AND(OR(CETAK!$J$10="",$F1808=CETAK!$J$10),OR(CETAK!$J$11="",$G1808=CETAK!$J$11),OR(CETAK!$J$12="",$P1808=CETAK!$J$12),OR(CETAK!$J$13="",$N1808=CETAK!$J$13),OR(CETAK!$J$14="",$T1808=CETAK!$J$14)),MAX($AC$3:AC1807)+1,""))</f>
        <v/>
      </c>
      <c r="AD1808" s="40" t="str">
        <f aca="false">IF($B1808="","",IF(AND(OR(ABSENSI!$H$10="",$F1808=ABSENSI!$H$10),OR(ABSENSI!$H$11="",$G1808=ABSENSI!$H$11),OR(ABSENSI!$H$12="",$P1808=ABSENSI!$H$12)),MAX($AD$3:AD1807)+1,""))</f>
        <v/>
      </c>
      <c r="AE1808" s="40" t="str">
        <f aca="false">IF($B1808="","",IF(AND(OR(KARTU!$K$6="",$F1808=KARTU!$K$6),OR(KARTU!$K$7="",$G1808=KARTU!$K$7),OR(KARTU!$K$8="",$P1808=KARTU!$K$8)),MAX($AE$3:AE1807)+1,""))</f>
        <v/>
      </c>
    </row>
    <row r="1809" customFormat="false" ht="15" hidden="false" customHeight="false" outlineLevel="0" collapsed="false">
      <c r="A1809" s="35" t="str">
        <f aca="false">IF($B1809="","",COUNTA($B$4:$B1809))</f>
        <v/>
      </c>
      <c r="B1809" s="36"/>
      <c r="C1809" s="37"/>
      <c r="D1809" s="37"/>
      <c r="E1809" s="38"/>
      <c r="F1809" s="36"/>
      <c r="G1809" s="39"/>
      <c r="H1809" s="39"/>
      <c r="I1809" s="36"/>
      <c r="J1809" s="36"/>
      <c r="K1809" s="36"/>
      <c r="L1809" s="36"/>
      <c r="M1809" s="40" t="str">
        <f aca="false">IF($F1809="","",$F1809&amp;IF($G1809="",""," - RT "&amp;$G1809&amp;IF($H1809="","","/"&amp;$H1809)))</f>
        <v/>
      </c>
      <c r="N1809" s="36"/>
      <c r="O1809" s="37"/>
      <c r="P1809" s="39"/>
      <c r="Q1809" s="41"/>
      <c r="R1809" s="35" t="str">
        <f aca="true">IF(OR($B1809="",$Q1809=""),"",DATEDIF($Q1809,TODAY(),"Y"))</f>
        <v/>
      </c>
      <c r="S1809" s="40" t="str">
        <f aca="false">IF($R1809="","",INDEX(usia_label,MATCH($R1809,usia_min,1)))</f>
        <v/>
      </c>
      <c r="T1809" s="36"/>
      <c r="U1809" s="41"/>
      <c r="V1809" s="36"/>
      <c r="W1809" s="36"/>
      <c r="X1809" s="40" t="str">
        <f aca="false">IF($M1809="","",$M1809&amp;"#"&amp;COUNTIF($M$4:$M1809,$M1809))</f>
        <v/>
      </c>
      <c r="Y1809" s="40" t="str">
        <f aca="false">IF($B1809="","",IF($C1809="","NIK kosong",IF(LEN($C1809)&lt;&gt;16,"NIK bukan 16 digit",IF(COUNTIF($C$4:$C$2003,$C1809&amp;"*")&gt;1,"NIK ganda",IF(AND($D1809&lt;&gt;"",LEN($D1809)&lt;&gt;16),"No. KK bukan 16 digit",IF(AND($F1809="",$I1809=""),"Alamat kosong",IF($N1809="","Jabatan kosong",IF($O1809="","No. HP kosong",IF(AND($R1809&lt;&gt;"",$R1809&lt;17),"Usia di bawah 17","")))))))))</f>
        <v/>
      </c>
      <c r="Z1809" s="40" t="str">
        <f aca="false">IF($B1809="","",IF(AND(OR(CARI!$C$5="",ISNUMBER(SEARCH(CARI!$C$5,$B1809&amp;" "&amp;$C1809&amp;" "&amp;$D1809&amp;" "&amp;$O1809&amp;" "&amp;$I1809&amp;" "&amp;$F1809&amp;" "&amp;$J1809&amp;" "&amp;$K1809&amp;" "&amp;$L1809&amp;" "&amp;$V1809))),OR(CARI!$C$6="",$F1809=CARI!$C$6),OR(CARI!$C$7="",$G1809=CARI!$C$7),OR(CARI!$C$8="",$T1809=CARI!$C$8)),MAX($Z$3:Z1808)+1,""))</f>
        <v/>
      </c>
      <c r="AA1809" s="40" t="str">
        <f aca="false">IF($Y1809="","",MAX($AA$3:AA1808)+1)</f>
        <v/>
      </c>
      <c r="AB1809" s="40" t="str">
        <f aca="false">IF($F1809="","",$F1809&amp;"#"&amp;COUNTIF($F$4:$F1809,$F1809))</f>
        <v/>
      </c>
      <c r="AC1809" s="40" t="str">
        <f aca="false">IF($B1809="","",IF(AND(OR(CETAK!$J$10="",$F1809=CETAK!$J$10),OR(CETAK!$J$11="",$G1809=CETAK!$J$11),OR(CETAK!$J$12="",$P1809=CETAK!$J$12),OR(CETAK!$J$13="",$N1809=CETAK!$J$13),OR(CETAK!$J$14="",$T1809=CETAK!$J$14)),MAX($AC$3:AC1808)+1,""))</f>
        <v/>
      </c>
      <c r="AD1809" s="40" t="str">
        <f aca="false">IF($B1809="","",IF(AND(OR(ABSENSI!$H$10="",$F1809=ABSENSI!$H$10),OR(ABSENSI!$H$11="",$G1809=ABSENSI!$H$11),OR(ABSENSI!$H$12="",$P1809=ABSENSI!$H$12)),MAX($AD$3:AD1808)+1,""))</f>
        <v/>
      </c>
      <c r="AE1809" s="40" t="str">
        <f aca="false">IF($B1809="","",IF(AND(OR(KARTU!$K$6="",$F1809=KARTU!$K$6),OR(KARTU!$K$7="",$G1809=KARTU!$K$7),OR(KARTU!$K$8="",$P1809=KARTU!$K$8)),MAX($AE$3:AE1808)+1,""))</f>
        <v/>
      </c>
    </row>
    <row r="1810" customFormat="false" ht="15" hidden="false" customHeight="false" outlineLevel="0" collapsed="false">
      <c r="A1810" s="35" t="str">
        <f aca="false">IF($B1810="","",COUNTA($B$4:$B1810))</f>
        <v/>
      </c>
      <c r="B1810" s="36"/>
      <c r="C1810" s="37"/>
      <c r="D1810" s="37"/>
      <c r="E1810" s="38"/>
      <c r="F1810" s="36"/>
      <c r="G1810" s="39"/>
      <c r="H1810" s="39"/>
      <c r="I1810" s="36"/>
      <c r="J1810" s="36"/>
      <c r="K1810" s="36"/>
      <c r="L1810" s="36"/>
      <c r="M1810" s="40" t="str">
        <f aca="false">IF($F1810="","",$F1810&amp;IF($G1810="",""," - RT "&amp;$G1810&amp;IF($H1810="","","/"&amp;$H1810)))</f>
        <v/>
      </c>
      <c r="N1810" s="36"/>
      <c r="O1810" s="37"/>
      <c r="P1810" s="39"/>
      <c r="Q1810" s="41"/>
      <c r="R1810" s="35" t="str">
        <f aca="true">IF(OR($B1810="",$Q1810=""),"",DATEDIF($Q1810,TODAY(),"Y"))</f>
        <v/>
      </c>
      <c r="S1810" s="40" t="str">
        <f aca="false">IF($R1810="","",INDEX(usia_label,MATCH($R1810,usia_min,1)))</f>
        <v/>
      </c>
      <c r="T1810" s="36"/>
      <c r="U1810" s="41"/>
      <c r="V1810" s="36"/>
      <c r="W1810" s="36"/>
      <c r="X1810" s="40" t="str">
        <f aca="false">IF($M1810="","",$M1810&amp;"#"&amp;COUNTIF($M$4:$M1810,$M1810))</f>
        <v/>
      </c>
      <c r="Y1810" s="40" t="str">
        <f aca="false">IF($B1810="","",IF($C1810="","NIK kosong",IF(LEN($C1810)&lt;&gt;16,"NIK bukan 16 digit",IF(COUNTIF($C$4:$C$2003,$C1810&amp;"*")&gt;1,"NIK ganda",IF(AND($D1810&lt;&gt;"",LEN($D1810)&lt;&gt;16),"No. KK bukan 16 digit",IF(AND($F1810="",$I1810=""),"Alamat kosong",IF($N1810="","Jabatan kosong",IF($O1810="","No. HP kosong",IF(AND($R1810&lt;&gt;"",$R1810&lt;17),"Usia di bawah 17","")))))))))</f>
        <v/>
      </c>
      <c r="Z1810" s="40" t="str">
        <f aca="false">IF($B1810="","",IF(AND(OR(CARI!$C$5="",ISNUMBER(SEARCH(CARI!$C$5,$B1810&amp;" "&amp;$C1810&amp;" "&amp;$D1810&amp;" "&amp;$O1810&amp;" "&amp;$I1810&amp;" "&amp;$F1810&amp;" "&amp;$J1810&amp;" "&amp;$K1810&amp;" "&amp;$L1810&amp;" "&amp;$V1810))),OR(CARI!$C$6="",$F1810=CARI!$C$6),OR(CARI!$C$7="",$G1810=CARI!$C$7),OR(CARI!$C$8="",$T1810=CARI!$C$8)),MAX($Z$3:Z1809)+1,""))</f>
        <v/>
      </c>
      <c r="AA1810" s="40" t="str">
        <f aca="false">IF($Y1810="","",MAX($AA$3:AA1809)+1)</f>
        <v/>
      </c>
      <c r="AB1810" s="40" t="str">
        <f aca="false">IF($F1810="","",$F1810&amp;"#"&amp;COUNTIF($F$4:$F1810,$F1810))</f>
        <v/>
      </c>
      <c r="AC1810" s="40" t="str">
        <f aca="false">IF($B1810="","",IF(AND(OR(CETAK!$J$10="",$F1810=CETAK!$J$10),OR(CETAK!$J$11="",$G1810=CETAK!$J$11),OR(CETAK!$J$12="",$P1810=CETAK!$J$12),OR(CETAK!$J$13="",$N1810=CETAK!$J$13),OR(CETAK!$J$14="",$T1810=CETAK!$J$14)),MAX($AC$3:AC1809)+1,""))</f>
        <v/>
      </c>
      <c r="AD1810" s="40" t="str">
        <f aca="false">IF($B1810="","",IF(AND(OR(ABSENSI!$H$10="",$F1810=ABSENSI!$H$10),OR(ABSENSI!$H$11="",$G1810=ABSENSI!$H$11),OR(ABSENSI!$H$12="",$P1810=ABSENSI!$H$12)),MAX($AD$3:AD1809)+1,""))</f>
        <v/>
      </c>
      <c r="AE1810" s="40" t="str">
        <f aca="false">IF($B1810="","",IF(AND(OR(KARTU!$K$6="",$F1810=KARTU!$K$6),OR(KARTU!$K$7="",$G1810=KARTU!$K$7),OR(KARTU!$K$8="",$P1810=KARTU!$K$8)),MAX($AE$3:AE1809)+1,""))</f>
        <v/>
      </c>
    </row>
    <row r="1811" customFormat="false" ht="15" hidden="false" customHeight="false" outlineLevel="0" collapsed="false">
      <c r="A1811" s="35" t="str">
        <f aca="false">IF($B1811="","",COUNTA($B$4:$B1811))</f>
        <v/>
      </c>
      <c r="B1811" s="36"/>
      <c r="C1811" s="37"/>
      <c r="D1811" s="37"/>
      <c r="E1811" s="38"/>
      <c r="F1811" s="36"/>
      <c r="G1811" s="39"/>
      <c r="H1811" s="39"/>
      <c r="I1811" s="36"/>
      <c r="J1811" s="36"/>
      <c r="K1811" s="36"/>
      <c r="L1811" s="36"/>
      <c r="M1811" s="40" t="str">
        <f aca="false">IF($F1811="","",$F1811&amp;IF($G1811="",""," - RT "&amp;$G1811&amp;IF($H1811="","","/"&amp;$H1811)))</f>
        <v/>
      </c>
      <c r="N1811" s="36"/>
      <c r="O1811" s="37"/>
      <c r="P1811" s="39"/>
      <c r="Q1811" s="41"/>
      <c r="R1811" s="35" t="str">
        <f aca="true">IF(OR($B1811="",$Q1811=""),"",DATEDIF($Q1811,TODAY(),"Y"))</f>
        <v/>
      </c>
      <c r="S1811" s="40" t="str">
        <f aca="false">IF($R1811="","",INDEX(usia_label,MATCH($R1811,usia_min,1)))</f>
        <v/>
      </c>
      <c r="T1811" s="36"/>
      <c r="U1811" s="41"/>
      <c r="V1811" s="36"/>
      <c r="W1811" s="36"/>
      <c r="X1811" s="40" t="str">
        <f aca="false">IF($M1811="","",$M1811&amp;"#"&amp;COUNTIF($M$4:$M1811,$M1811))</f>
        <v/>
      </c>
      <c r="Y1811" s="40" t="str">
        <f aca="false">IF($B1811="","",IF($C1811="","NIK kosong",IF(LEN($C1811)&lt;&gt;16,"NIK bukan 16 digit",IF(COUNTIF($C$4:$C$2003,$C1811&amp;"*")&gt;1,"NIK ganda",IF(AND($D1811&lt;&gt;"",LEN($D1811)&lt;&gt;16),"No. KK bukan 16 digit",IF(AND($F1811="",$I1811=""),"Alamat kosong",IF($N1811="","Jabatan kosong",IF($O1811="","No. HP kosong",IF(AND($R1811&lt;&gt;"",$R1811&lt;17),"Usia di bawah 17","")))))))))</f>
        <v/>
      </c>
      <c r="Z1811" s="40" t="str">
        <f aca="false">IF($B1811="","",IF(AND(OR(CARI!$C$5="",ISNUMBER(SEARCH(CARI!$C$5,$B1811&amp;" "&amp;$C1811&amp;" "&amp;$D1811&amp;" "&amp;$O1811&amp;" "&amp;$I1811&amp;" "&amp;$F1811&amp;" "&amp;$J1811&amp;" "&amp;$K1811&amp;" "&amp;$L1811&amp;" "&amp;$V1811))),OR(CARI!$C$6="",$F1811=CARI!$C$6),OR(CARI!$C$7="",$G1811=CARI!$C$7),OR(CARI!$C$8="",$T1811=CARI!$C$8)),MAX($Z$3:Z1810)+1,""))</f>
        <v/>
      </c>
      <c r="AA1811" s="40" t="str">
        <f aca="false">IF($Y1811="","",MAX($AA$3:AA1810)+1)</f>
        <v/>
      </c>
      <c r="AB1811" s="40" t="str">
        <f aca="false">IF($F1811="","",$F1811&amp;"#"&amp;COUNTIF($F$4:$F1811,$F1811))</f>
        <v/>
      </c>
      <c r="AC1811" s="40" t="str">
        <f aca="false">IF($B1811="","",IF(AND(OR(CETAK!$J$10="",$F1811=CETAK!$J$10),OR(CETAK!$J$11="",$G1811=CETAK!$J$11),OR(CETAK!$J$12="",$P1811=CETAK!$J$12),OR(CETAK!$J$13="",$N1811=CETAK!$J$13),OR(CETAK!$J$14="",$T1811=CETAK!$J$14)),MAX($AC$3:AC1810)+1,""))</f>
        <v/>
      </c>
      <c r="AD1811" s="40" t="str">
        <f aca="false">IF($B1811="","",IF(AND(OR(ABSENSI!$H$10="",$F1811=ABSENSI!$H$10),OR(ABSENSI!$H$11="",$G1811=ABSENSI!$H$11),OR(ABSENSI!$H$12="",$P1811=ABSENSI!$H$12)),MAX($AD$3:AD1810)+1,""))</f>
        <v/>
      </c>
      <c r="AE1811" s="40" t="str">
        <f aca="false">IF($B1811="","",IF(AND(OR(KARTU!$K$6="",$F1811=KARTU!$K$6),OR(KARTU!$K$7="",$G1811=KARTU!$K$7),OR(KARTU!$K$8="",$P1811=KARTU!$K$8)),MAX($AE$3:AE1810)+1,""))</f>
        <v/>
      </c>
    </row>
    <row r="1812" customFormat="false" ht="15" hidden="false" customHeight="false" outlineLevel="0" collapsed="false">
      <c r="A1812" s="35" t="str">
        <f aca="false">IF($B1812="","",COUNTA($B$4:$B1812))</f>
        <v/>
      </c>
      <c r="B1812" s="36"/>
      <c r="C1812" s="37"/>
      <c r="D1812" s="37"/>
      <c r="E1812" s="38"/>
      <c r="F1812" s="36"/>
      <c r="G1812" s="39"/>
      <c r="H1812" s="39"/>
      <c r="I1812" s="36"/>
      <c r="J1812" s="36"/>
      <c r="K1812" s="36"/>
      <c r="L1812" s="36"/>
      <c r="M1812" s="40" t="str">
        <f aca="false">IF($F1812="","",$F1812&amp;IF($G1812="",""," - RT "&amp;$G1812&amp;IF($H1812="","","/"&amp;$H1812)))</f>
        <v/>
      </c>
      <c r="N1812" s="36"/>
      <c r="O1812" s="37"/>
      <c r="P1812" s="39"/>
      <c r="Q1812" s="41"/>
      <c r="R1812" s="35" t="str">
        <f aca="true">IF(OR($B1812="",$Q1812=""),"",DATEDIF($Q1812,TODAY(),"Y"))</f>
        <v/>
      </c>
      <c r="S1812" s="40" t="str">
        <f aca="false">IF($R1812="","",INDEX(usia_label,MATCH($R1812,usia_min,1)))</f>
        <v/>
      </c>
      <c r="T1812" s="36"/>
      <c r="U1812" s="41"/>
      <c r="V1812" s="36"/>
      <c r="W1812" s="36"/>
      <c r="X1812" s="40" t="str">
        <f aca="false">IF($M1812="","",$M1812&amp;"#"&amp;COUNTIF($M$4:$M1812,$M1812))</f>
        <v/>
      </c>
      <c r="Y1812" s="40" t="str">
        <f aca="false">IF($B1812="","",IF($C1812="","NIK kosong",IF(LEN($C1812)&lt;&gt;16,"NIK bukan 16 digit",IF(COUNTIF($C$4:$C$2003,$C1812&amp;"*")&gt;1,"NIK ganda",IF(AND($D1812&lt;&gt;"",LEN($D1812)&lt;&gt;16),"No. KK bukan 16 digit",IF(AND($F1812="",$I1812=""),"Alamat kosong",IF($N1812="","Jabatan kosong",IF($O1812="","No. HP kosong",IF(AND($R1812&lt;&gt;"",$R1812&lt;17),"Usia di bawah 17","")))))))))</f>
        <v/>
      </c>
      <c r="Z1812" s="40" t="str">
        <f aca="false">IF($B1812="","",IF(AND(OR(CARI!$C$5="",ISNUMBER(SEARCH(CARI!$C$5,$B1812&amp;" "&amp;$C1812&amp;" "&amp;$D1812&amp;" "&amp;$O1812&amp;" "&amp;$I1812&amp;" "&amp;$F1812&amp;" "&amp;$J1812&amp;" "&amp;$K1812&amp;" "&amp;$L1812&amp;" "&amp;$V1812))),OR(CARI!$C$6="",$F1812=CARI!$C$6),OR(CARI!$C$7="",$G1812=CARI!$C$7),OR(CARI!$C$8="",$T1812=CARI!$C$8)),MAX($Z$3:Z1811)+1,""))</f>
        <v/>
      </c>
      <c r="AA1812" s="40" t="str">
        <f aca="false">IF($Y1812="","",MAX($AA$3:AA1811)+1)</f>
        <v/>
      </c>
      <c r="AB1812" s="40" t="str">
        <f aca="false">IF($F1812="","",$F1812&amp;"#"&amp;COUNTIF($F$4:$F1812,$F1812))</f>
        <v/>
      </c>
      <c r="AC1812" s="40" t="str">
        <f aca="false">IF($B1812="","",IF(AND(OR(CETAK!$J$10="",$F1812=CETAK!$J$10),OR(CETAK!$J$11="",$G1812=CETAK!$J$11),OR(CETAK!$J$12="",$P1812=CETAK!$J$12),OR(CETAK!$J$13="",$N1812=CETAK!$J$13),OR(CETAK!$J$14="",$T1812=CETAK!$J$14)),MAX($AC$3:AC1811)+1,""))</f>
        <v/>
      </c>
      <c r="AD1812" s="40" t="str">
        <f aca="false">IF($B1812="","",IF(AND(OR(ABSENSI!$H$10="",$F1812=ABSENSI!$H$10),OR(ABSENSI!$H$11="",$G1812=ABSENSI!$H$11),OR(ABSENSI!$H$12="",$P1812=ABSENSI!$H$12)),MAX($AD$3:AD1811)+1,""))</f>
        <v/>
      </c>
      <c r="AE1812" s="40" t="str">
        <f aca="false">IF($B1812="","",IF(AND(OR(KARTU!$K$6="",$F1812=KARTU!$K$6),OR(KARTU!$K$7="",$G1812=KARTU!$K$7),OR(KARTU!$K$8="",$P1812=KARTU!$K$8)),MAX($AE$3:AE1811)+1,""))</f>
        <v/>
      </c>
    </row>
    <row r="1813" customFormat="false" ht="15" hidden="false" customHeight="false" outlineLevel="0" collapsed="false">
      <c r="A1813" s="35" t="str">
        <f aca="false">IF($B1813="","",COUNTA($B$4:$B1813))</f>
        <v/>
      </c>
      <c r="B1813" s="36"/>
      <c r="C1813" s="37"/>
      <c r="D1813" s="37"/>
      <c r="E1813" s="38"/>
      <c r="F1813" s="36"/>
      <c r="G1813" s="39"/>
      <c r="H1813" s="39"/>
      <c r="I1813" s="36"/>
      <c r="J1813" s="36"/>
      <c r="K1813" s="36"/>
      <c r="L1813" s="36"/>
      <c r="M1813" s="40" t="str">
        <f aca="false">IF($F1813="","",$F1813&amp;IF($G1813="",""," - RT "&amp;$G1813&amp;IF($H1813="","","/"&amp;$H1813)))</f>
        <v/>
      </c>
      <c r="N1813" s="36"/>
      <c r="O1813" s="37"/>
      <c r="P1813" s="39"/>
      <c r="Q1813" s="41"/>
      <c r="R1813" s="35" t="str">
        <f aca="true">IF(OR($B1813="",$Q1813=""),"",DATEDIF($Q1813,TODAY(),"Y"))</f>
        <v/>
      </c>
      <c r="S1813" s="40" t="str">
        <f aca="false">IF($R1813="","",INDEX(usia_label,MATCH($R1813,usia_min,1)))</f>
        <v/>
      </c>
      <c r="T1813" s="36"/>
      <c r="U1813" s="41"/>
      <c r="V1813" s="36"/>
      <c r="W1813" s="36"/>
      <c r="X1813" s="40" t="str">
        <f aca="false">IF($M1813="","",$M1813&amp;"#"&amp;COUNTIF($M$4:$M1813,$M1813))</f>
        <v/>
      </c>
      <c r="Y1813" s="40" t="str">
        <f aca="false">IF($B1813="","",IF($C1813="","NIK kosong",IF(LEN($C1813)&lt;&gt;16,"NIK bukan 16 digit",IF(COUNTIF($C$4:$C$2003,$C1813&amp;"*")&gt;1,"NIK ganda",IF(AND($D1813&lt;&gt;"",LEN($D1813)&lt;&gt;16),"No. KK bukan 16 digit",IF(AND($F1813="",$I1813=""),"Alamat kosong",IF($N1813="","Jabatan kosong",IF($O1813="","No. HP kosong",IF(AND($R1813&lt;&gt;"",$R1813&lt;17),"Usia di bawah 17","")))))))))</f>
        <v/>
      </c>
      <c r="Z1813" s="40" t="str">
        <f aca="false">IF($B1813="","",IF(AND(OR(CARI!$C$5="",ISNUMBER(SEARCH(CARI!$C$5,$B1813&amp;" "&amp;$C1813&amp;" "&amp;$D1813&amp;" "&amp;$O1813&amp;" "&amp;$I1813&amp;" "&amp;$F1813&amp;" "&amp;$J1813&amp;" "&amp;$K1813&amp;" "&amp;$L1813&amp;" "&amp;$V1813))),OR(CARI!$C$6="",$F1813=CARI!$C$6),OR(CARI!$C$7="",$G1813=CARI!$C$7),OR(CARI!$C$8="",$T1813=CARI!$C$8)),MAX($Z$3:Z1812)+1,""))</f>
        <v/>
      </c>
      <c r="AA1813" s="40" t="str">
        <f aca="false">IF($Y1813="","",MAX($AA$3:AA1812)+1)</f>
        <v/>
      </c>
      <c r="AB1813" s="40" t="str">
        <f aca="false">IF($F1813="","",$F1813&amp;"#"&amp;COUNTIF($F$4:$F1813,$F1813))</f>
        <v/>
      </c>
      <c r="AC1813" s="40" t="str">
        <f aca="false">IF($B1813="","",IF(AND(OR(CETAK!$J$10="",$F1813=CETAK!$J$10),OR(CETAK!$J$11="",$G1813=CETAK!$J$11),OR(CETAK!$J$12="",$P1813=CETAK!$J$12),OR(CETAK!$J$13="",$N1813=CETAK!$J$13),OR(CETAK!$J$14="",$T1813=CETAK!$J$14)),MAX($AC$3:AC1812)+1,""))</f>
        <v/>
      </c>
      <c r="AD1813" s="40" t="str">
        <f aca="false">IF($B1813="","",IF(AND(OR(ABSENSI!$H$10="",$F1813=ABSENSI!$H$10),OR(ABSENSI!$H$11="",$G1813=ABSENSI!$H$11),OR(ABSENSI!$H$12="",$P1813=ABSENSI!$H$12)),MAX($AD$3:AD1812)+1,""))</f>
        <v/>
      </c>
      <c r="AE1813" s="40" t="str">
        <f aca="false">IF($B1813="","",IF(AND(OR(KARTU!$K$6="",$F1813=KARTU!$K$6),OR(KARTU!$K$7="",$G1813=KARTU!$K$7),OR(KARTU!$K$8="",$P1813=KARTU!$K$8)),MAX($AE$3:AE1812)+1,""))</f>
        <v/>
      </c>
    </row>
    <row r="1814" customFormat="false" ht="15" hidden="false" customHeight="false" outlineLevel="0" collapsed="false">
      <c r="A1814" s="35" t="str">
        <f aca="false">IF($B1814="","",COUNTA($B$4:$B1814))</f>
        <v/>
      </c>
      <c r="B1814" s="36"/>
      <c r="C1814" s="37"/>
      <c r="D1814" s="37"/>
      <c r="E1814" s="38"/>
      <c r="F1814" s="36"/>
      <c r="G1814" s="39"/>
      <c r="H1814" s="39"/>
      <c r="I1814" s="36"/>
      <c r="J1814" s="36"/>
      <c r="K1814" s="36"/>
      <c r="L1814" s="36"/>
      <c r="M1814" s="40" t="str">
        <f aca="false">IF($F1814="","",$F1814&amp;IF($G1814="",""," - RT "&amp;$G1814&amp;IF($H1814="","","/"&amp;$H1814)))</f>
        <v/>
      </c>
      <c r="N1814" s="36"/>
      <c r="O1814" s="37"/>
      <c r="P1814" s="39"/>
      <c r="Q1814" s="41"/>
      <c r="R1814" s="35" t="str">
        <f aca="true">IF(OR($B1814="",$Q1814=""),"",DATEDIF($Q1814,TODAY(),"Y"))</f>
        <v/>
      </c>
      <c r="S1814" s="40" t="str">
        <f aca="false">IF($R1814="","",INDEX(usia_label,MATCH($R1814,usia_min,1)))</f>
        <v/>
      </c>
      <c r="T1814" s="36"/>
      <c r="U1814" s="41"/>
      <c r="V1814" s="36"/>
      <c r="W1814" s="36"/>
      <c r="X1814" s="40" t="str">
        <f aca="false">IF($M1814="","",$M1814&amp;"#"&amp;COUNTIF($M$4:$M1814,$M1814))</f>
        <v/>
      </c>
      <c r="Y1814" s="40" t="str">
        <f aca="false">IF($B1814="","",IF($C1814="","NIK kosong",IF(LEN($C1814)&lt;&gt;16,"NIK bukan 16 digit",IF(COUNTIF($C$4:$C$2003,$C1814&amp;"*")&gt;1,"NIK ganda",IF(AND($D1814&lt;&gt;"",LEN($D1814)&lt;&gt;16),"No. KK bukan 16 digit",IF(AND($F1814="",$I1814=""),"Alamat kosong",IF($N1814="","Jabatan kosong",IF($O1814="","No. HP kosong",IF(AND($R1814&lt;&gt;"",$R1814&lt;17),"Usia di bawah 17","")))))))))</f>
        <v/>
      </c>
      <c r="Z1814" s="40" t="str">
        <f aca="false">IF($B1814="","",IF(AND(OR(CARI!$C$5="",ISNUMBER(SEARCH(CARI!$C$5,$B1814&amp;" "&amp;$C1814&amp;" "&amp;$D1814&amp;" "&amp;$O1814&amp;" "&amp;$I1814&amp;" "&amp;$F1814&amp;" "&amp;$J1814&amp;" "&amp;$K1814&amp;" "&amp;$L1814&amp;" "&amp;$V1814))),OR(CARI!$C$6="",$F1814=CARI!$C$6),OR(CARI!$C$7="",$G1814=CARI!$C$7),OR(CARI!$C$8="",$T1814=CARI!$C$8)),MAX($Z$3:Z1813)+1,""))</f>
        <v/>
      </c>
      <c r="AA1814" s="40" t="str">
        <f aca="false">IF($Y1814="","",MAX($AA$3:AA1813)+1)</f>
        <v/>
      </c>
      <c r="AB1814" s="40" t="str">
        <f aca="false">IF($F1814="","",$F1814&amp;"#"&amp;COUNTIF($F$4:$F1814,$F1814))</f>
        <v/>
      </c>
      <c r="AC1814" s="40" t="str">
        <f aca="false">IF($B1814="","",IF(AND(OR(CETAK!$J$10="",$F1814=CETAK!$J$10),OR(CETAK!$J$11="",$G1814=CETAK!$J$11),OR(CETAK!$J$12="",$P1814=CETAK!$J$12),OR(CETAK!$J$13="",$N1814=CETAK!$J$13),OR(CETAK!$J$14="",$T1814=CETAK!$J$14)),MAX($AC$3:AC1813)+1,""))</f>
        <v/>
      </c>
      <c r="AD1814" s="40" t="str">
        <f aca="false">IF($B1814="","",IF(AND(OR(ABSENSI!$H$10="",$F1814=ABSENSI!$H$10),OR(ABSENSI!$H$11="",$G1814=ABSENSI!$H$11),OR(ABSENSI!$H$12="",$P1814=ABSENSI!$H$12)),MAX($AD$3:AD1813)+1,""))</f>
        <v/>
      </c>
      <c r="AE1814" s="40" t="str">
        <f aca="false">IF($B1814="","",IF(AND(OR(KARTU!$K$6="",$F1814=KARTU!$K$6),OR(KARTU!$K$7="",$G1814=KARTU!$K$7),OR(KARTU!$K$8="",$P1814=KARTU!$K$8)),MAX($AE$3:AE1813)+1,""))</f>
        <v/>
      </c>
    </row>
    <row r="1815" customFormat="false" ht="15" hidden="false" customHeight="false" outlineLevel="0" collapsed="false">
      <c r="A1815" s="35" t="str">
        <f aca="false">IF($B1815="","",COUNTA($B$4:$B1815))</f>
        <v/>
      </c>
      <c r="B1815" s="36"/>
      <c r="C1815" s="37"/>
      <c r="D1815" s="37"/>
      <c r="E1815" s="38"/>
      <c r="F1815" s="36"/>
      <c r="G1815" s="39"/>
      <c r="H1815" s="39"/>
      <c r="I1815" s="36"/>
      <c r="J1815" s="36"/>
      <c r="K1815" s="36"/>
      <c r="L1815" s="36"/>
      <c r="M1815" s="40" t="str">
        <f aca="false">IF($F1815="","",$F1815&amp;IF($G1815="",""," - RT "&amp;$G1815&amp;IF($H1815="","","/"&amp;$H1815)))</f>
        <v/>
      </c>
      <c r="N1815" s="36"/>
      <c r="O1815" s="37"/>
      <c r="P1815" s="39"/>
      <c r="Q1815" s="41"/>
      <c r="R1815" s="35" t="str">
        <f aca="true">IF(OR($B1815="",$Q1815=""),"",DATEDIF($Q1815,TODAY(),"Y"))</f>
        <v/>
      </c>
      <c r="S1815" s="40" t="str">
        <f aca="false">IF($R1815="","",INDEX(usia_label,MATCH($R1815,usia_min,1)))</f>
        <v/>
      </c>
      <c r="T1815" s="36"/>
      <c r="U1815" s="41"/>
      <c r="V1815" s="36"/>
      <c r="W1815" s="36"/>
      <c r="X1815" s="40" t="str">
        <f aca="false">IF($M1815="","",$M1815&amp;"#"&amp;COUNTIF($M$4:$M1815,$M1815))</f>
        <v/>
      </c>
      <c r="Y1815" s="40" t="str">
        <f aca="false">IF($B1815="","",IF($C1815="","NIK kosong",IF(LEN($C1815)&lt;&gt;16,"NIK bukan 16 digit",IF(COUNTIF($C$4:$C$2003,$C1815&amp;"*")&gt;1,"NIK ganda",IF(AND($D1815&lt;&gt;"",LEN($D1815)&lt;&gt;16),"No. KK bukan 16 digit",IF(AND($F1815="",$I1815=""),"Alamat kosong",IF($N1815="","Jabatan kosong",IF($O1815="","No. HP kosong",IF(AND($R1815&lt;&gt;"",$R1815&lt;17),"Usia di bawah 17","")))))))))</f>
        <v/>
      </c>
      <c r="Z1815" s="40" t="str">
        <f aca="false">IF($B1815="","",IF(AND(OR(CARI!$C$5="",ISNUMBER(SEARCH(CARI!$C$5,$B1815&amp;" "&amp;$C1815&amp;" "&amp;$D1815&amp;" "&amp;$O1815&amp;" "&amp;$I1815&amp;" "&amp;$F1815&amp;" "&amp;$J1815&amp;" "&amp;$K1815&amp;" "&amp;$L1815&amp;" "&amp;$V1815))),OR(CARI!$C$6="",$F1815=CARI!$C$6),OR(CARI!$C$7="",$G1815=CARI!$C$7),OR(CARI!$C$8="",$T1815=CARI!$C$8)),MAX($Z$3:Z1814)+1,""))</f>
        <v/>
      </c>
      <c r="AA1815" s="40" t="str">
        <f aca="false">IF($Y1815="","",MAX($AA$3:AA1814)+1)</f>
        <v/>
      </c>
      <c r="AB1815" s="40" t="str">
        <f aca="false">IF($F1815="","",$F1815&amp;"#"&amp;COUNTIF($F$4:$F1815,$F1815))</f>
        <v/>
      </c>
      <c r="AC1815" s="40" t="str">
        <f aca="false">IF($B1815="","",IF(AND(OR(CETAK!$J$10="",$F1815=CETAK!$J$10),OR(CETAK!$J$11="",$G1815=CETAK!$J$11),OR(CETAK!$J$12="",$P1815=CETAK!$J$12),OR(CETAK!$J$13="",$N1815=CETAK!$J$13),OR(CETAK!$J$14="",$T1815=CETAK!$J$14)),MAX($AC$3:AC1814)+1,""))</f>
        <v/>
      </c>
      <c r="AD1815" s="40" t="str">
        <f aca="false">IF($B1815="","",IF(AND(OR(ABSENSI!$H$10="",$F1815=ABSENSI!$H$10),OR(ABSENSI!$H$11="",$G1815=ABSENSI!$H$11),OR(ABSENSI!$H$12="",$P1815=ABSENSI!$H$12)),MAX($AD$3:AD1814)+1,""))</f>
        <v/>
      </c>
      <c r="AE1815" s="40" t="str">
        <f aca="false">IF($B1815="","",IF(AND(OR(KARTU!$K$6="",$F1815=KARTU!$K$6),OR(KARTU!$K$7="",$G1815=KARTU!$K$7),OR(KARTU!$K$8="",$P1815=KARTU!$K$8)),MAX($AE$3:AE1814)+1,""))</f>
        <v/>
      </c>
    </row>
    <row r="1816" customFormat="false" ht="15" hidden="false" customHeight="false" outlineLevel="0" collapsed="false">
      <c r="A1816" s="35" t="str">
        <f aca="false">IF($B1816="","",COUNTA($B$4:$B1816))</f>
        <v/>
      </c>
      <c r="B1816" s="36"/>
      <c r="C1816" s="37"/>
      <c r="D1816" s="37"/>
      <c r="E1816" s="38"/>
      <c r="F1816" s="36"/>
      <c r="G1816" s="39"/>
      <c r="H1816" s="39"/>
      <c r="I1816" s="36"/>
      <c r="J1816" s="36"/>
      <c r="K1816" s="36"/>
      <c r="L1816" s="36"/>
      <c r="M1816" s="40" t="str">
        <f aca="false">IF($F1816="","",$F1816&amp;IF($G1816="",""," - RT "&amp;$G1816&amp;IF($H1816="","","/"&amp;$H1816)))</f>
        <v/>
      </c>
      <c r="N1816" s="36"/>
      <c r="O1816" s="37"/>
      <c r="P1816" s="39"/>
      <c r="Q1816" s="41"/>
      <c r="R1816" s="35" t="str">
        <f aca="true">IF(OR($B1816="",$Q1816=""),"",DATEDIF($Q1816,TODAY(),"Y"))</f>
        <v/>
      </c>
      <c r="S1816" s="40" t="str">
        <f aca="false">IF($R1816="","",INDEX(usia_label,MATCH($R1816,usia_min,1)))</f>
        <v/>
      </c>
      <c r="T1816" s="36"/>
      <c r="U1816" s="41"/>
      <c r="V1816" s="36"/>
      <c r="W1816" s="36"/>
      <c r="X1816" s="40" t="str">
        <f aca="false">IF($M1816="","",$M1816&amp;"#"&amp;COUNTIF($M$4:$M1816,$M1816))</f>
        <v/>
      </c>
      <c r="Y1816" s="40" t="str">
        <f aca="false">IF($B1816="","",IF($C1816="","NIK kosong",IF(LEN($C1816)&lt;&gt;16,"NIK bukan 16 digit",IF(COUNTIF($C$4:$C$2003,$C1816&amp;"*")&gt;1,"NIK ganda",IF(AND($D1816&lt;&gt;"",LEN($D1816)&lt;&gt;16),"No. KK bukan 16 digit",IF(AND($F1816="",$I1816=""),"Alamat kosong",IF($N1816="","Jabatan kosong",IF($O1816="","No. HP kosong",IF(AND($R1816&lt;&gt;"",$R1816&lt;17),"Usia di bawah 17","")))))))))</f>
        <v/>
      </c>
      <c r="Z1816" s="40" t="str">
        <f aca="false">IF($B1816="","",IF(AND(OR(CARI!$C$5="",ISNUMBER(SEARCH(CARI!$C$5,$B1816&amp;" "&amp;$C1816&amp;" "&amp;$D1816&amp;" "&amp;$O1816&amp;" "&amp;$I1816&amp;" "&amp;$F1816&amp;" "&amp;$J1816&amp;" "&amp;$K1816&amp;" "&amp;$L1816&amp;" "&amp;$V1816))),OR(CARI!$C$6="",$F1816=CARI!$C$6),OR(CARI!$C$7="",$G1816=CARI!$C$7),OR(CARI!$C$8="",$T1816=CARI!$C$8)),MAX($Z$3:Z1815)+1,""))</f>
        <v/>
      </c>
      <c r="AA1816" s="40" t="str">
        <f aca="false">IF($Y1816="","",MAX($AA$3:AA1815)+1)</f>
        <v/>
      </c>
      <c r="AB1816" s="40" t="str">
        <f aca="false">IF($F1816="","",$F1816&amp;"#"&amp;COUNTIF($F$4:$F1816,$F1816))</f>
        <v/>
      </c>
      <c r="AC1816" s="40" t="str">
        <f aca="false">IF($B1816="","",IF(AND(OR(CETAK!$J$10="",$F1816=CETAK!$J$10),OR(CETAK!$J$11="",$G1816=CETAK!$J$11),OR(CETAK!$J$12="",$P1816=CETAK!$J$12),OR(CETAK!$J$13="",$N1816=CETAK!$J$13),OR(CETAK!$J$14="",$T1816=CETAK!$J$14)),MAX($AC$3:AC1815)+1,""))</f>
        <v/>
      </c>
      <c r="AD1816" s="40" t="str">
        <f aca="false">IF($B1816="","",IF(AND(OR(ABSENSI!$H$10="",$F1816=ABSENSI!$H$10),OR(ABSENSI!$H$11="",$G1816=ABSENSI!$H$11),OR(ABSENSI!$H$12="",$P1816=ABSENSI!$H$12)),MAX($AD$3:AD1815)+1,""))</f>
        <v/>
      </c>
      <c r="AE1816" s="40" t="str">
        <f aca="false">IF($B1816="","",IF(AND(OR(KARTU!$K$6="",$F1816=KARTU!$K$6),OR(KARTU!$K$7="",$G1816=KARTU!$K$7),OR(KARTU!$K$8="",$P1816=KARTU!$K$8)),MAX($AE$3:AE1815)+1,""))</f>
        <v/>
      </c>
    </row>
    <row r="1817" customFormat="false" ht="15" hidden="false" customHeight="false" outlineLevel="0" collapsed="false">
      <c r="A1817" s="35" t="str">
        <f aca="false">IF($B1817="","",COUNTA($B$4:$B1817))</f>
        <v/>
      </c>
      <c r="B1817" s="36"/>
      <c r="C1817" s="37"/>
      <c r="D1817" s="37"/>
      <c r="E1817" s="38"/>
      <c r="F1817" s="36"/>
      <c r="G1817" s="39"/>
      <c r="H1817" s="39"/>
      <c r="I1817" s="36"/>
      <c r="J1817" s="36"/>
      <c r="K1817" s="36"/>
      <c r="L1817" s="36"/>
      <c r="M1817" s="40" t="str">
        <f aca="false">IF($F1817="","",$F1817&amp;IF($G1817="",""," - RT "&amp;$G1817&amp;IF($H1817="","","/"&amp;$H1817)))</f>
        <v/>
      </c>
      <c r="N1817" s="36"/>
      <c r="O1817" s="37"/>
      <c r="P1817" s="39"/>
      <c r="Q1817" s="41"/>
      <c r="R1817" s="35" t="str">
        <f aca="true">IF(OR($B1817="",$Q1817=""),"",DATEDIF($Q1817,TODAY(),"Y"))</f>
        <v/>
      </c>
      <c r="S1817" s="40" t="str">
        <f aca="false">IF($R1817="","",INDEX(usia_label,MATCH($R1817,usia_min,1)))</f>
        <v/>
      </c>
      <c r="T1817" s="36"/>
      <c r="U1817" s="41"/>
      <c r="V1817" s="36"/>
      <c r="W1817" s="36"/>
      <c r="X1817" s="40" t="str">
        <f aca="false">IF($M1817="","",$M1817&amp;"#"&amp;COUNTIF($M$4:$M1817,$M1817))</f>
        <v/>
      </c>
      <c r="Y1817" s="40" t="str">
        <f aca="false">IF($B1817="","",IF($C1817="","NIK kosong",IF(LEN($C1817)&lt;&gt;16,"NIK bukan 16 digit",IF(COUNTIF($C$4:$C$2003,$C1817&amp;"*")&gt;1,"NIK ganda",IF(AND($D1817&lt;&gt;"",LEN($D1817)&lt;&gt;16),"No. KK bukan 16 digit",IF(AND($F1817="",$I1817=""),"Alamat kosong",IF($N1817="","Jabatan kosong",IF($O1817="","No. HP kosong",IF(AND($R1817&lt;&gt;"",$R1817&lt;17),"Usia di bawah 17","")))))))))</f>
        <v/>
      </c>
      <c r="Z1817" s="40" t="str">
        <f aca="false">IF($B1817="","",IF(AND(OR(CARI!$C$5="",ISNUMBER(SEARCH(CARI!$C$5,$B1817&amp;" "&amp;$C1817&amp;" "&amp;$D1817&amp;" "&amp;$O1817&amp;" "&amp;$I1817&amp;" "&amp;$F1817&amp;" "&amp;$J1817&amp;" "&amp;$K1817&amp;" "&amp;$L1817&amp;" "&amp;$V1817))),OR(CARI!$C$6="",$F1817=CARI!$C$6),OR(CARI!$C$7="",$G1817=CARI!$C$7),OR(CARI!$C$8="",$T1817=CARI!$C$8)),MAX($Z$3:Z1816)+1,""))</f>
        <v/>
      </c>
      <c r="AA1817" s="40" t="str">
        <f aca="false">IF($Y1817="","",MAX($AA$3:AA1816)+1)</f>
        <v/>
      </c>
      <c r="AB1817" s="40" t="str">
        <f aca="false">IF($F1817="","",$F1817&amp;"#"&amp;COUNTIF($F$4:$F1817,$F1817))</f>
        <v/>
      </c>
      <c r="AC1817" s="40" t="str">
        <f aca="false">IF($B1817="","",IF(AND(OR(CETAK!$J$10="",$F1817=CETAK!$J$10),OR(CETAK!$J$11="",$G1817=CETAK!$J$11),OR(CETAK!$J$12="",$P1817=CETAK!$J$12),OR(CETAK!$J$13="",$N1817=CETAK!$J$13),OR(CETAK!$J$14="",$T1817=CETAK!$J$14)),MAX($AC$3:AC1816)+1,""))</f>
        <v/>
      </c>
      <c r="AD1817" s="40" t="str">
        <f aca="false">IF($B1817="","",IF(AND(OR(ABSENSI!$H$10="",$F1817=ABSENSI!$H$10),OR(ABSENSI!$H$11="",$G1817=ABSENSI!$H$11),OR(ABSENSI!$H$12="",$P1817=ABSENSI!$H$12)),MAX($AD$3:AD1816)+1,""))</f>
        <v/>
      </c>
      <c r="AE1817" s="40" t="str">
        <f aca="false">IF($B1817="","",IF(AND(OR(KARTU!$K$6="",$F1817=KARTU!$K$6),OR(KARTU!$K$7="",$G1817=KARTU!$K$7),OR(KARTU!$K$8="",$P1817=KARTU!$K$8)),MAX($AE$3:AE1816)+1,""))</f>
        <v/>
      </c>
    </row>
    <row r="1818" customFormat="false" ht="15" hidden="false" customHeight="false" outlineLevel="0" collapsed="false">
      <c r="A1818" s="35" t="str">
        <f aca="false">IF($B1818="","",COUNTA($B$4:$B1818))</f>
        <v/>
      </c>
      <c r="B1818" s="36"/>
      <c r="C1818" s="37"/>
      <c r="D1818" s="37"/>
      <c r="E1818" s="38"/>
      <c r="F1818" s="36"/>
      <c r="G1818" s="39"/>
      <c r="H1818" s="39"/>
      <c r="I1818" s="36"/>
      <c r="J1818" s="36"/>
      <c r="K1818" s="36"/>
      <c r="L1818" s="36"/>
      <c r="M1818" s="40" t="str">
        <f aca="false">IF($F1818="","",$F1818&amp;IF($G1818="",""," - RT "&amp;$G1818&amp;IF($H1818="","","/"&amp;$H1818)))</f>
        <v/>
      </c>
      <c r="N1818" s="36"/>
      <c r="O1818" s="37"/>
      <c r="P1818" s="39"/>
      <c r="Q1818" s="41"/>
      <c r="R1818" s="35" t="str">
        <f aca="true">IF(OR($B1818="",$Q1818=""),"",DATEDIF($Q1818,TODAY(),"Y"))</f>
        <v/>
      </c>
      <c r="S1818" s="40" t="str">
        <f aca="false">IF($R1818="","",INDEX(usia_label,MATCH($R1818,usia_min,1)))</f>
        <v/>
      </c>
      <c r="T1818" s="36"/>
      <c r="U1818" s="41"/>
      <c r="V1818" s="36"/>
      <c r="W1818" s="36"/>
      <c r="X1818" s="40" t="str">
        <f aca="false">IF($M1818="","",$M1818&amp;"#"&amp;COUNTIF($M$4:$M1818,$M1818))</f>
        <v/>
      </c>
      <c r="Y1818" s="40" t="str">
        <f aca="false">IF($B1818="","",IF($C1818="","NIK kosong",IF(LEN($C1818)&lt;&gt;16,"NIK bukan 16 digit",IF(COUNTIF($C$4:$C$2003,$C1818&amp;"*")&gt;1,"NIK ganda",IF(AND($D1818&lt;&gt;"",LEN($D1818)&lt;&gt;16),"No. KK bukan 16 digit",IF(AND($F1818="",$I1818=""),"Alamat kosong",IF($N1818="","Jabatan kosong",IF($O1818="","No. HP kosong",IF(AND($R1818&lt;&gt;"",$R1818&lt;17),"Usia di bawah 17","")))))))))</f>
        <v/>
      </c>
      <c r="Z1818" s="40" t="str">
        <f aca="false">IF($B1818="","",IF(AND(OR(CARI!$C$5="",ISNUMBER(SEARCH(CARI!$C$5,$B1818&amp;" "&amp;$C1818&amp;" "&amp;$D1818&amp;" "&amp;$O1818&amp;" "&amp;$I1818&amp;" "&amp;$F1818&amp;" "&amp;$J1818&amp;" "&amp;$K1818&amp;" "&amp;$L1818&amp;" "&amp;$V1818))),OR(CARI!$C$6="",$F1818=CARI!$C$6),OR(CARI!$C$7="",$G1818=CARI!$C$7),OR(CARI!$C$8="",$T1818=CARI!$C$8)),MAX($Z$3:Z1817)+1,""))</f>
        <v/>
      </c>
      <c r="AA1818" s="40" t="str">
        <f aca="false">IF($Y1818="","",MAX($AA$3:AA1817)+1)</f>
        <v/>
      </c>
      <c r="AB1818" s="40" t="str">
        <f aca="false">IF($F1818="","",$F1818&amp;"#"&amp;COUNTIF($F$4:$F1818,$F1818))</f>
        <v/>
      </c>
      <c r="AC1818" s="40" t="str">
        <f aca="false">IF($B1818="","",IF(AND(OR(CETAK!$J$10="",$F1818=CETAK!$J$10),OR(CETAK!$J$11="",$G1818=CETAK!$J$11),OR(CETAK!$J$12="",$P1818=CETAK!$J$12),OR(CETAK!$J$13="",$N1818=CETAK!$J$13),OR(CETAK!$J$14="",$T1818=CETAK!$J$14)),MAX($AC$3:AC1817)+1,""))</f>
        <v/>
      </c>
      <c r="AD1818" s="40" t="str">
        <f aca="false">IF($B1818="","",IF(AND(OR(ABSENSI!$H$10="",$F1818=ABSENSI!$H$10),OR(ABSENSI!$H$11="",$G1818=ABSENSI!$H$11),OR(ABSENSI!$H$12="",$P1818=ABSENSI!$H$12)),MAX($AD$3:AD1817)+1,""))</f>
        <v/>
      </c>
      <c r="AE1818" s="40" t="str">
        <f aca="false">IF($B1818="","",IF(AND(OR(KARTU!$K$6="",$F1818=KARTU!$K$6),OR(KARTU!$K$7="",$G1818=KARTU!$K$7),OR(KARTU!$K$8="",$P1818=KARTU!$K$8)),MAX($AE$3:AE1817)+1,""))</f>
        <v/>
      </c>
    </row>
    <row r="1819" customFormat="false" ht="15" hidden="false" customHeight="false" outlineLevel="0" collapsed="false">
      <c r="A1819" s="35" t="str">
        <f aca="false">IF($B1819="","",COUNTA($B$4:$B1819))</f>
        <v/>
      </c>
      <c r="B1819" s="36"/>
      <c r="C1819" s="37"/>
      <c r="D1819" s="37"/>
      <c r="E1819" s="38"/>
      <c r="F1819" s="36"/>
      <c r="G1819" s="39"/>
      <c r="H1819" s="39"/>
      <c r="I1819" s="36"/>
      <c r="J1819" s="36"/>
      <c r="K1819" s="36"/>
      <c r="L1819" s="36"/>
      <c r="M1819" s="40" t="str">
        <f aca="false">IF($F1819="","",$F1819&amp;IF($G1819="",""," - RT "&amp;$G1819&amp;IF($H1819="","","/"&amp;$H1819)))</f>
        <v/>
      </c>
      <c r="N1819" s="36"/>
      <c r="O1819" s="37"/>
      <c r="P1819" s="39"/>
      <c r="Q1819" s="41"/>
      <c r="R1819" s="35" t="str">
        <f aca="true">IF(OR($B1819="",$Q1819=""),"",DATEDIF($Q1819,TODAY(),"Y"))</f>
        <v/>
      </c>
      <c r="S1819" s="40" t="str">
        <f aca="false">IF($R1819="","",INDEX(usia_label,MATCH($R1819,usia_min,1)))</f>
        <v/>
      </c>
      <c r="T1819" s="36"/>
      <c r="U1819" s="41"/>
      <c r="V1819" s="36"/>
      <c r="W1819" s="36"/>
      <c r="X1819" s="40" t="str">
        <f aca="false">IF($M1819="","",$M1819&amp;"#"&amp;COUNTIF($M$4:$M1819,$M1819))</f>
        <v/>
      </c>
      <c r="Y1819" s="40" t="str">
        <f aca="false">IF($B1819="","",IF($C1819="","NIK kosong",IF(LEN($C1819)&lt;&gt;16,"NIK bukan 16 digit",IF(COUNTIF($C$4:$C$2003,$C1819&amp;"*")&gt;1,"NIK ganda",IF(AND($D1819&lt;&gt;"",LEN($D1819)&lt;&gt;16),"No. KK bukan 16 digit",IF(AND($F1819="",$I1819=""),"Alamat kosong",IF($N1819="","Jabatan kosong",IF($O1819="","No. HP kosong",IF(AND($R1819&lt;&gt;"",$R1819&lt;17),"Usia di bawah 17","")))))))))</f>
        <v/>
      </c>
      <c r="Z1819" s="40" t="str">
        <f aca="false">IF($B1819="","",IF(AND(OR(CARI!$C$5="",ISNUMBER(SEARCH(CARI!$C$5,$B1819&amp;" "&amp;$C1819&amp;" "&amp;$D1819&amp;" "&amp;$O1819&amp;" "&amp;$I1819&amp;" "&amp;$F1819&amp;" "&amp;$J1819&amp;" "&amp;$K1819&amp;" "&amp;$L1819&amp;" "&amp;$V1819))),OR(CARI!$C$6="",$F1819=CARI!$C$6),OR(CARI!$C$7="",$G1819=CARI!$C$7),OR(CARI!$C$8="",$T1819=CARI!$C$8)),MAX($Z$3:Z1818)+1,""))</f>
        <v/>
      </c>
      <c r="AA1819" s="40" t="str">
        <f aca="false">IF($Y1819="","",MAX($AA$3:AA1818)+1)</f>
        <v/>
      </c>
      <c r="AB1819" s="40" t="str">
        <f aca="false">IF($F1819="","",$F1819&amp;"#"&amp;COUNTIF($F$4:$F1819,$F1819))</f>
        <v/>
      </c>
      <c r="AC1819" s="40" t="str">
        <f aca="false">IF($B1819="","",IF(AND(OR(CETAK!$J$10="",$F1819=CETAK!$J$10),OR(CETAK!$J$11="",$G1819=CETAK!$J$11),OR(CETAK!$J$12="",$P1819=CETAK!$J$12),OR(CETAK!$J$13="",$N1819=CETAK!$J$13),OR(CETAK!$J$14="",$T1819=CETAK!$J$14)),MAX($AC$3:AC1818)+1,""))</f>
        <v/>
      </c>
      <c r="AD1819" s="40" t="str">
        <f aca="false">IF($B1819="","",IF(AND(OR(ABSENSI!$H$10="",$F1819=ABSENSI!$H$10),OR(ABSENSI!$H$11="",$G1819=ABSENSI!$H$11),OR(ABSENSI!$H$12="",$P1819=ABSENSI!$H$12)),MAX($AD$3:AD1818)+1,""))</f>
        <v/>
      </c>
      <c r="AE1819" s="40" t="str">
        <f aca="false">IF($B1819="","",IF(AND(OR(KARTU!$K$6="",$F1819=KARTU!$K$6),OR(KARTU!$K$7="",$G1819=KARTU!$K$7),OR(KARTU!$K$8="",$P1819=KARTU!$K$8)),MAX($AE$3:AE1818)+1,""))</f>
        <v/>
      </c>
    </row>
    <row r="1820" customFormat="false" ht="15" hidden="false" customHeight="false" outlineLevel="0" collapsed="false">
      <c r="A1820" s="35" t="str">
        <f aca="false">IF($B1820="","",COUNTA($B$4:$B1820))</f>
        <v/>
      </c>
      <c r="B1820" s="36"/>
      <c r="C1820" s="37"/>
      <c r="D1820" s="37"/>
      <c r="E1820" s="38"/>
      <c r="F1820" s="36"/>
      <c r="G1820" s="39"/>
      <c r="H1820" s="39"/>
      <c r="I1820" s="36"/>
      <c r="J1820" s="36"/>
      <c r="K1820" s="36"/>
      <c r="L1820" s="36"/>
      <c r="M1820" s="40" t="str">
        <f aca="false">IF($F1820="","",$F1820&amp;IF($G1820="",""," - RT "&amp;$G1820&amp;IF($H1820="","","/"&amp;$H1820)))</f>
        <v/>
      </c>
      <c r="N1820" s="36"/>
      <c r="O1820" s="37"/>
      <c r="P1820" s="39"/>
      <c r="Q1820" s="41"/>
      <c r="R1820" s="35" t="str">
        <f aca="true">IF(OR($B1820="",$Q1820=""),"",DATEDIF($Q1820,TODAY(),"Y"))</f>
        <v/>
      </c>
      <c r="S1820" s="40" t="str">
        <f aca="false">IF($R1820="","",INDEX(usia_label,MATCH($R1820,usia_min,1)))</f>
        <v/>
      </c>
      <c r="T1820" s="36"/>
      <c r="U1820" s="41"/>
      <c r="V1820" s="36"/>
      <c r="W1820" s="36"/>
      <c r="X1820" s="40" t="str">
        <f aca="false">IF($M1820="","",$M1820&amp;"#"&amp;COUNTIF($M$4:$M1820,$M1820))</f>
        <v/>
      </c>
      <c r="Y1820" s="40" t="str">
        <f aca="false">IF($B1820="","",IF($C1820="","NIK kosong",IF(LEN($C1820)&lt;&gt;16,"NIK bukan 16 digit",IF(COUNTIF($C$4:$C$2003,$C1820&amp;"*")&gt;1,"NIK ganda",IF(AND($D1820&lt;&gt;"",LEN($D1820)&lt;&gt;16),"No. KK bukan 16 digit",IF(AND($F1820="",$I1820=""),"Alamat kosong",IF($N1820="","Jabatan kosong",IF($O1820="","No. HP kosong",IF(AND($R1820&lt;&gt;"",$R1820&lt;17),"Usia di bawah 17","")))))))))</f>
        <v/>
      </c>
      <c r="Z1820" s="40" t="str">
        <f aca="false">IF($B1820="","",IF(AND(OR(CARI!$C$5="",ISNUMBER(SEARCH(CARI!$C$5,$B1820&amp;" "&amp;$C1820&amp;" "&amp;$D1820&amp;" "&amp;$O1820&amp;" "&amp;$I1820&amp;" "&amp;$F1820&amp;" "&amp;$J1820&amp;" "&amp;$K1820&amp;" "&amp;$L1820&amp;" "&amp;$V1820))),OR(CARI!$C$6="",$F1820=CARI!$C$6),OR(CARI!$C$7="",$G1820=CARI!$C$7),OR(CARI!$C$8="",$T1820=CARI!$C$8)),MAX($Z$3:Z1819)+1,""))</f>
        <v/>
      </c>
      <c r="AA1820" s="40" t="str">
        <f aca="false">IF($Y1820="","",MAX($AA$3:AA1819)+1)</f>
        <v/>
      </c>
      <c r="AB1820" s="40" t="str">
        <f aca="false">IF($F1820="","",$F1820&amp;"#"&amp;COUNTIF($F$4:$F1820,$F1820))</f>
        <v/>
      </c>
      <c r="AC1820" s="40" t="str">
        <f aca="false">IF($B1820="","",IF(AND(OR(CETAK!$J$10="",$F1820=CETAK!$J$10),OR(CETAK!$J$11="",$G1820=CETAK!$J$11),OR(CETAK!$J$12="",$P1820=CETAK!$J$12),OR(CETAK!$J$13="",$N1820=CETAK!$J$13),OR(CETAK!$J$14="",$T1820=CETAK!$J$14)),MAX($AC$3:AC1819)+1,""))</f>
        <v/>
      </c>
      <c r="AD1820" s="40" t="str">
        <f aca="false">IF($B1820="","",IF(AND(OR(ABSENSI!$H$10="",$F1820=ABSENSI!$H$10),OR(ABSENSI!$H$11="",$G1820=ABSENSI!$H$11),OR(ABSENSI!$H$12="",$P1820=ABSENSI!$H$12)),MAX($AD$3:AD1819)+1,""))</f>
        <v/>
      </c>
      <c r="AE1820" s="40" t="str">
        <f aca="false">IF($B1820="","",IF(AND(OR(KARTU!$K$6="",$F1820=KARTU!$K$6),OR(KARTU!$K$7="",$G1820=KARTU!$K$7),OR(KARTU!$K$8="",$P1820=KARTU!$K$8)),MAX($AE$3:AE1819)+1,""))</f>
        <v/>
      </c>
    </row>
    <row r="1821" customFormat="false" ht="15" hidden="false" customHeight="false" outlineLevel="0" collapsed="false">
      <c r="A1821" s="35" t="str">
        <f aca="false">IF($B1821="","",COUNTA($B$4:$B1821))</f>
        <v/>
      </c>
      <c r="B1821" s="36"/>
      <c r="C1821" s="37"/>
      <c r="D1821" s="37"/>
      <c r="E1821" s="38"/>
      <c r="F1821" s="36"/>
      <c r="G1821" s="39"/>
      <c r="H1821" s="39"/>
      <c r="I1821" s="36"/>
      <c r="J1821" s="36"/>
      <c r="K1821" s="36"/>
      <c r="L1821" s="36"/>
      <c r="M1821" s="40" t="str">
        <f aca="false">IF($F1821="","",$F1821&amp;IF($G1821="",""," - RT "&amp;$G1821&amp;IF($H1821="","","/"&amp;$H1821)))</f>
        <v/>
      </c>
      <c r="N1821" s="36"/>
      <c r="O1821" s="37"/>
      <c r="P1821" s="39"/>
      <c r="Q1821" s="41"/>
      <c r="R1821" s="35" t="str">
        <f aca="true">IF(OR($B1821="",$Q1821=""),"",DATEDIF($Q1821,TODAY(),"Y"))</f>
        <v/>
      </c>
      <c r="S1821" s="40" t="str">
        <f aca="false">IF($R1821="","",INDEX(usia_label,MATCH($R1821,usia_min,1)))</f>
        <v/>
      </c>
      <c r="T1821" s="36"/>
      <c r="U1821" s="41"/>
      <c r="V1821" s="36"/>
      <c r="W1821" s="36"/>
      <c r="X1821" s="40" t="str">
        <f aca="false">IF($M1821="","",$M1821&amp;"#"&amp;COUNTIF($M$4:$M1821,$M1821))</f>
        <v/>
      </c>
      <c r="Y1821" s="40" t="str">
        <f aca="false">IF($B1821="","",IF($C1821="","NIK kosong",IF(LEN($C1821)&lt;&gt;16,"NIK bukan 16 digit",IF(COUNTIF($C$4:$C$2003,$C1821&amp;"*")&gt;1,"NIK ganda",IF(AND($D1821&lt;&gt;"",LEN($D1821)&lt;&gt;16),"No. KK bukan 16 digit",IF(AND($F1821="",$I1821=""),"Alamat kosong",IF($N1821="","Jabatan kosong",IF($O1821="","No. HP kosong",IF(AND($R1821&lt;&gt;"",$R1821&lt;17),"Usia di bawah 17","")))))))))</f>
        <v/>
      </c>
      <c r="Z1821" s="40" t="str">
        <f aca="false">IF($B1821="","",IF(AND(OR(CARI!$C$5="",ISNUMBER(SEARCH(CARI!$C$5,$B1821&amp;" "&amp;$C1821&amp;" "&amp;$D1821&amp;" "&amp;$O1821&amp;" "&amp;$I1821&amp;" "&amp;$F1821&amp;" "&amp;$J1821&amp;" "&amp;$K1821&amp;" "&amp;$L1821&amp;" "&amp;$V1821))),OR(CARI!$C$6="",$F1821=CARI!$C$6),OR(CARI!$C$7="",$G1821=CARI!$C$7),OR(CARI!$C$8="",$T1821=CARI!$C$8)),MAX($Z$3:Z1820)+1,""))</f>
        <v/>
      </c>
      <c r="AA1821" s="40" t="str">
        <f aca="false">IF($Y1821="","",MAX($AA$3:AA1820)+1)</f>
        <v/>
      </c>
      <c r="AB1821" s="40" t="str">
        <f aca="false">IF($F1821="","",$F1821&amp;"#"&amp;COUNTIF($F$4:$F1821,$F1821))</f>
        <v/>
      </c>
      <c r="AC1821" s="40" t="str">
        <f aca="false">IF($B1821="","",IF(AND(OR(CETAK!$J$10="",$F1821=CETAK!$J$10),OR(CETAK!$J$11="",$G1821=CETAK!$J$11),OR(CETAK!$J$12="",$P1821=CETAK!$J$12),OR(CETAK!$J$13="",$N1821=CETAK!$J$13),OR(CETAK!$J$14="",$T1821=CETAK!$J$14)),MAX($AC$3:AC1820)+1,""))</f>
        <v/>
      </c>
      <c r="AD1821" s="40" t="str">
        <f aca="false">IF($B1821="","",IF(AND(OR(ABSENSI!$H$10="",$F1821=ABSENSI!$H$10),OR(ABSENSI!$H$11="",$G1821=ABSENSI!$H$11),OR(ABSENSI!$H$12="",$P1821=ABSENSI!$H$12)),MAX($AD$3:AD1820)+1,""))</f>
        <v/>
      </c>
      <c r="AE1821" s="40" t="str">
        <f aca="false">IF($B1821="","",IF(AND(OR(KARTU!$K$6="",$F1821=KARTU!$K$6),OR(KARTU!$K$7="",$G1821=KARTU!$K$7),OR(KARTU!$K$8="",$P1821=KARTU!$K$8)),MAX($AE$3:AE1820)+1,""))</f>
        <v/>
      </c>
    </row>
    <row r="1822" customFormat="false" ht="15" hidden="false" customHeight="false" outlineLevel="0" collapsed="false">
      <c r="A1822" s="35" t="str">
        <f aca="false">IF($B1822="","",COUNTA($B$4:$B1822))</f>
        <v/>
      </c>
      <c r="B1822" s="36"/>
      <c r="C1822" s="37"/>
      <c r="D1822" s="37"/>
      <c r="E1822" s="38"/>
      <c r="F1822" s="36"/>
      <c r="G1822" s="39"/>
      <c r="H1822" s="39"/>
      <c r="I1822" s="36"/>
      <c r="J1822" s="36"/>
      <c r="K1822" s="36"/>
      <c r="L1822" s="36"/>
      <c r="M1822" s="40" t="str">
        <f aca="false">IF($F1822="","",$F1822&amp;IF($G1822="",""," - RT "&amp;$G1822&amp;IF($H1822="","","/"&amp;$H1822)))</f>
        <v/>
      </c>
      <c r="N1822" s="36"/>
      <c r="O1822" s="37"/>
      <c r="P1822" s="39"/>
      <c r="Q1822" s="41"/>
      <c r="R1822" s="35" t="str">
        <f aca="true">IF(OR($B1822="",$Q1822=""),"",DATEDIF($Q1822,TODAY(),"Y"))</f>
        <v/>
      </c>
      <c r="S1822" s="40" t="str">
        <f aca="false">IF($R1822="","",INDEX(usia_label,MATCH($R1822,usia_min,1)))</f>
        <v/>
      </c>
      <c r="T1822" s="36"/>
      <c r="U1822" s="41"/>
      <c r="V1822" s="36"/>
      <c r="W1822" s="36"/>
      <c r="X1822" s="40" t="str">
        <f aca="false">IF($M1822="","",$M1822&amp;"#"&amp;COUNTIF($M$4:$M1822,$M1822))</f>
        <v/>
      </c>
      <c r="Y1822" s="40" t="str">
        <f aca="false">IF($B1822="","",IF($C1822="","NIK kosong",IF(LEN($C1822)&lt;&gt;16,"NIK bukan 16 digit",IF(COUNTIF($C$4:$C$2003,$C1822&amp;"*")&gt;1,"NIK ganda",IF(AND($D1822&lt;&gt;"",LEN($D1822)&lt;&gt;16),"No. KK bukan 16 digit",IF(AND($F1822="",$I1822=""),"Alamat kosong",IF($N1822="","Jabatan kosong",IF($O1822="","No. HP kosong",IF(AND($R1822&lt;&gt;"",$R1822&lt;17),"Usia di bawah 17","")))))))))</f>
        <v/>
      </c>
      <c r="Z1822" s="40" t="str">
        <f aca="false">IF($B1822="","",IF(AND(OR(CARI!$C$5="",ISNUMBER(SEARCH(CARI!$C$5,$B1822&amp;" "&amp;$C1822&amp;" "&amp;$D1822&amp;" "&amp;$O1822&amp;" "&amp;$I1822&amp;" "&amp;$F1822&amp;" "&amp;$J1822&amp;" "&amp;$K1822&amp;" "&amp;$L1822&amp;" "&amp;$V1822))),OR(CARI!$C$6="",$F1822=CARI!$C$6),OR(CARI!$C$7="",$G1822=CARI!$C$7),OR(CARI!$C$8="",$T1822=CARI!$C$8)),MAX($Z$3:Z1821)+1,""))</f>
        <v/>
      </c>
      <c r="AA1822" s="40" t="str">
        <f aca="false">IF($Y1822="","",MAX($AA$3:AA1821)+1)</f>
        <v/>
      </c>
      <c r="AB1822" s="40" t="str">
        <f aca="false">IF($F1822="","",$F1822&amp;"#"&amp;COUNTIF($F$4:$F1822,$F1822))</f>
        <v/>
      </c>
      <c r="AC1822" s="40" t="str">
        <f aca="false">IF($B1822="","",IF(AND(OR(CETAK!$J$10="",$F1822=CETAK!$J$10),OR(CETAK!$J$11="",$G1822=CETAK!$J$11),OR(CETAK!$J$12="",$P1822=CETAK!$J$12),OR(CETAK!$J$13="",$N1822=CETAK!$J$13),OR(CETAK!$J$14="",$T1822=CETAK!$J$14)),MAX($AC$3:AC1821)+1,""))</f>
        <v/>
      </c>
      <c r="AD1822" s="40" t="str">
        <f aca="false">IF($B1822="","",IF(AND(OR(ABSENSI!$H$10="",$F1822=ABSENSI!$H$10),OR(ABSENSI!$H$11="",$G1822=ABSENSI!$H$11),OR(ABSENSI!$H$12="",$P1822=ABSENSI!$H$12)),MAX($AD$3:AD1821)+1,""))</f>
        <v/>
      </c>
      <c r="AE1822" s="40" t="str">
        <f aca="false">IF($B1822="","",IF(AND(OR(KARTU!$K$6="",$F1822=KARTU!$K$6),OR(KARTU!$K$7="",$G1822=KARTU!$K$7),OR(KARTU!$K$8="",$P1822=KARTU!$K$8)),MAX($AE$3:AE1821)+1,""))</f>
        <v/>
      </c>
    </row>
    <row r="1823" customFormat="false" ht="15" hidden="false" customHeight="false" outlineLevel="0" collapsed="false">
      <c r="A1823" s="35" t="str">
        <f aca="false">IF($B1823="","",COUNTA($B$4:$B1823))</f>
        <v/>
      </c>
      <c r="B1823" s="36"/>
      <c r="C1823" s="37"/>
      <c r="D1823" s="37"/>
      <c r="E1823" s="38"/>
      <c r="F1823" s="36"/>
      <c r="G1823" s="39"/>
      <c r="H1823" s="39"/>
      <c r="I1823" s="36"/>
      <c r="J1823" s="36"/>
      <c r="K1823" s="36"/>
      <c r="L1823" s="36"/>
      <c r="M1823" s="40" t="str">
        <f aca="false">IF($F1823="","",$F1823&amp;IF($G1823="",""," - RT "&amp;$G1823&amp;IF($H1823="","","/"&amp;$H1823)))</f>
        <v/>
      </c>
      <c r="N1823" s="36"/>
      <c r="O1823" s="37"/>
      <c r="P1823" s="39"/>
      <c r="Q1823" s="41"/>
      <c r="R1823" s="35" t="str">
        <f aca="true">IF(OR($B1823="",$Q1823=""),"",DATEDIF($Q1823,TODAY(),"Y"))</f>
        <v/>
      </c>
      <c r="S1823" s="40" t="str">
        <f aca="false">IF($R1823="","",INDEX(usia_label,MATCH($R1823,usia_min,1)))</f>
        <v/>
      </c>
      <c r="T1823" s="36"/>
      <c r="U1823" s="41"/>
      <c r="V1823" s="36"/>
      <c r="W1823" s="36"/>
      <c r="X1823" s="40" t="str">
        <f aca="false">IF($M1823="","",$M1823&amp;"#"&amp;COUNTIF($M$4:$M1823,$M1823))</f>
        <v/>
      </c>
      <c r="Y1823" s="40" t="str">
        <f aca="false">IF($B1823="","",IF($C1823="","NIK kosong",IF(LEN($C1823)&lt;&gt;16,"NIK bukan 16 digit",IF(COUNTIF($C$4:$C$2003,$C1823&amp;"*")&gt;1,"NIK ganda",IF(AND($D1823&lt;&gt;"",LEN($D1823)&lt;&gt;16),"No. KK bukan 16 digit",IF(AND($F1823="",$I1823=""),"Alamat kosong",IF($N1823="","Jabatan kosong",IF($O1823="","No. HP kosong",IF(AND($R1823&lt;&gt;"",$R1823&lt;17),"Usia di bawah 17","")))))))))</f>
        <v/>
      </c>
      <c r="Z1823" s="40" t="str">
        <f aca="false">IF($B1823="","",IF(AND(OR(CARI!$C$5="",ISNUMBER(SEARCH(CARI!$C$5,$B1823&amp;" "&amp;$C1823&amp;" "&amp;$D1823&amp;" "&amp;$O1823&amp;" "&amp;$I1823&amp;" "&amp;$F1823&amp;" "&amp;$J1823&amp;" "&amp;$K1823&amp;" "&amp;$L1823&amp;" "&amp;$V1823))),OR(CARI!$C$6="",$F1823=CARI!$C$6),OR(CARI!$C$7="",$G1823=CARI!$C$7),OR(CARI!$C$8="",$T1823=CARI!$C$8)),MAX($Z$3:Z1822)+1,""))</f>
        <v/>
      </c>
      <c r="AA1823" s="40" t="str">
        <f aca="false">IF($Y1823="","",MAX($AA$3:AA1822)+1)</f>
        <v/>
      </c>
      <c r="AB1823" s="40" t="str">
        <f aca="false">IF($F1823="","",$F1823&amp;"#"&amp;COUNTIF($F$4:$F1823,$F1823))</f>
        <v/>
      </c>
      <c r="AC1823" s="40" t="str">
        <f aca="false">IF($B1823="","",IF(AND(OR(CETAK!$J$10="",$F1823=CETAK!$J$10),OR(CETAK!$J$11="",$G1823=CETAK!$J$11),OR(CETAK!$J$12="",$P1823=CETAK!$J$12),OR(CETAK!$J$13="",$N1823=CETAK!$J$13),OR(CETAK!$J$14="",$T1823=CETAK!$J$14)),MAX($AC$3:AC1822)+1,""))</f>
        <v/>
      </c>
      <c r="AD1823" s="40" t="str">
        <f aca="false">IF($B1823="","",IF(AND(OR(ABSENSI!$H$10="",$F1823=ABSENSI!$H$10),OR(ABSENSI!$H$11="",$G1823=ABSENSI!$H$11),OR(ABSENSI!$H$12="",$P1823=ABSENSI!$H$12)),MAX($AD$3:AD1822)+1,""))</f>
        <v/>
      </c>
      <c r="AE1823" s="40" t="str">
        <f aca="false">IF($B1823="","",IF(AND(OR(KARTU!$K$6="",$F1823=KARTU!$K$6),OR(KARTU!$K$7="",$G1823=KARTU!$K$7),OR(KARTU!$K$8="",$P1823=KARTU!$K$8)),MAX($AE$3:AE1822)+1,""))</f>
        <v/>
      </c>
    </row>
    <row r="1824" customFormat="false" ht="15" hidden="false" customHeight="false" outlineLevel="0" collapsed="false">
      <c r="A1824" s="35" t="str">
        <f aca="false">IF($B1824="","",COUNTA($B$4:$B1824))</f>
        <v/>
      </c>
      <c r="B1824" s="36"/>
      <c r="C1824" s="37"/>
      <c r="D1824" s="37"/>
      <c r="E1824" s="38"/>
      <c r="F1824" s="36"/>
      <c r="G1824" s="39"/>
      <c r="H1824" s="39"/>
      <c r="I1824" s="36"/>
      <c r="J1824" s="36"/>
      <c r="K1824" s="36"/>
      <c r="L1824" s="36"/>
      <c r="M1824" s="40" t="str">
        <f aca="false">IF($F1824="","",$F1824&amp;IF($G1824="",""," - RT "&amp;$G1824&amp;IF($H1824="","","/"&amp;$H1824)))</f>
        <v/>
      </c>
      <c r="N1824" s="36"/>
      <c r="O1824" s="37"/>
      <c r="P1824" s="39"/>
      <c r="Q1824" s="41"/>
      <c r="R1824" s="35" t="str">
        <f aca="true">IF(OR($B1824="",$Q1824=""),"",DATEDIF($Q1824,TODAY(),"Y"))</f>
        <v/>
      </c>
      <c r="S1824" s="40" t="str">
        <f aca="false">IF($R1824="","",INDEX(usia_label,MATCH($R1824,usia_min,1)))</f>
        <v/>
      </c>
      <c r="T1824" s="36"/>
      <c r="U1824" s="41"/>
      <c r="V1824" s="36"/>
      <c r="W1824" s="36"/>
      <c r="X1824" s="40" t="str">
        <f aca="false">IF($M1824="","",$M1824&amp;"#"&amp;COUNTIF($M$4:$M1824,$M1824))</f>
        <v/>
      </c>
      <c r="Y1824" s="40" t="str">
        <f aca="false">IF($B1824="","",IF($C1824="","NIK kosong",IF(LEN($C1824)&lt;&gt;16,"NIK bukan 16 digit",IF(COUNTIF($C$4:$C$2003,$C1824&amp;"*")&gt;1,"NIK ganda",IF(AND($D1824&lt;&gt;"",LEN($D1824)&lt;&gt;16),"No. KK bukan 16 digit",IF(AND($F1824="",$I1824=""),"Alamat kosong",IF($N1824="","Jabatan kosong",IF($O1824="","No. HP kosong",IF(AND($R1824&lt;&gt;"",$R1824&lt;17),"Usia di bawah 17","")))))))))</f>
        <v/>
      </c>
      <c r="Z1824" s="40" t="str">
        <f aca="false">IF($B1824="","",IF(AND(OR(CARI!$C$5="",ISNUMBER(SEARCH(CARI!$C$5,$B1824&amp;" "&amp;$C1824&amp;" "&amp;$D1824&amp;" "&amp;$O1824&amp;" "&amp;$I1824&amp;" "&amp;$F1824&amp;" "&amp;$J1824&amp;" "&amp;$K1824&amp;" "&amp;$L1824&amp;" "&amp;$V1824))),OR(CARI!$C$6="",$F1824=CARI!$C$6),OR(CARI!$C$7="",$G1824=CARI!$C$7),OR(CARI!$C$8="",$T1824=CARI!$C$8)),MAX($Z$3:Z1823)+1,""))</f>
        <v/>
      </c>
      <c r="AA1824" s="40" t="str">
        <f aca="false">IF($Y1824="","",MAX($AA$3:AA1823)+1)</f>
        <v/>
      </c>
      <c r="AB1824" s="40" t="str">
        <f aca="false">IF($F1824="","",$F1824&amp;"#"&amp;COUNTIF($F$4:$F1824,$F1824))</f>
        <v/>
      </c>
      <c r="AC1824" s="40" t="str">
        <f aca="false">IF($B1824="","",IF(AND(OR(CETAK!$J$10="",$F1824=CETAK!$J$10),OR(CETAK!$J$11="",$G1824=CETAK!$J$11),OR(CETAK!$J$12="",$P1824=CETAK!$J$12),OR(CETAK!$J$13="",$N1824=CETAK!$J$13),OR(CETAK!$J$14="",$T1824=CETAK!$J$14)),MAX($AC$3:AC1823)+1,""))</f>
        <v/>
      </c>
      <c r="AD1824" s="40" t="str">
        <f aca="false">IF($B1824="","",IF(AND(OR(ABSENSI!$H$10="",$F1824=ABSENSI!$H$10),OR(ABSENSI!$H$11="",$G1824=ABSENSI!$H$11),OR(ABSENSI!$H$12="",$P1824=ABSENSI!$H$12)),MAX($AD$3:AD1823)+1,""))</f>
        <v/>
      </c>
      <c r="AE1824" s="40" t="str">
        <f aca="false">IF($B1824="","",IF(AND(OR(KARTU!$K$6="",$F1824=KARTU!$K$6),OR(KARTU!$K$7="",$G1824=KARTU!$K$7),OR(KARTU!$K$8="",$P1824=KARTU!$K$8)),MAX($AE$3:AE1823)+1,""))</f>
        <v/>
      </c>
    </row>
    <row r="1825" customFormat="false" ht="15" hidden="false" customHeight="false" outlineLevel="0" collapsed="false">
      <c r="A1825" s="35" t="str">
        <f aca="false">IF($B1825="","",COUNTA($B$4:$B1825))</f>
        <v/>
      </c>
      <c r="B1825" s="36"/>
      <c r="C1825" s="37"/>
      <c r="D1825" s="37"/>
      <c r="E1825" s="38"/>
      <c r="F1825" s="36"/>
      <c r="G1825" s="39"/>
      <c r="H1825" s="39"/>
      <c r="I1825" s="36"/>
      <c r="J1825" s="36"/>
      <c r="K1825" s="36"/>
      <c r="L1825" s="36"/>
      <c r="M1825" s="40" t="str">
        <f aca="false">IF($F1825="","",$F1825&amp;IF($G1825="",""," - RT "&amp;$G1825&amp;IF($H1825="","","/"&amp;$H1825)))</f>
        <v/>
      </c>
      <c r="N1825" s="36"/>
      <c r="O1825" s="37"/>
      <c r="P1825" s="39"/>
      <c r="Q1825" s="41"/>
      <c r="R1825" s="35" t="str">
        <f aca="true">IF(OR($B1825="",$Q1825=""),"",DATEDIF($Q1825,TODAY(),"Y"))</f>
        <v/>
      </c>
      <c r="S1825" s="40" t="str">
        <f aca="false">IF($R1825="","",INDEX(usia_label,MATCH($R1825,usia_min,1)))</f>
        <v/>
      </c>
      <c r="T1825" s="36"/>
      <c r="U1825" s="41"/>
      <c r="V1825" s="36"/>
      <c r="W1825" s="36"/>
      <c r="X1825" s="40" t="str">
        <f aca="false">IF($M1825="","",$M1825&amp;"#"&amp;COUNTIF($M$4:$M1825,$M1825))</f>
        <v/>
      </c>
      <c r="Y1825" s="40" t="str">
        <f aca="false">IF($B1825="","",IF($C1825="","NIK kosong",IF(LEN($C1825)&lt;&gt;16,"NIK bukan 16 digit",IF(COUNTIF($C$4:$C$2003,$C1825&amp;"*")&gt;1,"NIK ganda",IF(AND($D1825&lt;&gt;"",LEN($D1825)&lt;&gt;16),"No. KK bukan 16 digit",IF(AND($F1825="",$I1825=""),"Alamat kosong",IF($N1825="","Jabatan kosong",IF($O1825="","No. HP kosong",IF(AND($R1825&lt;&gt;"",$R1825&lt;17),"Usia di bawah 17","")))))))))</f>
        <v/>
      </c>
      <c r="Z1825" s="40" t="str">
        <f aca="false">IF($B1825="","",IF(AND(OR(CARI!$C$5="",ISNUMBER(SEARCH(CARI!$C$5,$B1825&amp;" "&amp;$C1825&amp;" "&amp;$D1825&amp;" "&amp;$O1825&amp;" "&amp;$I1825&amp;" "&amp;$F1825&amp;" "&amp;$J1825&amp;" "&amp;$K1825&amp;" "&amp;$L1825&amp;" "&amp;$V1825))),OR(CARI!$C$6="",$F1825=CARI!$C$6),OR(CARI!$C$7="",$G1825=CARI!$C$7),OR(CARI!$C$8="",$T1825=CARI!$C$8)),MAX($Z$3:Z1824)+1,""))</f>
        <v/>
      </c>
      <c r="AA1825" s="40" t="str">
        <f aca="false">IF($Y1825="","",MAX($AA$3:AA1824)+1)</f>
        <v/>
      </c>
      <c r="AB1825" s="40" t="str">
        <f aca="false">IF($F1825="","",$F1825&amp;"#"&amp;COUNTIF($F$4:$F1825,$F1825))</f>
        <v/>
      </c>
      <c r="AC1825" s="40" t="str">
        <f aca="false">IF($B1825="","",IF(AND(OR(CETAK!$J$10="",$F1825=CETAK!$J$10),OR(CETAK!$J$11="",$G1825=CETAK!$J$11),OR(CETAK!$J$12="",$P1825=CETAK!$J$12),OR(CETAK!$J$13="",$N1825=CETAK!$J$13),OR(CETAK!$J$14="",$T1825=CETAK!$J$14)),MAX($AC$3:AC1824)+1,""))</f>
        <v/>
      </c>
      <c r="AD1825" s="40" t="str">
        <f aca="false">IF($B1825="","",IF(AND(OR(ABSENSI!$H$10="",$F1825=ABSENSI!$H$10),OR(ABSENSI!$H$11="",$G1825=ABSENSI!$H$11),OR(ABSENSI!$H$12="",$P1825=ABSENSI!$H$12)),MAX($AD$3:AD1824)+1,""))</f>
        <v/>
      </c>
      <c r="AE1825" s="40" t="str">
        <f aca="false">IF($B1825="","",IF(AND(OR(KARTU!$K$6="",$F1825=KARTU!$K$6),OR(KARTU!$K$7="",$G1825=KARTU!$K$7),OR(KARTU!$K$8="",$P1825=KARTU!$K$8)),MAX($AE$3:AE1824)+1,""))</f>
        <v/>
      </c>
    </row>
    <row r="1826" customFormat="false" ht="15" hidden="false" customHeight="false" outlineLevel="0" collapsed="false">
      <c r="A1826" s="35" t="str">
        <f aca="false">IF($B1826="","",COUNTA($B$4:$B1826))</f>
        <v/>
      </c>
      <c r="B1826" s="36"/>
      <c r="C1826" s="37"/>
      <c r="D1826" s="37"/>
      <c r="E1826" s="38"/>
      <c r="F1826" s="36"/>
      <c r="G1826" s="39"/>
      <c r="H1826" s="39"/>
      <c r="I1826" s="36"/>
      <c r="J1826" s="36"/>
      <c r="K1826" s="36"/>
      <c r="L1826" s="36"/>
      <c r="M1826" s="40" t="str">
        <f aca="false">IF($F1826="","",$F1826&amp;IF($G1826="",""," - RT "&amp;$G1826&amp;IF($H1826="","","/"&amp;$H1826)))</f>
        <v/>
      </c>
      <c r="N1826" s="36"/>
      <c r="O1826" s="37"/>
      <c r="P1826" s="39"/>
      <c r="Q1826" s="41"/>
      <c r="R1826" s="35" t="str">
        <f aca="true">IF(OR($B1826="",$Q1826=""),"",DATEDIF($Q1826,TODAY(),"Y"))</f>
        <v/>
      </c>
      <c r="S1826" s="40" t="str">
        <f aca="false">IF($R1826="","",INDEX(usia_label,MATCH($R1826,usia_min,1)))</f>
        <v/>
      </c>
      <c r="T1826" s="36"/>
      <c r="U1826" s="41"/>
      <c r="V1826" s="36"/>
      <c r="W1826" s="36"/>
      <c r="X1826" s="40" t="str">
        <f aca="false">IF($M1826="","",$M1826&amp;"#"&amp;COUNTIF($M$4:$M1826,$M1826))</f>
        <v/>
      </c>
      <c r="Y1826" s="40" t="str">
        <f aca="false">IF($B1826="","",IF($C1826="","NIK kosong",IF(LEN($C1826)&lt;&gt;16,"NIK bukan 16 digit",IF(COUNTIF($C$4:$C$2003,$C1826&amp;"*")&gt;1,"NIK ganda",IF(AND($D1826&lt;&gt;"",LEN($D1826)&lt;&gt;16),"No. KK bukan 16 digit",IF(AND($F1826="",$I1826=""),"Alamat kosong",IF($N1826="","Jabatan kosong",IF($O1826="","No. HP kosong",IF(AND($R1826&lt;&gt;"",$R1826&lt;17),"Usia di bawah 17","")))))))))</f>
        <v/>
      </c>
      <c r="Z1826" s="40" t="str">
        <f aca="false">IF($B1826="","",IF(AND(OR(CARI!$C$5="",ISNUMBER(SEARCH(CARI!$C$5,$B1826&amp;" "&amp;$C1826&amp;" "&amp;$D1826&amp;" "&amp;$O1826&amp;" "&amp;$I1826&amp;" "&amp;$F1826&amp;" "&amp;$J1826&amp;" "&amp;$K1826&amp;" "&amp;$L1826&amp;" "&amp;$V1826))),OR(CARI!$C$6="",$F1826=CARI!$C$6),OR(CARI!$C$7="",$G1826=CARI!$C$7),OR(CARI!$C$8="",$T1826=CARI!$C$8)),MAX($Z$3:Z1825)+1,""))</f>
        <v/>
      </c>
      <c r="AA1826" s="40" t="str">
        <f aca="false">IF($Y1826="","",MAX($AA$3:AA1825)+1)</f>
        <v/>
      </c>
      <c r="AB1826" s="40" t="str">
        <f aca="false">IF($F1826="","",$F1826&amp;"#"&amp;COUNTIF($F$4:$F1826,$F1826))</f>
        <v/>
      </c>
      <c r="AC1826" s="40" t="str">
        <f aca="false">IF($B1826="","",IF(AND(OR(CETAK!$J$10="",$F1826=CETAK!$J$10),OR(CETAK!$J$11="",$G1826=CETAK!$J$11),OR(CETAK!$J$12="",$P1826=CETAK!$J$12),OR(CETAK!$J$13="",$N1826=CETAK!$J$13),OR(CETAK!$J$14="",$T1826=CETAK!$J$14)),MAX($AC$3:AC1825)+1,""))</f>
        <v/>
      </c>
      <c r="AD1826" s="40" t="str">
        <f aca="false">IF($B1826="","",IF(AND(OR(ABSENSI!$H$10="",$F1826=ABSENSI!$H$10),OR(ABSENSI!$H$11="",$G1826=ABSENSI!$H$11),OR(ABSENSI!$H$12="",$P1826=ABSENSI!$H$12)),MAX($AD$3:AD1825)+1,""))</f>
        <v/>
      </c>
      <c r="AE1826" s="40" t="str">
        <f aca="false">IF($B1826="","",IF(AND(OR(KARTU!$K$6="",$F1826=KARTU!$K$6),OR(KARTU!$K$7="",$G1826=KARTU!$K$7),OR(KARTU!$K$8="",$P1826=KARTU!$K$8)),MAX($AE$3:AE1825)+1,""))</f>
        <v/>
      </c>
    </row>
    <row r="1827" customFormat="false" ht="15" hidden="false" customHeight="false" outlineLevel="0" collapsed="false">
      <c r="A1827" s="35" t="str">
        <f aca="false">IF($B1827="","",COUNTA($B$4:$B1827))</f>
        <v/>
      </c>
      <c r="B1827" s="36"/>
      <c r="C1827" s="37"/>
      <c r="D1827" s="37"/>
      <c r="E1827" s="38"/>
      <c r="F1827" s="36"/>
      <c r="G1827" s="39"/>
      <c r="H1827" s="39"/>
      <c r="I1827" s="36"/>
      <c r="J1827" s="36"/>
      <c r="K1827" s="36"/>
      <c r="L1827" s="36"/>
      <c r="M1827" s="40" t="str">
        <f aca="false">IF($F1827="","",$F1827&amp;IF($G1827="",""," - RT "&amp;$G1827&amp;IF($H1827="","","/"&amp;$H1827)))</f>
        <v/>
      </c>
      <c r="N1827" s="36"/>
      <c r="O1827" s="37"/>
      <c r="P1827" s="39"/>
      <c r="Q1827" s="41"/>
      <c r="R1827" s="35" t="str">
        <f aca="true">IF(OR($B1827="",$Q1827=""),"",DATEDIF($Q1827,TODAY(),"Y"))</f>
        <v/>
      </c>
      <c r="S1827" s="40" t="str">
        <f aca="false">IF($R1827="","",INDEX(usia_label,MATCH($R1827,usia_min,1)))</f>
        <v/>
      </c>
      <c r="T1827" s="36"/>
      <c r="U1827" s="41"/>
      <c r="V1827" s="36"/>
      <c r="W1827" s="36"/>
      <c r="X1827" s="40" t="str">
        <f aca="false">IF($M1827="","",$M1827&amp;"#"&amp;COUNTIF($M$4:$M1827,$M1827))</f>
        <v/>
      </c>
      <c r="Y1827" s="40" t="str">
        <f aca="false">IF($B1827="","",IF($C1827="","NIK kosong",IF(LEN($C1827)&lt;&gt;16,"NIK bukan 16 digit",IF(COUNTIF($C$4:$C$2003,$C1827&amp;"*")&gt;1,"NIK ganda",IF(AND($D1827&lt;&gt;"",LEN($D1827)&lt;&gt;16),"No. KK bukan 16 digit",IF(AND($F1827="",$I1827=""),"Alamat kosong",IF($N1827="","Jabatan kosong",IF($O1827="","No. HP kosong",IF(AND($R1827&lt;&gt;"",$R1827&lt;17),"Usia di bawah 17","")))))))))</f>
        <v/>
      </c>
      <c r="Z1827" s="40" t="str">
        <f aca="false">IF($B1827="","",IF(AND(OR(CARI!$C$5="",ISNUMBER(SEARCH(CARI!$C$5,$B1827&amp;" "&amp;$C1827&amp;" "&amp;$D1827&amp;" "&amp;$O1827&amp;" "&amp;$I1827&amp;" "&amp;$F1827&amp;" "&amp;$J1827&amp;" "&amp;$K1827&amp;" "&amp;$L1827&amp;" "&amp;$V1827))),OR(CARI!$C$6="",$F1827=CARI!$C$6),OR(CARI!$C$7="",$G1827=CARI!$C$7),OR(CARI!$C$8="",$T1827=CARI!$C$8)),MAX($Z$3:Z1826)+1,""))</f>
        <v/>
      </c>
      <c r="AA1827" s="40" t="str">
        <f aca="false">IF($Y1827="","",MAX($AA$3:AA1826)+1)</f>
        <v/>
      </c>
      <c r="AB1827" s="40" t="str">
        <f aca="false">IF($F1827="","",$F1827&amp;"#"&amp;COUNTIF($F$4:$F1827,$F1827))</f>
        <v/>
      </c>
      <c r="AC1827" s="40" t="str">
        <f aca="false">IF($B1827="","",IF(AND(OR(CETAK!$J$10="",$F1827=CETAK!$J$10),OR(CETAK!$J$11="",$G1827=CETAK!$J$11),OR(CETAK!$J$12="",$P1827=CETAK!$J$12),OR(CETAK!$J$13="",$N1827=CETAK!$J$13),OR(CETAK!$J$14="",$T1827=CETAK!$J$14)),MAX($AC$3:AC1826)+1,""))</f>
        <v/>
      </c>
      <c r="AD1827" s="40" t="str">
        <f aca="false">IF($B1827="","",IF(AND(OR(ABSENSI!$H$10="",$F1827=ABSENSI!$H$10),OR(ABSENSI!$H$11="",$G1827=ABSENSI!$H$11),OR(ABSENSI!$H$12="",$P1827=ABSENSI!$H$12)),MAX($AD$3:AD1826)+1,""))</f>
        <v/>
      </c>
      <c r="AE1827" s="40" t="str">
        <f aca="false">IF($B1827="","",IF(AND(OR(KARTU!$K$6="",$F1827=KARTU!$K$6),OR(KARTU!$K$7="",$G1827=KARTU!$K$7),OR(KARTU!$K$8="",$P1827=KARTU!$K$8)),MAX($AE$3:AE1826)+1,""))</f>
        <v/>
      </c>
    </row>
    <row r="1828" customFormat="false" ht="15" hidden="false" customHeight="false" outlineLevel="0" collapsed="false">
      <c r="A1828" s="35" t="str">
        <f aca="false">IF($B1828="","",COUNTA($B$4:$B1828))</f>
        <v/>
      </c>
      <c r="B1828" s="36"/>
      <c r="C1828" s="37"/>
      <c r="D1828" s="37"/>
      <c r="E1828" s="38"/>
      <c r="F1828" s="36"/>
      <c r="G1828" s="39"/>
      <c r="H1828" s="39"/>
      <c r="I1828" s="36"/>
      <c r="J1828" s="36"/>
      <c r="K1828" s="36"/>
      <c r="L1828" s="36"/>
      <c r="M1828" s="40" t="str">
        <f aca="false">IF($F1828="","",$F1828&amp;IF($G1828="",""," - RT "&amp;$G1828&amp;IF($H1828="","","/"&amp;$H1828)))</f>
        <v/>
      </c>
      <c r="N1828" s="36"/>
      <c r="O1828" s="37"/>
      <c r="P1828" s="39"/>
      <c r="Q1828" s="41"/>
      <c r="R1828" s="35" t="str">
        <f aca="true">IF(OR($B1828="",$Q1828=""),"",DATEDIF($Q1828,TODAY(),"Y"))</f>
        <v/>
      </c>
      <c r="S1828" s="40" t="str">
        <f aca="false">IF($R1828="","",INDEX(usia_label,MATCH($R1828,usia_min,1)))</f>
        <v/>
      </c>
      <c r="T1828" s="36"/>
      <c r="U1828" s="41"/>
      <c r="V1828" s="36"/>
      <c r="W1828" s="36"/>
      <c r="X1828" s="40" t="str">
        <f aca="false">IF($M1828="","",$M1828&amp;"#"&amp;COUNTIF($M$4:$M1828,$M1828))</f>
        <v/>
      </c>
      <c r="Y1828" s="40" t="str">
        <f aca="false">IF($B1828="","",IF($C1828="","NIK kosong",IF(LEN($C1828)&lt;&gt;16,"NIK bukan 16 digit",IF(COUNTIF($C$4:$C$2003,$C1828&amp;"*")&gt;1,"NIK ganda",IF(AND($D1828&lt;&gt;"",LEN($D1828)&lt;&gt;16),"No. KK bukan 16 digit",IF(AND($F1828="",$I1828=""),"Alamat kosong",IF($N1828="","Jabatan kosong",IF($O1828="","No. HP kosong",IF(AND($R1828&lt;&gt;"",$R1828&lt;17),"Usia di bawah 17","")))))))))</f>
        <v/>
      </c>
      <c r="Z1828" s="40" t="str">
        <f aca="false">IF($B1828="","",IF(AND(OR(CARI!$C$5="",ISNUMBER(SEARCH(CARI!$C$5,$B1828&amp;" "&amp;$C1828&amp;" "&amp;$D1828&amp;" "&amp;$O1828&amp;" "&amp;$I1828&amp;" "&amp;$F1828&amp;" "&amp;$J1828&amp;" "&amp;$K1828&amp;" "&amp;$L1828&amp;" "&amp;$V1828))),OR(CARI!$C$6="",$F1828=CARI!$C$6),OR(CARI!$C$7="",$G1828=CARI!$C$7),OR(CARI!$C$8="",$T1828=CARI!$C$8)),MAX($Z$3:Z1827)+1,""))</f>
        <v/>
      </c>
      <c r="AA1828" s="40" t="str">
        <f aca="false">IF($Y1828="","",MAX($AA$3:AA1827)+1)</f>
        <v/>
      </c>
      <c r="AB1828" s="40" t="str">
        <f aca="false">IF($F1828="","",$F1828&amp;"#"&amp;COUNTIF($F$4:$F1828,$F1828))</f>
        <v/>
      </c>
      <c r="AC1828" s="40" t="str">
        <f aca="false">IF($B1828="","",IF(AND(OR(CETAK!$J$10="",$F1828=CETAK!$J$10),OR(CETAK!$J$11="",$G1828=CETAK!$J$11),OR(CETAK!$J$12="",$P1828=CETAK!$J$12),OR(CETAK!$J$13="",$N1828=CETAK!$J$13),OR(CETAK!$J$14="",$T1828=CETAK!$J$14)),MAX($AC$3:AC1827)+1,""))</f>
        <v/>
      </c>
      <c r="AD1828" s="40" t="str">
        <f aca="false">IF($B1828="","",IF(AND(OR(ABSENSI!$H$10="",$F1828=ABSENSI!$H$10),OR(ABSENSI!$H$11="",$G1828=ABSENSI!$H$11),OR(ABSENSI!$H$12="",$P1828=ABSENSI!$H$12)),MAX($AD$3:AD1827)+1,""))</f>
        <v/>
      </c>
      <c r="AE1828" s="40" t="str">
        <f aca="false">IF($B1828="","",IF(AND(OR(KARTU!$K$6="",$F1828=KARTU!$K$6),OR(KARTU!$K$7="",$G1828=KARTU!$K$7),OR(KARTU!$K$8="",$P1828=KARTU!$K$8)),MAX($AE$3:AE1827)+1,""))</f>
        <v/>
      </c>
    </row>
    <row r="1829" customFormat="false" ht="15" hidden="false" customHeight="false" outlineLevel="0" collapsed="false">
      <c r="A1829" s="35" t="str">
        <f aca="false">IF($B1829="","",COUNTA($B$4:$B1829))</f>
        <v/>
      </c>
      <c r="B1829" s="36"/>
      <c r="C1829" s="37"/>
      <c r="D1829" s="37"/>
      <c r="E1829" s="38"/>
      <c r="F1829" s="36"/>
      <c r="G1829" s="39"/>
      <c r="H1829" s="39"/>
      <c r="I1829" s="36"/>
      <c r="J1829" s="36"/>
      <c r="K1829" s="36"/>
      <c r="L1829" s="36"/>
      <c r="M1829" s="40" t="str">
        <f aca="false">IF($F1829="","",$F1829&amp;IF($G1829="",""," - RT "&amp;$G1829&amp;IF($H1829="","","/"&amp;$H1829)))</f>
        <v/>
      </c>
      <c r="N1829" s="36"/>
      <c r="O1829" s="37"/>
      <c r="P1829" s="39"/>
      <c r="Q1829" s="41"/>
      <c r="R1829" s="35" t="str">
        <f aca="true">IF(OR($B1829="",$Q1829=""),"",DATEDIF($Q1829,TODAY(),"Y"))</f>
        <v/>
      </c>
      <c r="S1829" s="40" t="str">
        <f aca="false">IF($R1829="","",INDEX(usia_label,MATCH($R1829,usia_min,1)))</f>
        <v/>
      </c>
      <c r="T1829" s="36"/>
      <c r="U1829" s="41"/>
      <c r="V1829" s="36"/>
      <c r="W1829" s="36"/>
      <c r="X1829" s="40" t="str">
        <f aca="false">IF($M1829="","",$M1829&amp;"#"&amp;COUNTIF($M$4:$M1829,$M1829))</f>
        <v/>
      </c>
      <c r="Y1829" s="40" t="str">
        <f aca="false">IF($B1829="","",IF($C1829="","NIK kosong",IF(LEN($C1829)&lt;&gt;16,"NIK bukan 16 digit",IF(COUNTIF($C$4:$C$2003,$C1829&amp;"*")&gt;1,"NIK ganda",IF(AND($D1829&lt;&gt;"",LEN($D1829)&lt;&gt;16),"No. KK bukan 16 digit",IF(AND($F1829="",$I1829=""),"Alamat kosong",IF($N1829="","Jabatan kosong",IF($O1829="","No. HP kosong",IF(AND($R1829&lt;&gt;"",$R1829&lt;17),"Usia di bawah 17","")))))))))</f>
        <v/>
      </c>
      <c r="Z1829" s="40" t="str">
        <f aca="false">IF($B1829="","",IF(AND(OR(CARI!$C$5="",ISNUMBER(SEARCH(CARI!$C$5,$B1829&amp;" "&amp;$C1829&amp;" "&amp;$D1829&amp;" "&amp;$O1829&amp;" "&amp;$I1829&amp;" "&amp;$F1829&amp;" "&amp;$J1829&amp;" "&amp;$K1829&amp;" "&amp;$L1829&amp;" "&amp;$V1829))),OR(CARI!$C$6="",$F1829=CARI!$C$6),OR(CARI!$C$7="",$G1829=CARI!$C$7),OR(CARI!$C$8="",$T1829=CARI!$C$8)),MAX($Z$3:Z1828)+1,""))</f>
        <v/>
      </c>
      <c r="AA1829" s="40" t="str">
        <f aca="false">IF($Y1829="","",MAX($AA$3:AA1828)+1)</f>
        <v/>
      </c>
      <c r="AB1829" s="40" t="str">
        <f aca="false">IF($F1829="","",$F1829&amp;"#"&amp;COUNTIF($F$4:$F1829,$F1829))</f>
        <v/>
      </c>
      <c r="AC1829" s="40" t="str">
        <f aca="false">IF($B1829="","",IF(AND(OR(CETAK!$J$10="",$F1829=CETAK!$J$10),OR(CETAK!$J$11="",$G1829=CETAK!$J$11),OR(CETAK!$J$12="",$P1829=CETAK!$J$12),OR(CETAK!$J$13="",$N1829=CETAK!$J$13),OR(CETAK!$J$14="",$T1829=CETAK!$J$14)),MAX($AC$3:AC1828)+1,""))</f>
        <v/>
      </c>
      <c r="AD1829" s="40" t="str">
        <f aca="false">IF($B1829="","",IF(AND(OR(ABSENSI!$H$10="",$F1829=ABSENSI!$H$10),OR(ABSENSI!$H$11="",$G1829=ABSENSI!$H$11),OR(ABSENSI!$H$12="",$P1829=ABSENSI!$H$12)),MAX($AD$3:AD1828)+1,""))</f>
        <v/>
      </c>
      <c r="AE1829" s="40" t="str">
        <f aca="false">IF($B1829="","",IF(AND(OR(KARTU!$K$6="",$F1829=KARTU!$K$6),OR(KARTU!$K$7="",$G1829=KARTU!$K$7),OR(KARTU!$K$8="",$P1829=KARTU!$K$8)),MAX($AE$3:AE1828)+1,""))</f>
        <v/>
      </c>
    </row>
    <row r="1830" customFormat="false" ht="15" hidden="false" customHeight="false" outlineLevel="0" collapsed="false">
      <c r="A1830" s="35" t="str">
        <f aca="false">IF($B1830="","",COUNTA($B$4:$B1830))</f>
        <v/>
      </c>
      <c r="B1830" s="36"/>
      <c r="C1830" s="37"/>
      <c r="D1830" s="37"/>
      <c r="E1830" s="38"/>
      <c r="F1830" s="36"/>
      <c r="G1830" s="39"/>
      <c r="H1830" s="39"/>
      <c r="I1830" s="36"/>
      <c r="J1830" s="36"/>
      <c r="K1830" s="36"/>
      <c r="L1830" s="36"/>
      <c r="M1830" s="40" t="str">
        <f aca="false">IF($F1830="","",$F1830&amp;IF($G1830="",""," - RT "&amp;$G1830&amp;IF($H1830="","","/"&amp;$H1830)))</f>
        <v/>
      </c>
      <c r="N1830" s="36"/>
      <c r="O1830" s="37"/>
      <c r="P1830" s="39"/>
      <c r="Q1830" s="41"/>
      <c r="R1830" s="35" t="str">
        <f aca="true">IF(OR($B1830="",$Q1830=""),"",DATEDIF($Q1830,TODAY(),"Y"))</f>
        <v/>
      </c>
      <c r="S1830" s="40" t="str">
        <f aca="false">IF($R1830="","",INDEX(usia_label,MATCH($R1830,usia_min,1)))</f>
        <v/>
      </c>
      <c r="T1830" s="36"/>
      <c r="U1830" s="41"/>
      <c r="V1830" s="36"/>
      <c r="W1830" s="36"/>
      <c r="X1830" s="40" t="str">
        <f aca="false">IF($M1830="","",$M1830&amp;"#"&amp;COUNTIF($M$4:$M1830,$M1830))</f>
        <v/>
      </c>
      <c r="Y1830" s="40" t="str">
        <f aca="false">IF($B1830="","",IF($C1830="","NIK kosong",IF(LEN($C1830)&lt;&gt;16,"NIK bukan 16 digit",IF(COUNTIF($C$4:$C$2003,$C1830&amp;"*")&gt;1,"NIK ganda",IF(AND($D1830&lt;&gt;"",LEN($D1830)&lt;&gt;16),"No. KK bukan 16 digit",IF(AND($F1830="",$I1830=""),"Alamat kosong",IF($N1830="","Jabatan kosong",IF($O1830="","No. HP kosong",IF(AND($R1830&lt;&gt;"",$R1830&lt;17),"Usia di bawah 17","")))))))))</f>
        <v/>
      </c>
      <c r="Z1830" s="40" t="str">
        <f aca="false">IF($B1830="","",IF(AND(OR(CARI!$C$5="",ISNUMBER(SEARCH(CARI!$C$5,$B1830&amp;" "&amp;$C1830&amp;" "&amp;$D1830&amp;" "&amp;$O1830&amp;" "&amp;$I1830&amp;" "&amp;$F1830&amp;" "&amp;$J1830&amp;" "&amp;$K1830&amp;" "&amp;$L1830&amp;" "&amp;$V1830))),OR(CARI!$C$6="",$F1830=CARI!$C$6),OR(CARI!$C$7="",$G1830=CARI!$C$7),OR(CARI!$C$8="",$T1830=CARI!$C$8)),MAX($Z$3:Z1829)+1,""))</f>
        <v/>
      </c>
      <c r="AA1830" s="40" t="str">
        <f aca="false">IF($Y1830="","",MAX($AA$3:AA1829)+1)</f>
        <v/>
      </c>
      <c r="AB1830" s="40" t="str">
        <f aca="false">IF($F1830="","",$F1830&amp;"#"&amp;COUNTIF($F$4:$F1830,$F1830))</f>
        <v/>
      </c>
      <c r="AC1830" s="40" t="str">
        <f aca="false">IF($B1830="","",IF(AND(OR(CETAK!$J$10="",$F1830=CETAK!$J$10),OR(CETAK!$J$11="",$G1830=CETAK!$J$11),OR(CETAK!$J$12="",$P1830=CETAK!$J$12),OR(CETAK!$J$13="",$N1830=CETAK!$J$13),OR(CETAK!$J$14="",$T1830=CETAK!$J$14)),MAX($AC$3:AC1829)+1,""))</f>
        <v/>
      </c>
      <c r="AD1830" s="40" t="str">
        <f aca="false">IF($B1830="","",IF(AND(OR(ABSENSI!$H$10="",$F1830=ABSENSI!$H$10),OR(ABSENSI!$H$11="",$G1830=ABSENSI!$H$11),OR(ABSENSI!$H$12="",$P1830=ABSENSI!$H$12)),MAX($AD$3:AD1829)+1,""))</f>
        <v/>
      </c>
      <c r="AE1830" s="40" t="str">
        <f aca="false">IF($B1830="","",IF(AND(OR(KARTU!$K$6="",$F1830=KARTU!$K$6),OR(KARTU!$K$7="",$G1830=KARTU!$K$7),OR(KARTU!$K$8="",$P1830=KARTU!$K$8)),MAX($AE$3:AE1829)+1,""))</f>
        <v/>
      </c>
    </row>
    <row r="1831" customFormat="false" ht="15" hidden="false" customHeight="false" outlineLevel="0" collapsed="false">
      <c r="A1831" s="35" t="str">
        <f aca="false">IF($B1831="","",COUNTA($B$4:$B1831))</f>
        <v/>
      </c>
      <c r="B1831" s="36"/>
      <c r="C1831" s="37"/>
      <c r="D1831" s="37"/>
      <c r="E1831" s="38"/>
      <c r="F1831" s="36"/>
      <c r="G1831" s="39"/>
      <c r="H1831" s="39"/>
      <c r="I1831" s="36"/>
      <c r="J1831" s="36"/>
      <c r="K1831" s="36"/>
      <c r="L1831" s="36"/>
      <c r="M1831" s="40" t="str">
        <f aca="false">IF($F1831="","",$F1831&amp;IF($G1831="",""," - RT "&amp;$G1831&amp;IF($H1831="","","/"&amp;$H1831)))</f>
        <v/>
      </c>
      <c r="N1831" s="36"/>
      <c r="O1831" s="37"/>
      <c r="P1831" s="39"/>
      <c r="Q1831" s="41"/>
      <c r="R1831" s="35" t="str">
        <f aca="true">IF(OR($B1831="",$Q1831=""),"",DATEDIF($Q1831,TODAY(),"Y"))</f>
        <v/>
      </c>
      <c r="S1831" s="40" t="str">
        <f aca="false">IF($R1831="","",INDEX(usia_label,MATCH($R1831,usia_min,1)))</f>
        <v/>
      </c>
      <c r="T1831" s="36"/>
      <c r="U1831" s="41"/>
      <c r="V1831" s="36"/>
      <c r="W1831" s="36"/>
      <c r="X1831" s="40" t="str">
        <f aca="false">IF($M1831="","",$M1831&amp;"#"&amp;COUNTIF($M$4:$M1831,$M1831))</f>
        <v/>
      </c>
      <c r="Y1831" s="40" t="str">
        <f aca="false">IF($B1831="","",IF($C1831="","NIK kosong",IF(LEN($C1831)&lt;&gt;16,"NIK bukan 16 digit",IF(COUNTIF($C$4:$C$2003,$C1831&amp;"*")&gt;1,"NIK ganda",IF(AND($D1831&lt;&gt;"",LEN($D1831)&lt;&gt;16),"No. KK bukan 16 digit",IF(AND($F1831="",$I1831=""),"Alamat kosong",IF($N1831="","Jabatan kosong",IF($O1831="","No. HP kosong",IF(AND($R1831&lt;&gt;"",$R1831&lt;17),"Usia di bawah 17","")))))))))</f>
        <v/>
      </c>
      <c r="Z1831" s="40" t="str">
        <f aca="false">IF($B1831="","",IF(AND(OR(CARI!$C$5="",ISNUMBER(SEARCH(CARI!$C$5,$B1831&amp;" "&amp;$C1831&amp;" "&amp;$D1831&amp;" "&amp;$O1831&amp;" "&amp;$I1831&amp;" "&amp;$F1831&amp;" "&amp;$J1831&amp;" "&amp;$K1831&amp;" "&amp;$L1831&amp;" "&amp;$V1831))),OR(CARI!$C$6="",$F1831=CARI!$C$6),OR(CARI!$C$7="",$G1831=CARI!$C$7),OR(CARI!$C$8="",$T1831=CARI!$C$8)),MAX($Z$3:Z1830)+1,""))</f>
        <v/>
      </c>
      <c r="AA1831" s="40" t="str">
        <f aca="false">IF($Y1831="","",MAX($AA$3:AA1830)+1)</f>
        <v/>
      </c>
      <c r="AB1831" s="40" t="str">
        <f aca="false">IF($F1831="","",$F1831&amp;"#"&amp;COUNTIF($F$4:$F1831,$F1831))</f>
        <v/>
      </c>
      <c r="AC1831" s="40" t="str">
        <f aca="false">IF($B1831="","",IF(AND(OR(CETAK!$J$10="",$F1831=CETAK!$J$10),OR(CETAK!$J$11="",$G1831=CETAK!$J$11),OR(CETAK!$J$12="",$P1831=CETAK!$J$12),OR(CETAK!$J$13="",$N1831=CETAK!$J$13),OR(CETAK!$J$14="",$T1831=CETAK!$J$14)),MAX($AC$3:AC1830)+1,""))</f>
        <v/>
      </c>
      <c r="AD1831" s="40" t="str">
        <f aca="false">IF($B1831="","",IF(AND(OR(ABSENSI!$H$10="",$F1831=ABSENSI!$H$10),OR(ABSENSI!$H$11="",$G1831=ABSENSI!$H$11),OR(ABSENSI!$H$12="",$P1831=ABSENSI!$H$12)),MAX($AD$3:AD1830)+1,""))</f>
        <v/>
      </c>
      <c r="AE1831" s="40" t="str">
        <f aca="false">IF($B1831="","",IF(AND(OR(KARTU!$K$6="",$F1831=KARTU!$K$6),OR(KARTU!$K$7="",$G1831=KARTU!$K$7),OR(KARTU!$K$8="",$P1831=KARTU!$K$8)),MAX($AE$3:AE1830)+1,""))</f>
        <v/>
      </c>
    </row>
    <row r="1832" customFormat="false" ht="15" hidden="false" customHeight="false" outlineLevel="0" collapsed="false">
      <c r="A1832" s="35" t="str">
        <f aca="false">IF($B1832="","",COUNTA($B$4:$B1832))</f>
        <v/>
      </c>
      <c r="B1832" s="36"/>
      <c r="C1832" s="37"/>
      <c r="D1832" s="37"/>
      <c r="E1832" s="38"/>
      <c r="F1832" s="36"/>
      <c r="G1832" s="39"/>
      <c r="H1832" s="39"/>
      <c r="I1832" s="36"/>
      <c r="J1832" s="36"/>
      <c r="K1832" s="36"/>
      <c r="L1832" s="36"/>
      <c r="M1832" s="40" t="str">
        <f aca="false">IF($F1832="","",$F1832&amp;IF($G1832="",""," - RT "&amp;$G1832&amp;IF($H1832="","","/"&amp;$H1832)))</f>
        <v/>
      </c>
      <c r="N1832" s="36"/>
      <c r="O1832" s="37"/>
      <c r="P1832" s="39"/>
      <c r="Q1832" s="41"/>
      <c r="R1832" s="35" t="str">
        <f aca="true">IF(OR($B1832="",$Q1832=""),"",DATEDIF($Q1832,TODAY(),"Y"))</f>
        <v/>
      </c>
      <c r="S1832" s="40" t="str">
        <f aca="false">IF($R1832="","",INDEX(usia_label,MATCH($R1832,usia_min,1)))</f>
        <v/>
      </c>
      <c r="T1832" s="36"/>
      <c r="U1832" s="41"/>
      <c r="V1832" s="36"/>
      <c r="W1832" s="36"/>
      <c r="X1832" s="40" t="str">
        <f aca="false">IF($M1832="","",$M1832&amp;"#"&amp;COUNTIF($M$4:$M1832,$M1832))</f>
        <v/>
      </c>
      <c r="Y1832" s="40" t="str">
        <f aca="false">IF($B1832="","",IF($C1832="","NIK kosong",IF(LEN($C1832)&lt;&gt;16,"NIK bukan 16 digit",IF(COUNTIF($C$4:$C$2003,$C1832&amp;"*")&gt;1,"NIK ganda",IF(AND($D1832&lt;&gt;"",LEN($D1832)&lt;&gt;16),"No. KK bukan 16 digit",IF(AND($F1832="",$I1832=""),"Alamat kosong",IF($N1832="","Jabatan kosong",IF($O1832="","No. HP kosong",IF(AND($R1832&lt;&gt;"",$R1832&lt;17),"Usia di bawah 17","")))))))))</f>
        <v/>
      </c>
      <c r="Z1832" s="40" t="str">
        <f aca="false">IF($B1832="","",IF(AND(OR(CARI!$C$5="",ISNUMBER(SEARCH(CARI!$C$5,$B1832&amp;" "&amp;$C1832&amp;" "&amp;$D1832&amp;" "&amp;$O1832&amp;" "&amp;$I1832&amp;" "&amp;$F1832&amp;" "&amp;$J1832&amp;" "&amp;$K1832&amp;" "&amp;$L1832&amp;" "&amp;$V1832))),OR(CARI!$C$6="",$F1832=CARI!$C$6),OR(CARI!$C$7="",$G1832=CARI!$C$7),OR(CARI!$C$8="",$T1832=CARI!$C$8)),MAX($Z$3:Z1831)+1,""))</f>
        <v/>
      </c>
      <c r="AA1832" s="40" t="str">
        <f aca="false">IF($Y1832="","",MAX($AA$3:AA1831)+1)</f>
        <v/>
      </c>
      <c r="AB1832" s="40" t="str">
        <f aca="false">IF($F1832="","",$F1832&amp;"#"&amp;COUNTIF($F$4:$F1832,$F1832))</f>
        <v/>
      </c>
      <c r="AC1832" s="40" t="str">
        <f aca="false">IF($B1832="","",IF(AND(OR(CETAK!$J$10="",$F1832=CETAK!$J$10),OR(CETAK!$J$11="",$G1832=CETAK!$J$11),OR(CETAK!$J$12="",$P1832=CETAK!$J$12),OR(CETAK!$J$13="",$N1832=CETAK!$J$13),OR(CETAK!$J$14="",$T1832=CETAK!$J$14)),MAX($AC$3:AC1831)+1,""))</f>
        <v/>
      </c>
      <c r="AD1832" s="40" t="str">
        <f aca="false">IF($B1832="","",IF(AND(OR(ABSENSI!$H$10="",$F1832=ABSENSI!$H$10),OR(ABSENSI!$H$11="",$G1832=ABSENSI!$H$11),OR(ABSENSI!$H$12="",$P1832=ABSENSI!$H$12)),MAX($AD$3:AD1831)+1,""))</f>
        <v/>
      </c>
      <c r="AE1832" s="40" t="str">
        <f aca="false">IF($B1832="","",IF(AND(OR(KARTU!$K$6="",$F1832=KARTU!$K$6),OR(KARTU!$K$7="",$G1832=KARTU!$K$7),OR(KARTU!$K$8="",$P1832=KARTU!$K$8)),MAX($AE$3:AE1831)+1,""))</f>
        <v/>
      </c>
    </row>
    <row r="1833" customFormat="false" ht="15" hidden="false" customHeight="false" outlineLevel="0" collapsed="false">
      <c r="A1833" s="35" t="str">
        <f aca="false">IF($B1833="","",COUNTA($B$4:$B1833))</f>
        <v/>
      </c>
      <c r="B1833" s="36"/>
      <c r="C1833" s="37"/>
      <c r="D1833" s="37"/>
      <c r="E1833" s="38"/>
      <c r="F1833" s="36"/>
      <c r="G1833" s="39"/>
      <c r="H1833" s="39"/>
      <c r="I1833" s="36"/>
      <c r="J1833" s="36"/>
      <c r="K1833" s="36"/>
      <c r="L1833" s="36"/>
      <c r="M1833" s="40" t="str">
        <f aca="false">IF($F1833="","",$F1833&amp;IF($G1833="",""," - RT "&amp;$G1833&amp;IF($H1833="","","/"&amp;$H1833)))</f>
        <v/>
      </c>
      <c r="N1833" s="36"/>
      <c r="O1833" s="37"/>
      <c r="P1833" s="39"/>
      <c r="Q1833" s="41"/>
      <c r="R1833" s="35" t="str">
        <f aca="true">IF(OR($B1833="",$Q1833=""),"",DATEDIF($Q1833,TODAY(),"Y"))</f>
        <v/>
      </c>
      <c r="S1833" s="40" t="str">
        <f aca="false">IF($R1833="","",INDEX(usia_label,MATCH($R1833,usia_min,1)))</f>
        <v/>
      </c>
      <c r="T1833" s="36"/>
      <c r="U1833" s="41"/>
      <c r="V1833" s="36"/>
      <c r="W1833" s="36"/>
      <c r="X1833" s="40" t="str">
        <f aca="false">IF($M1833="","",$M1833&amp;"#"&amp;COUNTIF($M$4:$M1833,$M1833))</f>
        <v/>
      </c>
      <c r="Y1833" s="40" t="str">
        <f aca="false">IF($B1833="","",IF($C1833="","NIK kosong",IF(LEN($C1833)&lt;&gt;16,"NIK bukan 16 digit",IF(COUNTIF($C$4:$C$2003,$C1833&amp;"*")&gt;1,"NIK ganda",IF(AND($D1833&lt;&gt;"",LEN($D1833)&lt;&gt;16),"No. KK bukan 16 digit",IF(AND($F1833="",$I1833=""),"Alamat kosong",IF($N1833="","Jabatan kosong",IF($O1833="","No. HP kosong",IF(AND($R1833&lt;&gt;"",$R1833&lt;17),"Usia di bawah 17","")))))))))</f>
        <v/>
      </c>
      <c r="Z1833" s="40" t="str">
        <f aca="false">IF($B1833="","",IF(AND(OR(CARI!$C$5="",ISNUMBER(SEARCH(CARI!$C$5,$B1833&amp;" "&amp;$C1833&amp;" "&amp;$D1833&amp;" "&amp;$O1833&amp;" "&amp;$I1833&amp;" "&amp;$F1833&amp;" "&amp;$J1833&amp;" "&amp;$K1833&amp;" "&amp;$L1833&amp;" "&amp;$V1833))),OR(CARI!$C$6="",$F1833=CARI!$C$6),OR(CARI!$C$7="",$G1833=CARI!$C$7),OR(CARI!$C$8="",$T1833=CARI!$C$8)),MAX($Z$3:Z1832)+1,""))</f>
        <v/>
      </c>
      <c r="AA1833" s="40" t="str">
        <f aca="false">IF($Y1833="","",MAX($AA$3:AA1832)+1)</f>
        <v/>
      </c>
      <c r="AB1833" s="40" t="str">
        <f aca="false">IF($F1833="","",$F1833&amp;"#"&amp;COUNTIF($F$4:$F1833,$F1833))</f>
        <v/>
      </c>
      <c r="AC1833" s="40" t="str">
        <f aca="false">IF($B1833="","",IF(AND(OR(CETAK!$J$10="",$F1833=CETAK!$J$10),OR(CETAK!$J$11="",$G1833=CETAK!$J$11),OR(CETAK!$J$12="",$P1833=CETAK!$J$12),OR(CETAK!$J$13="",$N1833=CETAK!$J$13),OR(CETAK!$J$14="",$T1833=CETAK!$J$14)),MAX($AC$3:AC1832)+1,""))</f>
        <v/>
      </c>
      <c r="AD1833" s="40" t="str">
        <f aca="false">IF($B1833="","",IF(AND(OR(ABSENSI!$H$10="",$F1833=ABSENSI!$H$10),OR(ABSENSI!$H$11="",$G1833=ABSENSI!$H$11),OR(ABSENSI!$H$12="",$P1833=ABSENSI!$H$12)),MAX($AD$3:AD1832)+1,""))</f>
        <v/>
      </c>
      <c r="AE1833" s="40" t="str">
        <f aca="false">IF($B1833="","",IF(AND(OR(KARTU!$K$6="",$F1833=KARTU!$K$6),OR(KARTU!$K$7="",$G1833=KARTU!$K$7),OR(KARTU!$K$8="",$P1833=KARTU!$K$8)),MAX($AE$3:AE1832)+1,""))</f>
        <v/>
      </c>
    </row>
    <row r="1834" customFormat="false" ht="15" hidden="false" customHeight="false" outlineLevel="0" collapsed="false">
      <c r="A1834" s="35" t="str">
        <f aca="false">IF($B1834="","",COUNTA($B$4:$B1834))</f>
        <v/>
      </c>
      <c r="B1834" s="36"/>
      <c r="C1834" s="37"/>
      <c r="D1834" s="37"/>
      <c r="E1834" s="38"/>
      <c r="F1834" s="36"/>
      <c r="G1834" s="39"/>
      <c r="H1834" s="39"/>
      <c r="I1834" s="36"/>
      <c r="J1834" s="36"/>
      <c r="K1834" s="36"/>
      <c r="L1834" s="36"/>
      <c r="M1834" s="40" t="str">
        <f aca="false">IF($F1834="","",$F1834&amp;IF($G1834="",""," - RT "&amp;$G1834&amp;IF($H1834="","","/"&amp;$H1834)))</f>
        <v/>
      </c>
      <c r="N1834" s="36"/>
      <c r="O1834" s="37"/>
      <c r="P1834" s="39"/>
      <c r="Q1834" s="41"/>
      <c r="R1834" s="35" t="str">
        <f aca="true">IF(OR($B1834="",$Q1834=""),"",DATEDIF($Q1834,TODAY(),"Y"))</f>
        <v/>
      </c>
      <c r="S1834" s="40" t="str">
        <f aca="false">IF($R1834="","",INDEX(usia_label,MATCH($R1834,usia_min,1)))</f>
        <v/>
      </c>
      <c r="T1834" s="36"/>
      <c r="U1834" s="41"/>
      <c r="V1834" s="36"/>
      <c r="W1834" s="36"/>
      <c r="X1834" s="40" t="str">
        <f aca="false">IF($M1834="","",$M1834&amp;"#"&amp;COUNTIF($M$4:$M1834,$M1834))</f>
        <v/>
      </c>
      <c r="Y1834" s="40" t="str">
        <f aca="false">IF($B1834="","",IF($C1834="","NIK kosong",IF(LEN($C1834)&lt;&gt;16,"NIK bukan 16 digit",IF(COUNTIF($C$4:$C$2003,$C1834&amp;"*")&gt;1,"NIK ganda",IF(AND($D1834&lt;&gt;"",LEN($D1834)&lt;&gt;16),"No. KK bukan 16 digit",IF(AND($F1834="",$I1834=""),"Alamat kosong",IF($N1834="","Jabatan kosong",IF($O1834="","No. HP kosong",IF(AND($R1834&lt;&gt;"",$R1834&lt;17),"Usia di bawah 17","")))))))))</f>
        <v/>
      </c>
      <c r="Z1834" s="40" t="str">
        <f aca="false">IF($B1834="","",IF(AND(OR(CARI!$C$5="",ISNUMBER(SEARCH(CARI!$C$5,$B1834&amp;" "&amp;$C1834&amp;" "&amp;$D1834&amp;" "&amp;$O1834&amp;" "&amp;$I1834&amp;" "&amp;$F1834&amp;" "&amp;$J1834&amp;" "&amp;$K1834&amp;" "&amp;$L1834&amp;" "&amp;$V1834))),OR(CARI!$C$6="",$F1834=CARI!$C$6),OR(CARI!$C$7="",$G1834=CARI!$C$7),OR(CARI!$C$8="",$T1834=CARI!$C$8)),MAX($Z$3:Z1833)+1,""))</f>
        <v/>
      </c>
      <c r="AA1834" s="40" t="str">
        <f aca="false">IF($Y1834="","",MAX($AA$3:AA1833)+1)</f>
        <v/>
      </c>
      <c r="AB1834" s="40" t="str">
        <f aca="false">IF($F1834="","",$F1834&amp;"#"&amp;COUNTIF($F$4:$F1834,$F1834))</f>
        <v/>
      </c>
      <c r="AC1834" s="40" t="str">
        <f aca="false">IF($B1834="","",IF(AND(OR(CETAK!$J$10="",$F1834=CETAK!$J$10),OR(CETAK!$J$11="",$G1834=CETAK!$J$11),OR(CETAK!$J$12="",$P1834=CETAK!$J$12),OR(CETAK!$J$13="",$N1834=CETAK!$J$13),OR(CETAK!$J$14="",$T1834=CETAK!$J$14)),MAX($AC$3:AC1833)+1,""))</f>
        <v/>
      </c>
      <c r="AD1834" s="40" t="str">
        <f aca="false">IF($B1834="","",IF(AND(OR(ABSENSI!$H$10="",$F1834=ABSENSI!$H$10),OR(ABSENSI!$H$11="",$G1834=ABSENSI!$H$11),OR(ABSENSI!$H$12="",$P1834=ABSENSI!$H$12)),MAX($AD$3:AD1833)+1,""))</f>
        <v/>
      </c>
      <c r="AE1834" s="40" t="str">
        <f aca="false">IF($B1834="","",IF(AND(OR(KARTU!$K$6="",$F1834=KARTU!$K$6),OR(KARTU!$K$7="",$G1834=KARTU!$K$7),OR(KARTU!$K$8="",$P1834=KARTU!$K$8)),MAX($AE$3:AE1833)+1,""))</f>
        <v/>
      </c>
    </row>
    <row r="1835" customFormat="false" ht="15" hidden="false" customHeight="false" outlineLevel="0" collapsed="false">
      <c r="A1835" s="35" t="str">
        <f aca="false">IF($B1835="","",COUNTA($B$4:$B1835))</f>
        <v/>
      </c>
      <c r="B1835" s="36"/>
      <c r="C1835" s="37"/>
      <c r="D1835" s="37"/>
      <c r="E1835" s="38"/>
      <c r="F1835" s="36"/>
      <c r="G1835" s="39"/>
      <c r="H1835" s="39"/>
      <c r="I1835" s="36"/>
      <c r="J1835" s="36"/>
      <c r="K1835" s="36"/>
      <c r="L1835" s="36"/>
      <c r="M1835" s="40" t="str">
        <f aca="false">IF($F1835="","",$F1835&amp;IF($G1835="",""," - RT "&amp;$G1835&amp;IF($H1835="","","/"&amp;$H1835)))</f>
        <v/>
      </c>
      <c r="N1835" s="36"/>
      <c r="O1835" s="37"/>
      <c r="P1835" s="39"/>
      <c r="Q1835" s="41"/>
      <c r="R1835" s="35" t="str">
        <f aca="true">IF(OR($B1835="",$Q1835=""),"",DATEDIF($Q1835,TODAY(),"Y"))</f>
        <v/>
      </c>
      <c r="S1835" s="40" t="str">
        <f aca="false">IF($R1835="","",INDEX(usia_label,MATCH($R1835,usia_min,1)))</f>
        <v/>
      </c>
      <c r="T1835" s="36"/>
      <c r="U1835" s="41"/>
      <c r="V1835" s="36"/>
      <c r="W1835" s="36"/>
      <c r="X1835" s="40" t="str">
        <f aca="false">IF($M1835="","",$M1835&amp;"#"&amp;COUNTIF($M$4:$M1835,$M1835))</f>
        <v/>
      </c>
      <c r="Y1835" s="40" t="str">
        <f aca="false">IF($B1835="","",IF($C1835="","NIK kosong",IF(LEN($C1835)&lt;&gt;16,"NIK bukan 16 digit",IF(COUNTIF($C$4:$C$2003,$C1835&amp;"*")&gt;1,"NIK ganda",IF(AND($D1835&lt;&gt;"",LEN($D1835)&lt;&gt;16),"No. KK bukan 16 digit",IF(AND($F1835="",$I1835=""),"Alamat kosong",IF($N1835="","Jabatan kosong",IF($O1835="","No. HP kosong",IF(AND($R1835&lt;&gt;"",$R1835&lt;17),"Usia di bawah 17","")))))))))</f>
        <v/>
      </c>
      <c r="Z1835" s="40" t="str">
        <f aca="false">IF($B1835="","",IF(AND(OR(CARI!$C$5="",ISNUMBER(SEARCH(CARI!$C$5,$B1835&amp;" "&amp;$C1835&amp;" "&amp;$D1835&amp;" "&amp;$O1835&amp;" "&amp;$I1835&amp;" "&amp;$F1835&amp;" "&amp;$J1835&amp;" "&amp;$K1835&amp;" "&amp;$L1835&amp;" "&amp;$V1835))),OR(CARI!$C$6="",$F1835=CARI!$C$6),OR(CARI!$C$7="",$G1835=CARI!$C$7),OR(CARI!$C$8="",$T1835=CARI!$C$8)),MAX($Z$3:Z1834)+1,""))</f>
        <v/>
      </c>
      <c r="AA1835" s="40" t="str">
        <f aca="false">IF($Y1835="","",MAX($AA$3:AA1834)+1)</f>
        <v/>
      </c>
      <c r="AB1835" s="40" t="str">
        <f aca="false">IF($F1835="","",$F1835&amp;"#"&amp;COUNTIF($F$4:$F1835,$F1835))</f>
        <v/>
      </c>
      <c r="AC1835" s="40" t="str">
        <f aca="false">IF($B1835="","",IF(AND(OR(CETAK!$J$10="",$F1835=CETAK!$J$10),OR(CETAK!$J$11="",$G1835=CETAK!$J$11),OR(CETAK!$J$12="",$P1835=CETAK!$J$12),OR(CETAK!$J$13="",$N1835=CETAK!$J$13),OR(CETAK!$J$14="",$T1835=CETAK!$J$14)),MAX($AC$3:AC1834)+1,""))</f>
        <v/>
      </c>
      <c r="AD1835" s="40" t="str">
        <f aca="false">IF($B1835="","",IF(AND(OR(ABSENSI!$H$10="",$F1835=ABSENSI!$H$10),OR(ABSENSI!$H$11="",$G1835=ABSENSI!$H$11),OR(ABSENSI!$H$12="",$P1835=ABSENSI!$H$12)),MAX($AD$3:AD1834)+1,""))</f>
        <v/>
      </c>
      <c r="AE1835" s="40" t="str">
        <f aca="false">IF($B1835="","",IF(AND(OR(KARTU!$K$6="",$F1835=KARTU!$K$6),OR(KARTU!$K$7="",$G1835=KARTU!$K$7),OR(KARTU!$K$8="",$P1835=KARTU!$K$8)),MAX($AE$3:AE1834)+1,""))</f>
        <v/>
      </c>
    </row>
    <row r="1836" customFormat="false" ht="15" hidden="false" customHeight="false" outlineLevel="0" collapsed="false">
      <c r="A1836" s="35" t="str">
        <f aca="false">IF($B1836="","",COUNTA($B$4:$B1836))</f>
        <v/>
      </c>
      <c r="B1836" s="36"/>
      <c r="C1836" s="37"/>
      <c r="D1836" s="37"/>
      <c r="E1836" s="38"/>
      <c r="F1836" s="36"/>
      <c r="G1836" s="39"/>
      <c r="H1836" s="39"/>
      <c r="I1836" s="36"/>
      <c r="J1836" s="36"/>
      <c r="K1836" s="36"/>
      <c r="L1836" s="36"/>
      <c r="M1836" s="40" t="str">
        <f aca="false">IF($F1836="","",$F1836&amp;IF($G1836="",""," - RT "&amp;$G1836&amp;IF($H1836="","","/"&amp;$H1836)))</f>
        <v/>
      </c>
      <c r="N1836" s="36"/>
      <c r="O1836" s="37"/>
      <c r="P1836" s="39"/>
      <c r="Q1836" s="41"/>
      <c r="R1836" s="35" t="str">
        <f aca="true">IF(OR($B1836="",$Q1836=""),"",DATEDIF($Q1836,TODAY(),"Y"))</f>
        <v/>
      </c>
      <c r="S1836" s="40" t="str">
        <f aca="false">IF($R1836="","",INDEX(usia_label,MATCH($R1836,usia_min,1)))</f>
        <v/>
      </c>
      <c r="T1836" s="36"/>
      <c r="U1836" s="41"/>
      <c r="V1836" s="36"/>
      <c r="W1836" s="36"/>
      <c r="X1836" s="40" t="str">
        <f aca="false">IF($M1836="","",$M1836&amp;"#"&amp;COUNTIF($M$4:$M1836,$M1836))</f>
        <v/>
      </c>
      <c r="Y1836" s="40" t="str">
        <f aca="false">IF($B1836="","",IF($C1836="","NIK kosong",IF(LEN($C1836)&lt;&gt;16,"NIK bukan 16 digit",IF(COUNTIF($C$4:$C$2003,$C1836&amp;"*")&gt;1,"NIK ganda",IF(AND($D1836&lt;&gt;"",LEN($D1836)&lt;&gt;16),"No. KK bukan 16 digit",IF(AND($F1836="",$I1836=""),"Alamat kosong",IF($N1836="","Jabatan kosong",IF($O1836="","No. HP kosong",IF(AND($R1836&lt;&gt;"",$R1836&lt;17),"Usia di bawah 17","")))))))))</f>
        <v/>
      </c>
      <c r="Z1836" s="40" t="str">
        <f aca="false">IF($B1836="","",IF(AND(OR(CARI!$C$5="",ISNUMBER(SEARCH(CARI!$C$5,$B1836&amp;" "&amp;$C1836&amp;" "&amp;$D1836&amp;" "&amp;$O1836&amp;" "&amp;$I1836&amp;" "&amp;$F1836&amp;" "&amp;$J1836&amp;" "&amp;$K1836&amp;" "&amp;$L1836&amp;" "&amp;$V1836))),OR(CARI!$C$6="",$F1836=CARI!$C$6),OR(CARI!$C$7="",$G1836=CARI!$C$7),OR(CARI!$C$8="",$T1836=CARI!$C$8)),MAX($Z$3:Z1835)+1,""))</f>
        <v/>
      </c>
      <c r="AA1836" s="40" t="str">
        <f aca="false">IF($Y1836="","",MAX($AA$3:AA1835)+1)</f>
        <v/>
      </c>
      <c r="AB1836" s="40" t="str">
        <f aca="false">IF($F1836="","",$F1836&amp;"#"&amp;COUNTIF($F$4:$F1836,$F1836))</f>
        <v/>
      </c>
      <c r="AC1836" s="40" t="str">
        <f aca="false">IF($B1836="","",IF(AND(OR(CETAK!$J$10="",$F1836=CETAK!$J$10),OR(CETAK!$J$11="",$G1836=CETAK!$J$11),OR(CETAK!$J$12="",$P1836=CETAK!$J$12),OR(CETAK!$J$13="",$N1836=CETAK!$J$13),OR(CETAK!$J$14="",$T1836=CETAK!$J$14)),MAX($AC$3:AC1835)+1,""))</f>
        <v/>
      </c>
      <c r="AD1836" s="40" t="str">
        <f aca="false">IF($B1836="","",IF(AND(OR(ABSENSI!$H$10="",$F1836=ABSENSI!$H$10),OR(ABSENSI!$H$11="",$G1836=ABSENSI!$H$11),OR(ABSENSI!$H$12="",$P1836=ABSENSI!$H$12)),MAX($AD$3:AD1835)+1,""))</f>
        <v/>
      </c>
      <c r="AE1836" s="40" t="str">
        <f aca="false">IF($B1836="","",IF(AND(OR(KARTU!$K$6="",$F1836=KARTU!$K$6),OR(KARTU!$K$7="",$G1836=KARTU!$K$7),OR(KARTU!$K$8="",$P1836=KARTU!$K$8)),MAX($AE$3:AE1835)+1,""))</f>
        <v/>
      </c>
    </row>
    <row r="1837" customFormat="false" ht="15" hidden="false" customHeight="false" outlineLevel="0" collapsed="false">
      <c r="A1837" s="35" t="str">
        <f aca="false">IF($B1837="","",COUNTA($B$4:$B1837))</f>
        <v/>
      </c>
      <c r="B1837" s="36"/>
      <c r="C1837" s="37"/>
      <c r="D1837" s="37"/>
      <c r="E1837" s="38"/>
      <c r="F1837" s="36"/>
      <c r="G1837" s="39"/>
      <c r="H1837" s="39"/>
      <c r="I1837" s="36"/>
      <c r="J1837" s="36"/>
      <c r="K1837" s="36"/>
      <c r="L1837" s="36"/>
      <c r="M1837" s="40" t="str">
        <f aca="false">IF($F1837="","",$F1837&amp;IF($G1837="",""," - RT "&amp;$G1837&amp;IF($H1837="","","/"&amp;$H1837)))</f>
        <v/>
      </c>
      <c r="N1837" s="36"/>
      <c r="O1837" s="37"/>
      <c r="P1837" s="39"/>
      <c r="Q1837" s="41"/>
      <c r="R1837" s="35" t="str">
        <f aca="true">IF(OR($B1837="",$Q1837=""),"",DATEDIF($Q1837,TODAY(),"Y"))</f>
        <v/>
      </c>
      <c r="S1837" s="40" t="str">
        <f aca="false">IF($R1837="","",INDEX(usia_label,MATCH($R1837,usia_min,1)))</f>
        <v/>
      </c>
      <c r="T1837" s="36"/>
      <c r="U1837" s="41"/>
      <c r="V1837" s="36"/>
      <c r="W1837" s="36"/>
      <c r="X1837" s="40" t="str">
        <f aca="false">IF($M1837="","",$M1837&amp;"#"&amp;COUNTIF($M$4:$M1837,$M1837))</f>
        <v/>
      </c>
      <c r="Y1837" s="40" t="str">
        <f aca="false">IF($B1837="","",IF($C1837="","NIK kosong",IF(LEN($C1837)&lt;&gt;16,"NIK bukan 16 digit",IF(COUNTIF($C$4:$C$2003,$C1837&amp;"*")&gt;1,"NIK ganda",IF(AND($D1837&lt;&gt;"",LEN($D1837)&lt;&gt;16),"No. KK bukan 16 digit",IF(AND($F1837="",$I1837=""),"Alamat kosong",IF($N1837="","Jabatan kosong",IF($O1837="","No. HP kosong",IF(AND($R1837&lt;&gt;"",$R1837&lt;17),"Usia di bawah 17","")))))))))</f>
        <v/>
      </c>
      <c r="Z1837" s="40" t="str">
        <f aca="false">IF($B1837="","",IF(AND(OR(CARI!$C$5="",ISNUMBER(SEARCH(CARI!$C$5,$B1837&amp;" "&amp;$C1837&amp;" "&amp;$D1837&amp;" "&amp;$O1837&amp;" "&amp;$I1837&amp;" "&amp;$F1837&amp;" "&amp;$J1837&amp;" "&amp;$K1837&amp;" "&amp;$L1837&amp;" "&amp;$V1837))),OR(CARI!$C$6="",$F1837=CARI!$C$6),OR(CARI!$C$7="",$G1837=CARI!$C$7),OR(CARI!$C$8="",$T1837=CARI!$C$8)),MAX($Z$3:Z1836)+1,""))</f>
        <v/>
      </c>
      <c r="AA1837" s="40" t="str">
        <f aca="false">IF($Y1837="","",MAX($AA$3:AA1836)+1)</f>
        <v/>
      </c>
      <c r="AB1837" s="40" t="str">
        <f aca="false">IF($F1837="","",$F1837&amp;"#"&amp;COUNTIF($F$4:$F1837,$F1837))</f>
        <v/>
      </c>
      <c r="AC1837" s="40" t="str">
        <f aca="false">IF($B1837="","",IF(AND(OR(CETAK!$J$10="",$F1837=CETAK!$J$10),OR(CETAK!$J$11="",$G1837=CETAK!$J$11),OR(CETAK!$J$12="",$P1837=CETAK!$J$12),OR(CETAK!$J$13="",$N1837=CETAK!$J$13),OR(CETAK!$J$14="",$T1837=CETAK!$J$14)),MAX($AC$3:AC1836)+1,""))</f>
        <v/>
      </c>
      <c r="AD1837" s="40" t="str">
        <f aca="false">IF($B1837="","",IF(AND(OR(ABSENSI!$H$10="",$F1837=ABSENSI!$H$10),OR(ABSENSI!$H$11="",$G1837=ABSENSI!$H$11),OR(ABSENSI!$H$12="",$P1837=ABSENSI!$H$12)),MAX($AD$3:AD1836)+1,""))</f>
        <v/>
      </c>
      <c r="AE1837" s="40" t="str">
        <f aca="false">IF($B1837="","",IF(AND(OR(KARTU!$K$6="",$F1837=KARTU!$K$6),OR(KARTU!$K$7="",$G1837=KARTU!$K$7),OR(KARTU!$K$8="",$P1837=KARTU!$K$8)),MAX($AE$3:AE1836)+1,""))</f>
        <v/>
      </c>
    </row>
    <row r="1838" customFormat="false" ht="15" hidden="false" customHeight="false" outlineLevel="0" collapsed="false">
      <c r="A1838" s="35" t="str">
        <f aca="false">IF($B1838="","",COUNTA($B$4:$B1838))</f>
        <v/>
      </c>
      <c r="B1838" s="36"/>
      <c r="C1838" s="37"/>
      <c r="D1838" s="37"/>
      <c r="E1838" s="38"/>
      <c r="F1838" s="36"/>
      <c r="G1838" s="39"/>
      <c r="H1838" s="39"/>
      <c r="I1838" s="36"/>
      <c r="J1838" s="36"/>
      <c r="K1838" s="36"/>
      <c r="L1838" s="36"/>
      <c r="M1838" s="40" t="str">
        <f aca="false">IF($F1838="","",$F1838&amp;IF($G1838="",""," - RT "&amp;$G1838&amp;IF($H1838="","","/"&amp;$H1838)))</f>
        <v/>
      </c>
      <c r="N1838" s="36"/>
      <c r="O1838" s="37"/>
      <c r="P1838" s="39"/>
      <c r="Q1838" s="41"/>
      <c r="R1838" s="35" t="str">
        <f aca="true">IF(OR($B1838="",$Q1838=""),"",DATEDIF($Q1838,TODAY(),"Y"))</f>
        <v/>
      </c>
      <c r="S1838" s="40" t="str">
        <f aca="false">IF($R1838="","",INDEX(usia_label,MATCH($R1838,usia_min,1)))</f>
        <v/>
      </c>
      <c r="T1838" s="36"/>
      <c r="U1838" s="41"/>
      <c r="V1838" s="36"/>
      <c r="W1838" s="36"/>
      <c r="X1838" s="40" t="str">
        <f aca="false">IF($M1838="","",$M1838&amp;"#"&amp;COUNTIF($M$4:$M1838,$M1838))</f>
        <v/>
      </c>
      <c r="Y1838" s="40" t="str">
        <f aca="false">IF($B1838="","",IF($C1838="","NIK kosong",IF(LEN($C1838)&lt;&gt;16,"NIK bukan 16 digit",IF(COUNTIF($C$4:$C$2003,$C1838&amp;"*")&gt;1,"NIK ganda",IF(AND($D1838&lt;&gt;"",LEN($D1838)&lt;&gt;16),"No. KK bukan 16 digit",IF(AND($F1838="",$I1838=""),"Alamat kosong",IF($N1838="","Jabatan kosong",IF($O1838="","No. HP kosong",IF(AND($R1838&lt;&gt;"",$R1838&lt;17),"Usia di bawah 17","")))))))))</f>
        <v/>
      </c>
      <c r="Z1838" s="40" t="str">
        <f aca="false">IF($B1838="","",IF(AND(OR(CARI!$C$5="",ISNUMBER(SEARCH(CARI!$C$5,$B1838&amp;" "&amp;$C1838&amp;" "&amp;$D1838&amp;" "&amp;$O1838&amp;" "&amp;$I1838&amp;" "&amp;$F1838&amp;" "&amp;$J1838&amp;" "&amp;$K1838&amp;" "&amp;$L1838&amp;" "&amp;$V1838))),OR(CARI!$C$6="",$F1838=CARI!$C$6),OR(CARI!$C$7="",$G1838=CARI!$C$7),OR(CARI!$C$8="",$T1838=CARI!$C$8)),MAX($Z$3:Z1837)+1,""))</f>
        <v/>
      </c>
      <c r="AA1838" s="40" t="str">
        <f aca="false">IF($Y1838="","",MAX($AA$3:AA1837)+1)</f>
        <v/>
      </c>
      <c r="AB1838" s="40" t="str">
        <f aca="false">IF($F1838="","",$F1838&amp;"#"&amp;COUNTIF($F$4:$F1838,$F1838))</f>
        <v/>
      </c>
      <c r="AC1838" s="40" t="str">
        <f aca="false">IF($B1838="","",IF(AND(OR(CETAK!$J$10="",$F1838=CETAK!$J$10),OR(CETAK!$J$11="",$G1838=CETAK!$J$11),OR(CETAK!$J$12="",$P1838=CETAK!$J$12),OR(CETAK!$J$13="",$N1838=CETAK!$J$13),OR(CETAK!$J$14="",$T1838=CETAK!$J$14)),MAX($AC$3:AC1837)+1,""))</f>
        <v/>
      </c>
      <c r="AD1838" s="40" t="str">
        <f aca="false">IF($B1838="","",IF(AND(OR(ABSENSI!$H$10="",$F1838=ABSENSI!$H$10),OR(ABSENSI!$H$11="",$G1838=ABSENSI!$H$11),OR(ABSENSI!$H$12="",$P1838=ABSENSI!$H$12)),MAX($AD$3:AD1837)+1,""))</f>
        <v/>
      </c>
      <c r="AE1838" s="40" t="str">
        <f aca="false">IF($B1838="","",IF(AND(OR(KARTU!$K$6="",$F1838=KARTU!$K$6),OR(KARTU!$K$7="",$G1838=KARTU!$K$7),OR(KARTU!$K$8="",$P1838=KARTU!$K$8)),MAX($AE$3:AE1837)+1,""))</f>
        <v/>
      </c>
    </row>
    <row r="1839" customFormat="false" ht="15" hidden="false" customHeight="false" outlineLevel="0" collapsed="false">
      <c r="A1839" s="35" t="str">
        <f aca="false">IF($B1839="","",COUNTA($B$4:$B1839))</f>
        <v/>
      </c>
      <c r="B1839" s="36"/>
      <c r="C1839" s="37"/>
      <c r="D1839" s="37"/>
      <c r="E1839" s="38"/>
      <c r="F1839" s="36"/>
      <c r="G1839" s="39"/>
      <c r="H1839" s="39"/>
      <c r="I1839" s="36"/>
      <c r="J1839" s="36"/>
      <c r="K1839" s="36"/>
      <c r="L1839" s="36"/>
      <c r="M1839" s="40" t="str">
        <f aca="false">IF($F1839="","",$F1839&amp;IF($G1839="",""," - RT "&amp;$G1839&amp;IF($H1839="","","/"&amp;$H1839)))</f>
        <v/>
      </c>
      <c r="N1839" s="36"/>
      <c r="O1839" s="37"/>
      <c r="P1839" s="39"/>
      <c r="Q1839" s="41"/>
      <c r="R1839" s="35" t="str">
        <f aca="true">IF(OR($B1839="",$Q1839=""),"",DATEDIF($Q1839,TODAY(),"Y"))</f>
        <v/>
      </c>
      <c r="S1839" s="40" t="str">
        <f aca="false">IF($R1839="","",INDEX(usia_label,MATCH($R1839,usia_min,1)))</f>
        <v/>
      </c>
      <c r="T1839" s="36"/>
      <c r="U1839" s="41"/>
      <c r="V1839" s="36"/>
      <c r="W1839" s="36"/>
      <c r="X1839" s="40" t="str">
        <f aca="false">IF($M1839="","",$M1839&amp;"#"&amp;COUNTIF($M$4:$M1839,$M1839))</f>
        <v/>
      </c>
      <c r="Y1839" s="40" t="str">
        <f aca="false">IF($B1839="","",IF($C1839="","NIK kosong",IF(LEN($C1839)&lt;&gt;16,"NIK bukan 16 digit",IF(COUNTIF($C$4:$C$2003,$C1839&amp;"*")&gt;1,"NIK ganda",IF(AND($D1839&lt;&gt;"",LEN($D1839)&lt;&gt;16),"No. KK bukan 16 digit",IF(AND($F1839="",$I1839=""),"Alamat kosong",IF($N1839="","Jabatan kosong",IF($O1839="","No. HP kosong",IF(AND($R1839&lt;&gt;"",$R1839&lt;17),"Usia di bawah 17","")))))))))</f>
        <v/>
      </c>
      <c r="Z1839" s="40" t="str">
        <f aca="false">IF($B1839="","",IF(AND(OR(CARI!$C$5="",ISNUMBER(SEARCH(CARI!$C$5,$B1839&amp;" "&amp;$C1839&amp;" "&amp;$D1839&amp;" "&amp;$O1839&amp;" "&amp;$I1839&amp;" "&amp;$F1839&amp;" "&amp;$J1839&amp;" "&amp;$K1839&amp;" "&amp;$L1839&amp;" "&amp;$V1839))),OR(CARI!$C$6="",$F1839=CARI!$C$6),OR(CARI!$C$7="",$G1839=CARI!$C$7),OR(CARI!$C$8="",$T1839=CARI!$C$8)),MAX($Z$3:Z1838)+1,""))</f>
        <v/>
      </c>
      <c r="AA1839" s="40" t="str">
        <f aca="false">IF($Y1839="","",MAX($AA$3:AA1838)+1)</f>
        <v/>
      </c>
      <c r="AB1839" s="40" t="str">
        <f aca="false">IF($F1839="","",$F1839&amp;"#"&amp;COUNTIF($F$4:$F1839,$F1839))</f>
        <v/>
      </c>
      <c r="AC1839" s="40" t="str">
        <f aca="false">IF($B1839="","",IF(AND(OR(CETAK!$J$10="",$F1839=CETAK!$J$10),OR(CETAK!$J$11="",$G1839=CETAK!$J$11),OR(CETAK!$J$12="",$P1839=CETAK!$J$12),OR(CETAK!$J$13="",$N1839=CETAK!$J$13),OR(CETAK!$J$14="",$T1839=CETAK!$J$14)),MAX($AC$3:AC1838)+1,""))</f>
        <v/>
      </c>
      <c r="AD1839" s="40" t="str">
        <f aca="false">IF($B1839="","",IF(AND(OR(ABSENSI!$H$10="",$F1839=ABSENSI!$H$10),OR(ABSENSI!$H$11="",$G1839=ABSENSI!$H$11),OR(ABSENSI!$H$12="",$P1839=ABSENSI!$H$12)),MAX($AD$3:AD1838)+1,""))</f>
        <v/>
      </c>
      <c r="AE1839" s="40" t="str">
        <f aca="false">IF($B1839="","",IF(AND(OR(KARTU!$K$6="",$F1839=KARTU!$K$6),OR(KARTU!$K$7="",$G1839=KARTU!$K$7),OR(KARTU!$K$8="",$P1839=KARTU!$K$8)),MAX($AE$3:AE1838)+1,""))</f>
        <v/>
      </c>
    </row>
    <row r="1840" customFormat="false" ht="15" hidden="false" customHeight="false" outlineLevel="0" collapsed="false">
      <c r="A1840" s="35" t="str">
        <f aca="false">IF($B1840="","",COUNTA($B$4:$B1840))</f>
        <v/>
      </c>
      <c r="B1840" s="36"/>
      <c r="C1840" s="37"/>
      <c r="D1840" s="37"/>
      <c r="E1840" s="38"/>
      <c r="F1840" s="36"/>
      <c r="G1840" s="39"/>
      <c r="H1840" s="39"/>
      <c r="I1840" s="36"/>
      <c r="J1840" s="36"/>
      <c r="K1840" s="36"/>
      <c r="L1840" s="36"/>
      <c r="M1840" s="40" t="str">
        <f aca="false">IF($F1840="","",$F1840&amp;IF($G1840="",""," - RT "&amp;$G1840&amp;IF($H1840="","","/"&amp;$H1840)))</f>
        <v/>
      </c>
      <c r="N1840" s="36"/>
      <c r="O1840" s="37"/>
      <c r="P1840" s="39"/>
      <c r="Q1840" s="41"/>
      <c r="R1840" s="35" t="str">
        <f aca="true">IF(OR($B1840="",$Q1840=""),"",DATEDIF($Q1840,TODAY(),"Y"))</f>
        <v/>
      </c>
      <c r="S1840" s="40" t="str">
        <f aca="false">IF($R1840="","",INDEX(usia_label,MATCH($R1840,usia_min,1)))</f>
        <v/>
      </c>
      <c r="T1840" s="36"/>
      <c r="U1840" s="41"/>
      <c r="V1840" s="36"/>
      <c r="W1840" s="36"/>
      <c r="X1840" s="40" t="str">
        <f aca="false">IF($M1840="","",$M1840&amp;"#"&amp;COUNTIF($M$4:$M1840,$M1840))</f>
        <v/>
      </c>
      <c r="Y1840" s="40" t="str">
        <f aca="false">IF($B1840="","",IF($C1840="","NIK kosong",IF(LEN($C1840)&lt;&gt;16,"NIK bukan 16 digit",IF(COUNTIF($C$4:$C$2003,$C1840&amp;"*")&gt;1,"NIK ganda",IF(AND($D1840&lt;&gt;"",LEN($D1840)&lt;&gt;16),"No. KK bukan 16 digit",IF(AND($F1840="",$I1840=""),"Alamat kosong",IF($N1840="","Jabatan kosong",IF($O1840="","No. HP kosong",IF(AND($R1840&lt;&gt;"",$R1840&lt;17),"Usia di bawah 17","")))))))))</f>
        <v/>
      </c>
      <c r="Z1840" s="40" t="str">
        <f aca="false">IF($B1840="","",IF(AND(OR(CARI!$C$5="",ISNUMBER(SEARCH(CARI!$C$5,$B1840&amp;" "&amp;$C1840&amp;" "&amp;$D1840&amp;" "&amp;$O1840&amp;" "&amp;$I1840&amp;" "&amp;$F1840&amp;" "&amp;$J1840&amp;" "&amp;$K1840&amp;" "&amp;$L1840&amp;" "&amp;$V1840))),OR(CARI!$C$6="",$F1840=CARI!$C$6),OR(CARI!$C$7="",$G1840=CARI!$C$7),OR(CARI!$C$8="",$T1840=CARI!$C$8)),MAX($Z$3:Z1839)+1,""))</f>
        <v/>
      </c>
      <c r="AA1840" s="40" t="str">
        <f aca="false">IF($Y1840="","",MAX($AA$3:AA1839)+1)</f>
        <v/>
      </c>
      <c r="AB1840" s="40" t="str">
        <f aca="false">IF($F1840="","",$F1840&amp;"#"&amp;COUNTIF($F$4:$F1840,$F1840))</f>
        <v/>
      </c>
      <c r="AC1840" s="40" t="str">
        <f aca="false">IF($B1840="","",IF(AND(OR(CETAK!$J$10="",$F1840=CETAK!$J$10),OR(CETAK!$J$11="",$G1840=CETAK!$J$11),OR(CETAK!$J$12="",$P1840=CETAK!$J$12),OR(CETAK!$J$13="",$N1840=CETAK!$J$13),OR(CETAK!$J$14="",$T1840=CETAK!$J$14)),MAX($AC$3:AC1839)+1,""))</f>
        <v/>
      </c>
      <c r="AD1840" s="40" t="str">
        <f aca="false">IF($B1840="","",IF(AND(OR(ABSENSI!$H$10="",$F1840=ABSENSI!$H$10),OR(ABSENSI!$H$11="",$G1840=ABSENSI!$H$11),OR(ABSENSI!$H$12="",$P1840=ABSENSI!$H$12)),MAX($AD$3:AD1839)+1,""))</f>
        <v/>
      </c>
      <c r="AE1840" s="40" t="str">
        <f aca="false">IF($B1840="","",IF(AND(OR(KARTU!$K$6="",$F1840=KARTU!$K$6),OR(KARTU!$K$7="",$G1840=KARTU!$K$7),OR(KARTU!$K$8="",$P1840=KARTU!$K$8)),MAX($AE$3:AE1839)+1,""))</f>
        <v/>
      </c>
    </row>
    <row r="1841" customFormat="false" ht="15" hidden="false" customHeight="false" outlineLevel="0" collapsed="false">
      <c r="A1841" s="35" t="str">
        <f aca="false">IF($B1841="","",COUNTA($B$4:$B1841))</f>
        <v/>
      </c>
      <c r="B1841" s="36"/>
      <c r="C1841" s="37"/>
      <c r="D1841" s="37"/>
      <c r="E1841" s="38"/>
      <c r="F1841" s="36"/>
      <c r="G1841" s="39"/>
      <c r="H1841" s="39"/>
      <c r="I1841" s="36"/>
      <c r="J1841" s="36"/>
      <c r="K1841" s="36"/>
      <c r="L1841" s="36"/>
      <c r="M1841" s="40" t="str">
        <f aca="false">IF($F1841="","",$F1841&amp;IF($G1841="",""," - RT "&amp;$G1841&amp;IF($H1841="","","/"&amp;$H1841)))</f>
        <v/>
      </c>
      <c r="N1841" s="36"/>
      <c r="O1841" s="37"/>
      <c r="P1841" s="39"/>
      <c r="Q1841" s="41"/>
      <c r="R1841" s="35" t="str">
        <f aca="true">IF(OR($B1841="",$Q1841=""),"",DATEDIF($Q1841,TODAY(),"Y"))</f>
        <v/>
      </c>
      <c r="S1841" s="40" t="str">
        <f aca="false">IF($R1841="","",INDEX(usia_label,MATCH($R1841,usia_min,1)))</f>
        <v/>
      </c>
      <c r="T1841" s="36"/>
      <c r="U1841" s="41"/>
      <c r="V1841" s="36"/>
      <c r="W1841" s="36"/>
      <c r="X1841" s="40" t="str">
        <f aca="false">IF($M1841="","",$M1841&amp;"#"&amp;COUNTIF($M$4:$M1841,$M1841))</f>
        <v/>
      </c>
      <c r="Y1841" s="40" t="str">
        <f aca="false">IF($B1841="","",IF($C1841="","NIK kosong",IF(LEN($C1841)&lt;&gt;16,"NIK bukan 16 digit",IF(COUNTIF($C$4:$C$2003,$C1841&amp;"*")&gt;1,"NIK ganda",IF(AND($D1841&lt;&gt;"",LEN($D1841)&lt;&gt;16),"No. KK bukan 16 digit",IF(AND($F1841="",$I1841=""),"Alamat kosong",IF($N1841="","Jabatan kosong",IF($O1841="","No. HP kosong",IF(AND($R1841&lt;&gt;"",$R1841&lt;17),"Usia di bawah 17","")))))))))</f>
        <v/>
      </c>
      <c r="Z1841" s="40" t="str">
        <f aca="false">IF($B1841="","",IF(AND(OR(CARI!$C$5="",ISNUMBER(SEARCH(CARI!$C$5,$B1841&amp;" "&amp;$C1841&amp;" "&amp;$D1841&amp;" "&amp;$O1841&amp;" "&amp;$I1841&amp;" "&amp;$F1841&amp;" "&amp;$J1841&amp;" "&amp;$K1841&amp;" "&amp;$L1841&amp;" "&amp;$V1841))),OR(CARI!$C$6="",$F1841=CARI!$C$6),OR(CARI!$C$7="",$G1841=CARI!$C$7),OR(CARI!$C$8="",$T1841=CARI!$C$8)),MAX($Z$3:Z1840)+1,""))</f>
        <v/>
      </c>
      <c r="AA1841" s="40" t="str">
        <f aca="false">IF($Y1841="","",MAX($AA$3:AA1840)+1)</f>
        <v/>
      </c>
      <c r="AB1841" s="40" t="str">
        <f aca="false">IF($F1841="","",$F1841&amp;"#"&amp;COUNTIF($F$4:$F1841,$F1841))</f>
        <v/>
      </c>
      <c r="AC1841" s="40" t="str">
        <f aca="false">IF($B1841="","",IF(AND(OR(CETAK!$J$10="",$F1841=CETAK!$J$10),OR(CETAK!$J$11="",$G1841=CETAK!$J$11),OR(CETAK!$J$12="",$P1841=CETAK!$J$12),OR(CETAK!$J$13="",$N1841=CETAK!$J$13),OR(CETAK!$J$14="",$T1841=CETAK!$J$14)),MAX($AC$3:AC1840)+1,""))</f>
        <v/>
      </c>
      <c r="AD1841" s="40" t="str">
        <f aca="false">IF($B1841="","",IF(AND(OR(ABSENSI!$H$10="",$F1841=ABSENSI!$H$10),OR(ABSENSI!$H$11="",$G1841=ABSENSI!$H$11),OR(ABSENSI!$H$12="",$P1841=ABSENSI!$H$12)),MAX($AD$3:AD1840)+1,""))</f>
        <v/>
      </c>
      <c r="AE1841" s="40" t="str">
        <f aca="false">IF($B1841="","",IF(AND(OR(KARTU!$K$6="",$F1841=KARTU!$K$6),OR(KARTU!$K$7="",$G1841=KARTU!$K$7),OR(KARTU!$K$8="",$P1841=KARTU!$K$8)),MAX($AE$3:AE1840)+1,""))</f>
        <v/>
      </c>
    </row>
    <row r="1842" customFormat="false" ht="15" hidden="false" customHeight="false" outlineLevel="0" collapsed="false">
      <c r="A1842" s="35" t="str">
        <f aca="false">IF($B1842="","",COUNTA($B$4:$B1842))</f>
        <v/>
      </c>
      <c r="B1842" s="36"/>
      <c r="C1842" s="37"/>
      <c r="D1842" s="37"/>
      <c r="E1842" s="38"/>
      <c r="F1842" s="36"/>
      <c r="G1842" s="39"/>
      <c r="H1842" s="39"/>
      <c r="I1842" s="36"/>
      <c r="J1842" s="36"/>
      <c r="K1842" s="36"/>
      <c r="L1842" s="36"/>
      <c r="M1842" s="40" t="str">
        <f aca="false">IF($F1842="","",$F1842&amp;IF($G1842="",""," - RT "&amp;$G1842&amp;IF($H1842="","","/"&amp;$H1842)))</f>
        <v/>
      </c>
      <c r="N1842" s="36"/>
      <c r="O1842" s="37"/>
      <c r="P1842" s="39"/>
      <c r="Q1842" s="41"/>
      <c r="R1842" s="35" t="str">
        <f aca="true">IF(OR($B1842="",$Q1842=""),"",DATEDIF($Q1842,TODAY(),"Y"))</f>
        <v/>
      </c>
      <c r="S1842" s="40" t="str">
        <f aca="false">IF($R1842="","",INDEX(usia_label,MATCH($R1842,usia_min,1)))</f>
        <v/>
      </c>
      <c r="T1842" s="36"/>
      <c r="U1842" s="41"/>
      <c r="V1842" s="36"/>
      <c r="W1842" s="36"/>
      <c r="X1842" s="40" t="str">
        <f aca="false">IF($M1842="","",$M1842&amp;"#"&amp;COUNTIF($M$4:$M1842,$M1842))</f>
        <v/>
      </c>
      <c r="Y1842" s="40" t="str">
        <f aca="false">IF($B1842="","",IF($C1842="","NIK kosong",IF(LEN($C1842)&lt;&gt;16,"NIK bukan 16 digit",IF(COUNTIF($C$4:$C$2003,$C1842&amp;"*")&gt;1,"NIK ganda",IF(AND($D1842&lt;&gt;"",LEN($D1842)&lt;&gt;16),"No. KK bukan 16 digit",IF(AND($F1842="",$I1842=""),"Alamat kosong",IF($N1842="","Jabatan kosong",IF($O1842="","No. HP kosong",IF(AND($R1842&lt;&gt;"",$R1842&lt;17),"Usia di bawah 17","")))))))))</f>
        <v/>
      </c>
      <c r="Z1842" s="40" t="str">
        <f aca="false">IF($B1842="","",IF(AND(OR(CARI!$C$5="",ISNUMBER(SEARCH(CARI!$C$5,$B1842&amp;" "&amp;$C1842&amp;" "&amp;$D1842&amp;" "&amp;$O1842&amp;" "&amp;$I1842&amp;" "&amp;$F1842&amp;" "&amp;$J1842&amp;" "&amp;$K1842&amp;" "&amp;$L1842&amp;" "&amp;$V1842))),OR(CARI!$C$6="",$F1842=CARI!$C$6),OR(CARI!$C$7="",$G1842=CARI!$C$7),OR(CARI!$C$8="",$T1842=CARI!$C$8)),MAX($Z$3:Z1841)+1,""))</f>
        <v/>
      </c>
      <c r="AA1842" s="40" t="str">
        <f aca="false">IF($Y1842="","",MAX($AA$3:AA1841)+1)</f>
        <v/>
      </c>
      <c r="AB1842" s="40" t="str">
        <f aca="false">IF($F1842="","",$F1842&amp;"#"&amp;COUNTIF($F$4:$F1842,$F1842))</f>
        <v/>
      </c>
      <c r="AC1842" s="40" t="str">
        <f aca="false">IF($B1842="","",IF(AND(OR(CETAK!$J$10="",$F1842=CETAK!$J$10),OR(CETAK!$J$11="",$G1842=CETAK!$J$11),OR(CETAK!$J$12="",$P1842=CETAK!$J$12),OR(CETAK!$J$13="",$N1842=CETAK!$J$13),OR(CETAK!$J$14="",$T1842=CETAK!$J$14)),MAX($AC$3:AC1841)+1,""))</f>
        <v/>
      </c>
      <c r="AD1842" s="40" t="str">
        <f aca="false">IF($B1842="","",IF(AND(OR(ABSENSI!$H$10="",$F1842=ABSENSI!$H$10),OR(ABSENSI!$H$11="",$G1842=ABSENSI!$H$11),OR(ABSENSI!$H$12="",$P1842=ABSENSI!$H$12)),MAX($AD$3:AD1841)+1,""))</f>
        <v/>
      </c>
      <c r="AE1842" s="40" t="str">
        <f aca="false">IF($B1842="","",IF(AND(OR(KARTU!$K$6="",$F1842=KARTU!$K$6),OR(KARTU!$K$7="",$G1842=KARTU!$K$7),OR(KARTU!$K$8="",$P1842=KARTU!$K$8)),MAX($AE$3:AE1841)+1,""))</f>
        <v/>
      </c>
    </row>
    <row r="1843" customFormat="false" ht="15" hidden="false" customHeight="false" outlineLevel="0" collapsed="false">
      <c r="A1843" s="35" t="str">
        <f aca="false">IF($B1843="","",COUNTA($B$4:$B1843))</f>
        <v/>
      </c>
      <c r="B1843" s="36"/>
      <c r="C1843" s="37"/>
      <c r="D1843" s="37"/>
      <c r="E1843" s="38"/>
      <c r="F1843" s="36"/>
      <c r="G1843" s="39"/>
      <c r="H1843" s="39"/>
      <c r="I1843" s="36"/>
      <c r="J1843" s="36"/>
      <c r="K1843" s="36"/>
      <c r="L1843" s="36"/>
      <c r="M1843" s="40" t="str">
        <f aca="false">IF($F1843="","",$F1843&amp;IF($G1843="",""," - RT "&amp;$G1843&amp;IF($H1843="","","/"&amp;$H1843)))</f>
        <v/>
      </c>
      <c r="N1843" s="36"/>
      <c r="O1843" s="37"/>
      <c r="P1843" s="39"/>
      <c r="Q1843" s="41"/>
      <c r="R1843" s="35" t="str">
        <f aca="true">IF(OR($B1843="",$Q1843=""),"",DATEDIF($Q1843,TODAY(),"Y"))</f>
        <v/>
      </c>
      <c r="S1843" s="40" t="str">
        <f aca="false">IF($R1843="","",INDEX(usia_label,MATCH($R1843,usia_min,1)))</f>
        <v/>
      </c>
      <c r="T1843" s="36"/>
      <c r="U1843" s="41"/>
      <c r="V1843" s="36"/>
      <c r="W1843" s="36"/>
      <c r="X1843" s="40" t="str">
        <f aca="false">IF($M1843="","",$M1843&amp;"#"&amp;COUNTIF($M$4:$M1843,$M1843))</f>
        <v/>
      </c>
      <c r="Y1843" s="40" t="str">
        <f aca="false">IF($B1843="","",IF($C1843="","NIK kosong",IF(LEN($C1843)&lt;&gt;16,"NIK bukan 16 digit",IF(COUNTIF($C$4:$C$2003,$C1843&amp;"*")&gt;1,"NIK ganda",IF(AND($D1843&lt;&gt;"",LEN($D1843)&lt;&gt;16),"No. KK bukan 16 digit",IF(AND($F1843="",$I1843=""),"Alamat kosong",IF($N1843="","Jabatan kosong",IF($O1843="","No. HP kosong",IF(AND($R1843&lt;&gt;"",$R1843&lt;17),"Usia di bawah 17","")))))))))</f>
        <v/>
      </c>
      <c r="Z1843" s="40" t="str">
        <f aca="false">IF($B1843="","",IF(AND(OR(CARI!$C$5="",ISNUMBER(SEARCH(CARI!$C$5,$B1843&amp;" "&amp;$C1843&amp;" "&amp;$D1843&amp;" "&amp;$O1843&amp;" "&amp;$I1843&amp;" "&amp;$F1843&amp;" "&amp;$J1843&amp;" "&amp;$K1843&amp;" "&amp;$L1843&amp;" "&amp;$V1843))),OR(CARI!$C$6="",$F1843=CARI!$C$6),OR(CARI!$C$7="",$G1843=CARI!$C$7),OR(CARI!$C$8="",$T1843=CARI!$C$8)),MAX($Z$3:Z1842)+1,""))</f>
        <v/>
      </c>
      <c r="AA1843" s="40" t="str">
        <f aca="false">IF($Y1843="","",MAX($AA$3:AA1842)+1)</f>
        <v/>
      </c>
      <c r="AB1843" s="40" t="str">
        <f aca="false">IF($F1843="","",$F1843&amp;"#"&amp;COUNTIF($F$4:$F1843,$F1843))</f>
        <v/>
      </c>
      <c r="AC1843" s="40" t="str">
        <f aca="false">IF($B1843="","",IF(AND(OR(CETAK!$J$10="",$F1843=CETAK!$J$10),OR(CETAK!$J$11="",$G1843=CETAK!$J$11),OR(CETAK!$J$12="",$P1843=CETAK!$J$12),OR(CETAK!$J$13="",$N1843=CETAK!$J$13),OR(CETAK!$J$14="",$T1843=CETAK!$J$14)),MAX($AC$3:AC1842)+1,""))</f>
        <v/>
      </c>
      <c r="AD1843" s="40" t="str">
        <f aca="false">IF($B1843="","",IF(AND(OR(ABSENSI!$H$10="",$F1843=ABSENSI!$H$10),OR(ABSENSI!$H$11="",$G1843=ABSENSI!$H$11),OR(ABSENSI!$H$12="",$P1843=ABSENSI!$H$12)),MAX($AD$3:AD1842)+1,""))</f>
        <v/>
      </c>
      <c r="AE1843" s="40" t="str">
        <f aca="false">IF($B1843="","",IF(AND(OR(KARTU!$K$6="",$F1843=KARTU!$K$6),OR(KARTU!$K$7="",$G1843=KARTU!$K$7),OR(KARTU!$K$8="",$P1843=KARTU!$K$8)),MAX($AE$3:AE1842)+1,""))</f>
        <v/>
      </c>
    </row>
    <row r="1844" customFormat="false" ht="15" hidden="false" customHeight="false" outlineLevel="0" collapsed="false">
      <c r="A1844" s="35" t="str">
        <f aca="false">IF($B1844="","",COUNTA($B$4:$B1844))</f>
        <v/>
      </c>
      <c r="B1844" s="36"/>
      <c r="C1844" s="37"/>
      <c r="D1844" s="37"/>
      <c r="E1844" s="38"/>
      <c r="F1844" s="36"/>
      <c r="G1844" s="39"/>
      <c r="H1844" s="39"/>
      <c r="I1844" s="36"/>
      <c r="J1844" s="36"/>
      <c r="K1844" s="36"/>
      <c r="L1844" s="36"/>
      <c r="M1844" s="40" t="str">
        <f aca="false">IF($F1844="","",$F1844&amp;IF($G1844="",""," - RT "&amp;$G1844&amp;IF($H1844="","","/"&amp;$H1844)))</f>
        <v/>
      </c>
      <c r="N1844" s="36"/>
      <c r="O1844" s="37"/>
      <c r="P1844" s="39"/>
      <c r="Q1844" s="41"/>
      <c r="R1844" s="35" t="str">
        <f aca="true">IF(OR($B1844="",$Q1844=""),"",DATEDIF($Q1844,TODAY(),"Y"))</f>
        <v/>
      </c>
      <c r="S1844" s="40" t="str">
        <f aca="false">IF($R1844="","",INDEX(usia_label,MATCH($R1844,usia_min,1)))</f>
        <v/>
      </c>
      <c r="T1844" s="36"/>
      <c r="U1844" s="41"/>
      <c r="V1844" s="36"/>
      <c r="W1844" s="36"/>
      <c r="X1844" s="40" t="str">
        <f aca="false">IF($M1844="","",$M1844&amp;"#"&amp;COUNTIF($M$4:$M1844,$M1844))</f>
        <v/>
      </c>
      <c r="Y1844" s="40" t="str">
        <f aca="false">IF($B1844="","",IF($C1844="","NIK kosong",IF(LEN($C1844)&lt;&gt;16,"NIK bukan 16 digit",IF(COUNTIF($C$4:$C$2003,$C1844&amp;"*")&gt;1,"NIK ganda",IF(AND($D1844&lt;&gt;"",LEN($D1844)&lt;&gt;16),"No. KK bukan 16 digit",IF(AND($F1844="",$I1844=""),"Alamat kosong",IF($N1844="","Jabatan kosong",IF($O1844="","No. HP kosong",IF(AND($R1844&lt;&gt;"",$R1844&lt;17),"Usia di bawah 17","")))))))))</f>
        <v/>
      </c>
      <c r="Z1844" s="40" t="str">
        <f aca="false">IF($B1844="","",IF(AND(OR(CARI!$C$5="",ISNUMBER(SEARCH(CARI!$C$5,$B1844&amp;" "&amp;$C1844&amp;" "&amp;$D1844&amp;" "&amp;$O1844&amp;" "&amp;$I1844&amp;" "&amp;$F1844&amp;" "&amp;$J1844&amp;" "&amp;$K1844&amp;" "&amp;$L1844&amp;" "&amp;$V1844))),OR(CARI!$C$6="",$F1844=CARI!$C$6),OR(CARI!$C$7="",$G1844=CARI!$C$7),OR(CARI!$C$8="",$T1844=CARI!$C$8)),MAX($Z$3:Z1843)+1,""))</f>
        <v/>
      </c>
      <c r="AA1844" s="40" t="str">
        <f aca="false">IF($Y1844="","",MAX($AA$3:AA1843)+1)</f>
        <v/>
      </c>
      <c r="AB1844" s="40" t="str">
        <f aca="false">IF($F1844="","",$F1844&amp;"#"&amp;COUNTIF($F$4:$F1844,$F1844))</f>
        <v/>
      </c>
      <c r="AC1844" s="40" t="str">
        <f aca="false">IF($B1844="","",IF(AND(OR(CETAK!$J$10="",$F1844=CETAK!$J$10),OR(CETAK!$J$11="",$G1844=CETAK!$J$11),OR(CETAK!$J$12="",$P1844=CETAK!$J$12),OR(CETAK!$J$13="",$N1844=CETAK!$J$13),OR(CETAK!$J$14="",$T1844=CETAK!$J$14)),MAX($AC$3:AC1843)+1,""))</f>
        <v/>
      </c>
      <c r="AD1844" s="40" t="str">
        <f aca="false">IF($B1844="","",IF(AND(OR(ABSENSI!$H$10="",$F1844=ABSENSI!$H$10),OR(ABSENSI!$H$11="",$G1844=ABSENSI!$H$11),OR(ABSENSI!$H$12="",$P1844=ABSENSI!$H$12)),MAX($AD$3:AD1843)+1,""))</f>
        <v/>
      </c>
      <c r="AE1844" s="40" t="str">
        <f aca="false">IF($B1844="","",IF(AND(OR(KARTU!$K$6="",$F1844=KARTU!$K$6),OR(KARTU!$K$7="",$G1844=KARTU!$K$7),OR(KARTU!$K$8="",$P1844=KARTU!$K$8)),MAX($AE$3:AE1843)+1,""))</f>
        <v/>
      </c>
    </row>
    <row r="1845" customFormat="false" ht="15" hidden="false" customHeight="false" outlineLevel="0" collapsed="false">
      <c r="A1845" s="35" t="str">
        <f aca="false">IF($B1845="","",COUNTA($B$4:$B1845))</f>
        <v/>
      </c>
      <c r="B1845" s="36"/>
      <c r="C1845" s="37"/>
      <c r="D1845" s="37"/>
      <c r="E1845" s="38"/>
      <c r="F1845" s="36"/>
      <c r="G1845" s="39"/>
      <c r="H1845" s="39"/>
      <c r="I1845" s="36"/>
      <c r="J1845" s="36"/>
      <c r="K1845" s="36"/>
      <c r="L1845" s="36"/>
      <c r="M1845" s="40" t="str">
        <f aca="false">IF($F1845="","",$F1845&amp;IF($G1845="",""," - RT "&amp;$G1845&amp;IF($H1845="","","/"&amp;$H1845)))</f>
        <v/>
      </c>
      <c r="N1845" s="36"/>
      <c r="O1845" s="37"/>
      <c r="P1845" s="39"/>
      <c r="Q1845" s="41"/>
      <c r="R1845" s="35" t="str">
        <f aca="true">IF(OR($B1845="",$Q1845=""),"",DATEDIF($Q1845,TODAY(),"Y"))</f>
        <v/>
      </c>
      <c r="S1845" s="40" t="str">
        <f aca="false">IF($R1845="","",INDEX(usia_label,MATCH($R1845,usia_min,1)))</f>
        <v/>
      </c>
      <c r="T1845" s="36"/>
      <c r="U1845" s="41"/>
      <c r="V1845" s="36"/>
      <c r="W1845" s="36"/>
      <c r="X1845" s="40" t="str">
        <f aca="false">IF($M1845="","",$M1845&amp;"#"&amp;COUNTIF($M$4:$M1845,$M1845))</f>
        <v/>
      </c>
      <c r="Y1845" s="40" t="str">
        <f aca="false">IF($B1845="","",IF($C1845="","NIK kosong",IF(LEN($C1845)&lt;&gt;16,"NIK bukan 16 digit",IF(COUNTIF($C$4:$C$2003,$C1845&amp;"*")&gt;1,"NIK ganda",IF(AND($D1845&lt;&gt;"",LEN($D1845)&lt;&gt;16),"No. KK bukan 16 digit",IF(AND($F1845="",$I1845=""),"Alamat kosong",IF($N1845="","Jabatan kosong",IF($O1845="","No. HP kosong",IF(AND($R1845&lt;&gt;"",$R1845&lt;17),"Usia di bawah 17","")))))))))</f>
        <v/>
      </c>
      <c r="Z1845" s="40" t="str">
        <f aca="false">IF($B1845="","",IF(AND(OR(CARI!$C$5="",ISNUMBER(SEARCH(CARI!$C$5,$B1845&amp;" "&amp;$C1845&amp;" "&amp;$D1845&amp;" "&amp;$O1845&amp;" "&amp;$I1845&amp;" "&amp;$F1845&amp;" "&amp;$J1845&amp;" "&amp;$K1845&amp;" "&amp;$L1845&amp;" "&amp;$V1845))),OR(CARI!$C$6="",$F1845=CARI!$C$6),OR(CARI!$C$7="",$G1845=CARI!$C$7),OR(CARI!$C$8="",$T1845=CARI!$C$8)),MAX($Z$3:Z1844)+1,""))</f>
        <v/>
      </c>
      <c r="AA1845" s="40" t="str">
        <f aca="false">IF($Y1845="","",MAX($AA$3:AA1844)+1)</f>
        <v/>
      </c>
      <c r="AB1845" s="40" t="str">
        <f aca="false">IF($F1845="","",$F1845&amp;"#"&amp;COUNTIF($F$4:$F1845,$F1845))</f>
        <v/>
      </c>
      <c r="AC1845" s="40" t="str">
        <f aca="false">IF($B1845="","",IF(AND(OR(CETAK!$J$10="",$F1845=CETAK!$J$10),OR(CETAK!$J$11="",$G1845=CETAK!$J$11),OR(CETAK!$J$12="",$P1845=CETAK!$J$12),OR(CETAK!$J$13="",$N1845=CETAK!$J$13),OR(CETAK!$J$14="",$T1845=CETAK!$J$14)),MAX($AC$3:AC1844)+1,""))</f>
        <v/>
      </c>
      <c r="AD1845" s="40" t="str">
        <f aca="false">IF($B1845="","",IF(AND(OR(ABSENSI!$H$10="",$F1845=ABSENSI!$H$10),OR(ABSENSI!$H$11="",$G1845=ABSENSI!$H$11),OR(ABSENSI!$H$12="",$P1845=ABSENSI!$H$12)),MAX($AD$3:AD1844)+1,""))</f>
        <v/>
      </c>
      <c r="AE1845" s="40" t="str">
        <f aca="false">IF($B1845="","",IF(AND(OR(KARTU!$K$6="",$F1845=KARTU!$K$6),OR(KARTU!$K$7="",$G1845=KARTU!$K$7),OR(KARTU!$K$8="",$P1845=KARTU!$K$8)),MAX($AE$3:AE1844)+1,""))</f>
        <v/>
      </c>
    </row>
    <row r="1846" customFormat="false" ht="15" hidden="false" customHeight="false" outlineLevel="0" collapsed="false">
      <c r="A1846" s="35" t="str">
        <f aca="false">IF($B1846="","",COUNTA($B$4:$B1846))</f>
        <v/>
      </c>
      <c r="B1846" s="36"/>
      <c r="C1846" s="37"/>
      <c r="D1846" s="37"/>
      <c r="E1846" s="38"/>
      <c r="F1846" s="36"/>
      <c r="G1846" s="39"/>
      <c r="H1846" s="39"/>
      <c r="I1846" s="36"/>
      <c r="J1846" s="36"/>
      <c r="K1846" s="36"/>
      <c r="L1846" s="36"/>
      <c r="M1846" s="40" t="str">
        <f aca="false">IF($F1846="","",$F1846&amp;IF($G1846="",""," - RT "&amp;$G1846&amp;IF($H1846="","","/"&amp;$H1846)))</f>
        <v/>
      </c>
      <c r="N1846" s="36"/>
      <c r="O1846" s="37"/>
      <c r="P1846" s="39"/>
      <c r="Q1846" s="41"/>
      <c r="R1846" s="35" t="str">
        <f aca="true">IF(OR($B1846="",$Q1846=""),"",DATEDIF($Q1846,TODAY(),"Y"))</f>
        <v/>
      </c>
      <c r="S1846" s="40" t="str">
        <f aca="false">IF($R1846="","",INDEX(usia_label,MATCH($R1846,usia_min,1)))</f>
        <v/>
      </c>
      <c r="T1846" s="36"/>
      <c r="U1846" s="41"/>
      <c r="V1846" s="36"/>
      <c r="W1846" s="36"/>
      <c r="X1846" s="40" t="str">
        <f aca="false">IF($M1846="","",$M1846&amp;"#"&amp;COUNTIF($M$4:$M1846,$M1846))</f>
        <v/>
      </c>
      <c r="Y1846" s="40" t="str">
        <f aca="false">IF($B1846="","",IF($C1846="","NIK kosong",IF(LEN($C1846)&lt;&gt;16,"NIK bukan 16 digit",IF(COUNTIF($C$4:$C$2003,$C1846&amp;"*")&gt;1,"NIK ganda",IF(AND($D1846&lt;&gt;"",LEN($D1846)&lt;&gt;16),"No. KK bukan 16 digit",IF(AND($F1846="",$I1846=""),"Alamat kosong",IF($N1846="","Jabatan kosong",IF($O1846="","No. HP kosong",IF(AND($R1846&lt;&gt;"",$R1846&lt;17),"Usia di bawah 17","")))))))))</f>
        <v/>
      </c>
      <c r="Z1846" s="40" t="str">
        <f aca="false">IF($B1846="","",IF(AND(OR(CARI!$C$5="",ISNUMBER(SEARCH(CARI!$C$5,$B1846&amp;" "&amp;$C1846&amp;" "&amp;$D1846&amp;" "&amp;$O1846&amp;" "&amp;$I1846&amp;" "&amp;$F1846&amp;" "&amp;$J1846&amp;" "&amp;$K1846&amp;" "&amp;$L1846&amp;" "&amp;$V1846))),OR(CARI!$C$6="",$F1846=CARI!$C$6),OR(CARI!$C$7="",$G1846=CARI!$C$7),OR(CARI!$C$8="",$T1846=CARI!$C$8)),MAX($Z$3:Z1845)+1,""))</f>
        <v/>
      </c>
      <c r="AA1846" s="40" t="str">
        <f aca="false">IF($Y1846="","",MAX($AA$3:AA1845)+1)</f>
        <v/>
      </c>
      <c r="AB1846" s="40" t="str">
        <f aca="false">IF($F1846="","",$F1846&amp;"#"&amp;COUNTIF($F$4:$F1846,$F1846))</f>
        <v/>
      </c>
      <c r="AC1846" s="40" t="str">
        <f aca="false">IF($B1846="","",IF(AND(OR(CETAK!$J$10="",$F1846=CETAK!$J$10),OR(CETAK!$J$11="",$G1846=CETAK!$J$11),OR(CETAK!$J$12="",$P1846=CETAK!$J$12),OR(CETAK!$J$13="",$N1846=CETAK!$J$13),OR(CETAK!$J$14="",$T1846=CETAK!$J$14)),MAX($AC$3:AC1845)+1,""))</f>
        <v/>
      </c>
      <c r="AD1846" s="40" t="str">
        <f aca="false">IF($B1846="","",IF(AND(OR(ABSENSI!$H$10="",$F1846=ABSENSI!$H$10),OR(ABSENSI!$H$11="",$G1846=ABSENSI!$H$11),OR(ABSENSI!$H$12="",$P1846=ABSENSI!$H$12)),MAX($AD$3:AD1845)+1,""))</f>
        <v/>
      </c>
      <c r="AE1846" s="40" t="str">
        <f aca="false">IF($B1846="","",IF(AND(OR(KARTU!$K$6="",$F1846=KARTU!$K$6),OR(KARTU!$K$7="",$G1846=KARTU!$K$7),OR(KARTU!$K$8="",$P1846=KARTU!$K$8)),MAX($AE$3:AE1845)+1,""))</f>
        <v/>
      </c>
    </row>
    <row r="1847" customFormat="false" ht="15" hidden="false" customHeight="false" outlineLevel="0" collapsed="false">
      <c r="A1847" s="35" t="str">
        <f aca="false">IF($B1847="","",COUNTA($B$4:$B1847))</f>
        <v/>
      </c>
      <c r="B1847" s="36"/>
      <c r="C1847" s="37"/>
      <c r="D1847" s="37"/>
      <c r="E1847" s="38"/>
      <c r="F1847" s="36"/>
      <c r="G1847" s="39"/>
      <c r="H1847" s="39"/>
      <c r="I1847" s="36"/>
      <c r="J1847" s="36"/>
      <c r="K1847" s="36"/>
      <c r="L1847" s="36"/>
      <c r="M1847" s="40" t="str">
        <f aca="false">IF($F1847="","",$F1847&amp;IF($G1847="",""," - RT "&amp;$G1847&amp;IF($H1847="","","/"&amp;$H1847)))</f>
        <v/>
      </c>
      <c r="N1847" s="36"/>
      <c r="O1847" s="37"/>
      <c r="P1847" s="39"/>
      <c r="Q1847" s="41"/>
      <c r="R1847" s="35" t="str">
        <f aca="true">IF(OR($B1847="",$Q1847=""),"",DATEDIF($Q1847,TODAY(),"Y"))</f>
        <v/>
      </c>
      <c r="S1847" s="40" t="str">
        <f aca="false">IF($R1847="","",INDEX(usia_label,MATCH($R1847,usia_min,1)))</f>
        <v/>
      </c>
      <c r="T1847" s="36"/>
      <c r="U1847" s="41"/>
      <c r="V1847" s="36"/>
      <c r="W1847" s="36"/>
      <c r="X1847" s="40" t="str">
        <f aca="false">IF($M1847="","",$M1847&amp;"#"&amp;COUNTIF($M$4:$M1847,$M1847))</f>
        <v/>
      </c>
      <c r="Y1847" s="40" t="str">
        <f aca="false">IF($B1847="","",IF($C1847="","NIK kosong",IF(LEN($C1847)&lt;&gt;16,"NIK bukan 16 digit",IF(COUNTIF($C$4:$C$2003,$C1847&amp;"*")&gt;1,"NIK ganda",IF(AND($D1847&lt;&gt;"",LEN($D1847)&lt;&gt;16),"No. KK bukan 16 digit",IF(AND($F1847="",$I1847=""),"Alamat kosong",IF($N1847="","Jabatan kosong",IF($O1847="","No. HP kosong",IF(AND($R1847&lt;&gt;"",$R1847&lt;17),"Usia di bawah 17","")))))))))</f>
        <v/>
      </c>
      <c r="Z1847" s="40" t="str">
        <f aca="false">IF($B1847="","",IF(AND(OR(CARI!$C$5="",ISNUMBER(SEARCH(CARI!$C$5,$B1847&amp;" "&amp;$C1847&amp;" "&amp;$D1847&amp;" "&amp;$O1847&amp;" "&amp;$I1847&amp;" "&amp;$F1847&amp;" "&amp;$J1847&amp;" "&amp;$K1847&amp;" "&amp;$L1847&amp;" "&amp;$V1847))),OR(CARI!$C$6="",$F1847=CARI!$C$6),OR(CARI!$C$7="",$G1847=CARI!$C$7),OR(CARI!$C$8="",$T1847=CARI!$C$8)),MAX($Z$3:Z1846)+1,""))</f>
        <v/>
      </c>
      <c r="AA1847" s="40" t="str">
        <f aca="false">IF($Y1847="","",MAX($AA$3:AA1846)+1)</f>
        <v/>
      </c>
      <c r="AB1847" s="40" t="str">
        <f aca="false">IF($F1847="","",$F1847&amp;"#"&amp;COUNTIF($F$4:$F1847,$F1847))</f>
        <v/>
      </c>
      <c r="AC1847" s="40" t="str">
        <f aca="false">IF($B1847="","",IF(AND(OR(CETAK!$J$10="",$F1847=CETAK!$J$10),OR(CETAK!$J$11="",$G1847=CETAK!$J$11),OR(CETAK!$J$12="",$P1847=CETAK!$J$12),OR(CETAK!$J$13="",$N1847=CETAK!$J$13),OR(CETAK!$J$14="",$T1847=CETAK!$J$14)),MAX($AC$3:AC1846)+1,""))</f>
        <v/>
      </c>
      <c r="AD1847" s="40" t="str">
        <f aca="false">IF($B1847="","",IF(AND(OR(ABSENSI!$H$10="",$F1847=ABSENSI!$H$10),OR(ABSENSI!$H$11="",$G1847=ABSENSI!$H$11),OR(ABSENSI!$H$12="",$P1847=ABSENSI!$H$12)),MAX($AD$3:AD1846)+1,""))</f>
        <v/>
      </c>
      <c r="AE1847" s="40" t="str">
        <f aca="false">IF($B1847="","",IF(AND(OR(KARTU!$K$6="",$F1847=KARTU!$K$6),OR(KARTU!$K$7="",$G1847=KARTU!$K$7),OR(KARTU!$K$8="",$P1847=KARTU!$K$8)),MAX($AE$3:AE1846)+1,""))</f>
        <v/>
      </c>
    </row>
    <row r="1848" customFormat="false" ht="15" hidden="false" customHeight="false" outlineLevel="0" collapsed="false">
      <c r="A1848" s="35" t="str">
        <f aca="false">IF($B1848="","",COUNTA($B$4:$B1848))</f>
        <v/>
      </c>
      <c r="B1848" s="36"/>
      <c r="C1848" s="37"/>
      <c r="D1848" s="37"/>
      <c r="E1848" s="38"/>
      <c r="F1848" s="36"/>
      <c r="G1848" s="39"/>
      <c r="H1848" s="39"/>
      <c r="I1848" s="36"/>
      <c r="J1848" s="36"/>
      <c r="K1848" s="36"/>
      <c r="L1848" s="36"/>
      <c r="M1848" s="40" t="str">
        <f aca="false">IF($F1848="","",$F1848&amp;IF($G1848="",""," - RT "&amp;$G1848&amp;IF($H1848="","","/"&amp;$H1848)))</f>
        <v/>
      </c>
      <c r="N1848" s="36"/>
      <c r="O1848" s="37"/>
      <c r="P1848" s="39"/>
      <c r="Q1848" s="41"/>
      <c r="R1848" s="35" t="str">
        <f aca="true">IF(OR($B1848="",$Q1848=""),"",DATEDIF($Q1848,TODAY(),"Y"))</f>
        <v/>
      </c>
      <c r="S1848" s="40" t="str">
        <f aca="false">IF($R1848="","",INDEX(usia_label,MATCH($R1848,usia_min,1)))</f>
        <v/>
      </c>
      <c r="T1848" s="36"/>
      <c r="U1848" s="41"/>
      <c r="V1848" s="36"/>
      <c r="W1848" s="36"/>
      <c r="X1848" s="40" t="str">
        <f aca="false">IF($M1848="","",$M1848&amp;"#"&amp;COUNTIF($M$4:$M1848,$M1848))</f>
        <v/>
      </c>
      <c r="Y1848" s="40" t="str">
        <f aca="false">IF($B1848="","",IF($C1848="","NIK kosong",IF(LEN($C1848)&lt;&gt;16,"NIK bukan 16 digit",IF(COUNTIF($C$4:$C$2003,$C1848&amp;"*")&gt;1,"NIK ganda",IF(AND($D1848&lt;&gt;"",LEN($D1848)&lt;&gt;16),"No. KK bukan 16 digit",IF(AND($F1848="",$I1848=""),"Alamat kosong",IF($N1848="","Jabatan kosong",IF($O1848="","No. HP kosong",IF(AND($R1848&lt;&gt;"",$R1848&lt;17),"Usia di bawah 17","")))))))))</f>
        <v/>
      </c>
      <c r="Z1848" s="40" t="str">
        <f aca="false">IF($B1848="","",IF(AND(OR(CARI!$C$5="",ISNUMBER(SEARCH(CARI!$C$5,$B1848&amp;" "&amp;$C1848&amp;" "&amp;$D1848&amp;" "&amp;$O1848&amp;" "&amp;$I1848&amp;" "&amp;$F1848&amp;" "&amp;$J1848&amp;" "&amp;$K1848&amp;" "&amp;$L1848&amp;" "&amp;$V1848))),OR(CARI!$C$6="",$F1848=CARI!$C$6),OR(CARI!$C$7="",$G1848=CARI!$C$7),OR(CARI!$C$8="",$T1848=CARI!$C$8)),MAX($Z$3:Z1847)+1,""))</f>
        <v/>
      </c>
      <c r="AA1848" s="40" t="str">
        <f aca="false">IF($Y1848="","",MAX($AA$3:AA1847)+1)</f>
        <v/>
      </c>
      <c r="AB1848" s="40" t="str">
        <f aca="false">IF($F1848="","",$F1848&amp;"#"&amp;COUNTIF($F$4:$F1848,$F1848))</f>
        <v/>
      </c>
      <c r="AC1848" s="40" t="str">
        <f aca="false">IF($B1848="","",IF(AND(OR(CETAK!$J$10="",$F1848=CETAK!$J$10),OR(CETAK!$J$11="",$G1848=CETAK!$J$11),OR(CETAK!$J$12="",$P1848=CETAK!$J$12),OR(CETAK!$J$13="",$N1848=CETAK!$J$13),OR(CETAK!$J$14="",$T1848=CETAK!$J$14)),MAX($AC$3:AC1847)+1,""))</f>
        <v/>
      </c>
      <c r="AD1848" s="40" t="str">
        <f aca="false">IF($B1848="","",IF(AND(OR(ABSENSI!$H$10="",$F1848=ABSENSI!$H$10),OR(ABSENSI!$H$11="",$G1848=ABSENSI!$H$11),OR(ABSENSI!$H$12="",$P1848=ABSENSI!$H$12)),MAX($AD$3:AD1847)+1,""))</f>
        <v/>
      </c>
      <c r="AE1848" s="40" t="str">
        <f aca="false">IF($B1848="","",IF(AND(OR(KARTU!$K$6="",$F1848=KARTU!$K$6),OR(KARTU!$K$7="",$G1848=KARTU!$K$7),OR(KARTU!$K$8="",$P1848=KARTU!$K$8)),MAX($AE$3:AE1847)+1,""))</f>
        <v/>
      </c>
    </row>
    <row r="1849" customFormat="false" ht="15" hidden="false" customHeight="false" outlineLevel="0" collapsed="false">
      <c r="A1849" s="35" t="str">
        <f aca="false">IF($B1849="","",COUNTA($B$4:$B1849))</f>
        <v/>
      </c>
      <c r="B1849" s="36"/>
      <c r="C1849" s="37"/>
      <c r="D1849" s="37"/>
      <c r="E1849" s="38"/>
      <c r="F1849" s="36"/>
      <c r="G1849" s="39"/>
      <c r="H1849" s="39"/>
      <c r="I1849" s="36"/>
      <c r="J1849" s="36"/>
      <c r="K1849" s="36"/>
      <c r="L1849" s="36"/>
      <c r="M1849" s="40" t="str">
        <f aca="false">IF($F1849="","",$F1849&amp;IF($G1849="",""," - RT "&amp;$G1849&amp;IF($H1849="","","/"&amp;$H1849)))</f>
        <v/>
      </c>
      <c r="N1849" s="36"/>
      <c r="O1849" s="37"/>
      <c r="P1849" s="39"/>
      <c r="Q1849" s="41"/>
      <c r="R1849" s="35" t="str">
        <f aca="true">IF(OR($B1849="",$Q1849=""),"",DATEDIF($Q1849,TODAY(),"Y"))</f>
        <v/>
      </c>
      <c r="S1849" s="40" t="str">
        <f aca="false">IF($R1849="","",INDEX(usia_label,MATCH($R1849,usia_min,1)))</f>
        <v/>
      </c>
      <c r="T1849" s="36"/>
      <c r="U1849" s="41"/>
      <c r="V1849" s="36"/>
      <c r="W1849" s="36"/>
      <c r="X1849" s="40" t="str">
        <f aca="false">IF($M1849="","",$M1849&amp;"#"&amp;COUNTIF($M$4:$M1849,$M1849))</f>
        <v/>
      </c>
      <c r="Y1849" s="40" t="str">
        <f aca="false">IF($B1849="","",IF($C1849="","NIK kosong",IF(LEN($C1849)&lt;&gt;16,"NIK bukan 16 digit",IF(COUNTIF($C$4:$C$2003,$C1849&amp;"*")&gt;1,"NIK ganda",IF(AND($D1849&lt;&gt;"",LEN($D1849)&lt;&gt;16),"No. KK bukan 16 digit",IF(AND($F1849="",$I1849=""),"Alamat kosong",IF($N1849="","Jabatan kosong",IF($O1849="","No. HP kosong",IF(AND($R1849&lt;&gt;"",$R1849&lt;17),"Usia di bawah 17","")))))))))</f>
        <v/>
      </c>
      <c r="Z1849" s="40" t="str">
        <f aca="false">IF($B1849="","",IF(AND(OR(CARI!$C$5="",ISNUMBER(SEARCH(CARI!$C$5,$B1849&amp;" "&amp;$C1849&amp;" "&amp;$D1849&amp;" "&amp;$O1849&amp;" "&amp;$I1849&amp;" "&amp;$F1849&amp;" "&amp;$J1849&amp;" "&amp;$K1849&amp;" "&amp;$L1849&amp;" "&amp;$V1849))),OR(CARI!$C$6="",$F1849=CARI!$C$6),OR(CARI!$C$7="",$G1849=CARI!$C$7),OR(CARI!$C$8="",$T1849=CARI!$C$8)),MAX($Z$3:Z1848)+1,""))</f>
        <v/>
      </c>
      <c r="AA1849" s="40" t="str">
        <f aca="false">IF($Y1849="","",MAX($AA$3:AA1848)+1)</f>
        <v/>
      </c>
      <c r="AB1849" s="40" t="str">
        <f aca="false">IF($F1849="","",$F1849&amp;"#"&amp;COUNTIF($F$4:$F1849,$F1849))</f>
        <v/>
      </c>
      <c r="AC1849" s="40" t="str">
        <f aca="false">IF($B1849="","",IF(AND(OR(CETAK!$J$10="",$F1849=CETAK!$J$10),OR(CETAK!$J$11="",$G1849=CETAK!$J$11),OR(CETAK!$J$12="",$P1849=CETAK!$J$12),OR(CETAK!$J$13="",$N1849=CETAK!$J$13),OR(CETAK!$J$14="",$T1849=CETAK!$J$14)),MAX($AC$3:AC1848)+1,""))</f>
        <v/>
      </c>
      <c r="AD1849" s="40" t="str">
        <f aca="false">IF($B1849="","",IF(AND(OR(ABSENSI!$H$10="",$F1849=ABSENSI!$H$10),OR(ABSENSI!$H$11="",$G1849=ABSENSI!$H$11),OR(ABSENSI!$H$12="",$P1849=ABSENSI!$H$12)),MAX($AD$3:AD1848)+1,""))</f>
        <v/>
      </c>
      <c r="AE1849" s="40" t="str">
        <f aca="false">IF($B1849="","",IF(AND(OR(KARTU!$K$6="",$F1849=KARTU!$K$6),OR(KARTU!$K$7="",$G1849=KARTU!$K$7),OR(KARTU!$K$8="",$P1849=KARTU!$K$8)),MAX($AE$3:AE1848)+1,""))</f>
        <v/>
      </c>
    </row>
    <row r="1850" customFormat="false" ht="15" hidden="false" customHeight="false" outlineLevel="0" collapsed="false">
      <c r="A1850" s="35" t="str">
        <f aca="false">IF($B1850="","",COUNTA($B$4:$B1850))</f>
        <v/>
      </c>
      <c r="B1850" s="36"/>
      <c r="C1850" s="37"/>
      <c r="D1850" s="37"/>
      <c r="E1850" s="38"/>
      <c r="F1850" s="36"/>
      <c r="G1850" s="39"/>
      <c r="H1850" s="39"/>
      <c r="I1850" s="36"/>
      <c r="J1850" s="36"/>
      <c r="K1850" s="36"/>
      <c r="L1850" s="36"/>
      <c r="M1850" s="40" t="str">
        <f aca="false">IF($F1850="","",$F1850&amp;IF($G1850="",""," - RT "&amp;$G1850&amp;IF($H1850="","","/"&amp;$H1850)))</f>
        <v/>
      </c>
      <c r="N1850" s="36"/>
      <c r="O1850" s="37"/>
      <c r="P1850" s="39"/>
      <c r="Q1850" s="41"/>
      <c r="R1850" s="35" t="str">
        <f aca="true">IF(OR($B1850="",$Q1850=""),"",DATEDIF($Q1850,TODAY(),"Y"))</f>
        <v/>
      </c>
      <c r="S1850" s="40" t="str">
        <f aca="false">IF($R1850="","",INDEX(usia_label,MATCH($R1850,usia_min,1)))</f>
        <v/>
      </c>
      <c r="T1850" s="36"/>
      <c r="U1850" s="41"/>
      <c r="V1850" s="36"/>
      <c r="W1850" s="36"/>
      <c r="X1850" s="40" t="str">
        <f aca="false">IF($M1850="","",$M1850&amp;"#"&amp;COUNTIF($M$4:$M1850,$M1850))</f>
        <v/>
      </c>
      <c r="Y1850" s="40" t="str">
        <f aca="false">IF($B1850="","",IF($C1850="","NIK kosong",IF(LEN($C1850)&lt;&gt;16,"NIK bukan 16 digit",IF(COUNTIF($C$4:$C$2003,$C1850&amp;"*")&gt;1,"NIK ganda",IF(AND($D1850&lt;&gt;"",LEN($D1850)&lt;&gt;16),"No. KK bukan 16 digit",IF(AND($F1850="",$I1850=""),"Alamat kosong",IF($N1850="","Jabatan kosong",IF($O1850="","No. HP kosong",IF(AND($R1850&lt;&gt;"",$R1850&lt;17),"Usia di bawah 17","")))))))))</f>
        <v/>
      </c>
      <c r="Z1850" s="40" t="str">
        <f aca="false">IF($B1850="","",IF(AND(OR(CARI!$C$5="",ISNUMBER(SEARCH(CARI!$C$5,$B1850&amp;" "&amp;$C1850&amp;" "&amp;$D1850&amp;" "&amp;$O1850&amp;" "&amp;$I1850&amp;" "&amp;$F1850&amp;" "&amp;$J1850&amp;" "&amp;$K1850&amp;" "&amp;$L1850&amp;" "&amp;$V1850))),OR(CARI!$C$6="",$F1850=CARI!$C$6),OR(CARI!$C$7="",$G1850=CARI!$C$7),OR(CARI!$C$8="",$T1850=CARI!$C$8)),MAX($Z$3:Z1849)+1,""))</f>
        <v/>
      </c>
      <c r="AA1850" s="40" t="str">
        <f aca="false">IF($Y1850="","",MAX($AA$3:AA1849)+1)</f>
        <v/>
      </c>
      <c r="AB1850" s="40" t="str">
        <f aca="false">IF($F1850="","",$F1850&amp;"#"&amp;COUNTIF($F$4:$F1850,$F1850))</f>
        <v/>
      </c>
      <c r="AC1850" s="40" t="str">
        <f aca="false">IF($B1850="","",IF(AND(OR(CETAK!$J$10="",$F1850=CETAK!$J$10),OR(CETAK!$J$11="",$G1850=CETAK!$J$11),OR(CETAK!$J$12="",$P1850=CETAK!$J$12),OR(CETAK!$J$13="",$N1850=CETAK!$J$13),OR(CETAK!$J$14="",$T1850=CETAK!$J$14)),MAX($AC$3:AC1849)+1,""))</f>
        <v/>
      </c>
      <c r="AD1850" s="40" t="str">
        <f aca="false">IF($B1850="","",IF(AND(OR(ABSENSI!$H$10="",$F1850=ABSENSI!$H$10),OR(ABSENSI!$H$11="",$G1850=ABSENSI!$H$11),OR(ABSENSI!$H$12="",$P1850=ABSENSI!$H$12)),MAX($AD$3:AD1849)+1,""))</f>
        <v/>
      </c>
      <c r="AE1850" s="40" t="str">
        <f aca="false">IF($B1850="","",IF(AND(OR(KARTU!$K$6="",$F1850=KARTU!$K$6),OR(KARTU!$K$7="",$G1850=KARTU!$K$7),OR(KARTU!$K$8="",$P1850=KARTU!$K$8)),MAX($AE$3:AE1849)+1,""))</f>
        <v/>
      </c>
    </row>
    <row r="1851" customFormat="false" ht="15" hidden="false" customHeight="false" outlineLevel="0" collapsed="false">
      <c r="A1851" s="35" t="str">
        <f aca="false">IF($B1851="","",COUNTA($B$4:$B1851))</f>
        <v/>
      </c>
      <c r="B1851" s="36"/>
      <c r="C1851" s="37"/>
      <c r="D1851" s="37"/>
      <c r="E1851" s="38"/>
      <c r="F1851" s="36"/>
      <c r="G1851" s="39"/>
      <c r="H1851" s="39"/>
      <c r="I1851" s="36"/>
      <c r="J1851" s="36"/>
      <c r="K1851" s="36"/>
      <c r="L1851" s="36"/>
      <c r="M1851" s="40" t="str">
        <f aca="false">IF($F1851="","",$F1851&amp;IF($G1851="",""," - RT "&amp;$G1851&amp;IF($H1851="","","/"&amp;$H1851)))</f>
        <v/>
      </c>
      <c r="N1851" s="36"/>
      <c r="O1851" s="37"/>
      <c r="P1851" s="39"/>
      <c r="Q1851" s="41"/>
      <c r="R1851" s="35" t="str">
        <f aca="true">IF(OR($B1851="",$Q1851=""),"",DATEDIF($Q1851,TODAY(),"Y"))</f>
        <v/>
      </c>
      <c r="S1851" s="40" t="str">
        <f aca="false">IF($R1851="","",INDEX(usia_label,MATCH($R1851,usia_min,1)))</f>
        <v/>
      </c>
      <c r="T1851" s="36"/>
      <c r="U1851" s="41"/>
      <c r="V1851" s="36"/>
      <c r="W1851" s="36"/>
      <c r="X1851" s="40" t="str">
        <f aca="false">IF($M1851="","",$M1851&amp;"#"&amp;COUNTIF($M$4:$M1851,$M1851))</f>
        <v/>
      </c>
      <c r="Y1851" s="40" t="str">
        <f aca="false">IF($B1851="","",IF($C1851="","NIK kosong",IF(LEN($C1851)&lt;&gt;16,"NIK bukan 16 digit",IF(COUNTIF($C$4:$C$2003,$C1851&amp;"*")&gt;1,"NIK ganda",IF(AND($D1851&lt;&gt;"",LEN($D1851)&lt;&gt;16),"No. KK bukan 16 digit",IF(AND($F1851="",$I1851=""),"Alamat kosong",IF($N1851="","Jabatan kosong",IF($O1851="","No. HP kosong",IF(AND($R1851&lt;&gt;"",$R1851&lt;17),"Usia di bawah 17","")))))))))</f>
        <v/>
      </c>
      <c r="Z1851" s="40" t="str">
        <f aca="false">IF($B1851="","",IF(AND(OR(CARI!$C$5="",ISNUMBER(SEARCH(CARI!$C$5,$B1851&amp;" "&amp;$C1851&amp;" "&amp;$D1851&amp;" "&amp;$O1851&amp;" "&amp;$I1851&amp;" "&amp;$F1851&amp;" "&amp;$J1851&amp;" "&amp;$K1851&amp;" "&amp;$L1851&amp;" "&amp;$V1851))),OR(CARI!$C$6="",$F1851=CARI!$C$6),OR(CARI!$C$7="",$G1851=CARI!$C$7),OR(CARI!$C$8="",$T1851=CARI!$C$8)),MAX($Z$3:Z1850)+1,""))</f>
        <v/>
      </c>
      <c r="AA1851" s="40" t="str">
        <f aca="false">IF($Y1851="","",MAX($AA$3:AA1850)+1)</f>
        <v/>
      </c>
      <c r="AB1851" s="40" t="str">
        <f aca="false">IF($F1851="","",$F1851&amp;"#"&amp;COUNTIF($F$4:$F1851,$F1851))</f>
        <v/>
      </c>
      <c r="AC1851" s="40" t="str">
        <f aca="false">IF($B1851="","",IF(AND(OR(CETAK!$J$10="",$F1851=CETAK!$J$10),OR(CETAK!$J$11="",$G1851=CETAK!$J$11),OR(CETAK!$J$12="",$P1851=CETAK!$J$12),OR(CETAK!$J$13="",$N1851=CETAK!$J$13),OR(CETAK!$J$14="",$T1851=CETAK!$J$14)),MAX($AC$3:AC1850)+1,""))</f>
        <v/>
      </c>
      <c r="AD1851" s="40" t="str">
        <f aca="false">IF($B1851="","",IF(AND(OR(ABSENSI!$H$10="",$F1851=ABSENSI!$H$10),OR(ABSENSI!$H$11="",$G1851=ABSENSI!$H$11),OR(ABSENSI!$H$12="",$P1851=ABSENSI!$H$12)),MAX($AD$3:AD1850)+1,""))</f>
        <v/>
      </c>
      <c r="AE1851" s="40" t="str">
        <f aca="false">IF($B1851="","",IF(AND(OR(KARTU!$K$6="",$F1851=KARTU!$K$6),OR(KARTU!$K$7="",$G1851=KARTU!$K$7),OR(KARTU!$K$8="",$P1851=KARTU!$K$8)),MAX($AE$3:AE1850)+1,""))</f>
        <v/>
      </c>
    </row>
    <row r="1852" customFormat="false" ht="15" hidden="false" customHeight="false" outlineLevel="0" collapsed="false">
      <c r="A1852" s="35" t="str">
        <f aca="false">IF($B1852="","",COUNTA($B$4:$B1852))</f>
        <v/>
      </c>
      <c r="B1852" s="36"/>
      <c r="C1852" s="37"/>
      <c r="D1852" s="37"/>
      <c r="E1852" s="38"/>
      <c r="F1852" s="36"/>
      <c r="G1852" s="39"/>
      <c r="H1852" s="39"/>
      <c r="I1852" s="36"/>
      <c r="J1852" s="36"/>
      <c r="K1852" s="36"/>
      <c r="L1852" s="36"/>
      <c r="M1852" s="40" t="str">
        <f aca="false">IF($F1852="","",$F1852&amp;IF($G1852="",""," - RT "&amp;$G1852&amp;IF($H1852="","","/"&amp;$H1852)))</f>
        <v/>
      </c>
      <c r="N1852" s="36"/>
      <c r="O1852" s="37"/>
      <c r="P1852" s="39"/>
      <c r="Q1852" s="41"/>
      <c r="R1852" s="35" t="str">
        <f aca="true">IF(OR($B1852="",$Q1852=""),"",DATEDIF($Q1852,TODAY(),"Y"))</f>
        <v/>
      </c>
      <c r="S1852" s="40" t="str">
        <f aca="false">IF($R1852="","",INDEX(usia_label,MATCH($R1852,usia_min,1)))</f>
        <v/>
      </c>
      <c r="T1852" s="36"/>
      <c r="U1852" s="41"/>
      <c r="V1852" s="36"/>
      <c r="W1852" s="36"/>
      <c r="X1852" s="40" t="str">
        <f aca="false">IF($M1852="","",$M1852&amp;"#"&amp;COUNTIF($M$4:$M1852,$M1852))</f>
        <v/>
      </c>
      <c r="Y1852" s="40" t="str">
        <f aca="false">IF($B1852="","",IF($C1852="","NIK kosong",IF(LEN($C1852)&lt;&gt;16,"NIK bukan 16 digit",IF(COUNTIF($C$4:$C$2003,$C1852&amp;"*")&gt;1,"NIK ganda",IF(AND($D1852&lt;&gt;"",LEN($D1852)&lt;&gt;16),"No. KK bukan 16 digit",IF(AND($F1852="",$I1852=""),"Alamat kosong",IF($N1852="","Jabatan kosong",IF($O1852="","No. HP kosong",IF(AND($R1852&lt;&gt;"",$R1852&lt;17),"Usia di bawah 17","")))))))))</f>
        <v/>
      </c>
      <c r="Z1852" s="40" t="str">
        <f aca="false">IF($B1852="","",IF(AND(OR(CARI!$C$5="",ISNUMBER(SEARCH(CARI!$C$5,$B1852&amp;" "&amp;$C1852&amp;" "&amp;$D1852&amp;" "&amp;$O1852&amp;" "&amp;$I1852&amp;" "&amp;$F1852&amp;" "&amp;$J1852&amp;" "&amp;$K1852&amp;" "&amp;$L1852&amp;" "&amp;$V1852))),OR(CARI!$C$6="",$F1852=CARI!$C$6),OR(CARI!$C$7="",$G1852=CARI!$C$7),OR(CARI!$C$8="",$T1852=CARI!$C$8)),MAX($Z$3:Z1851)+1,""))</f>
        <v/>
      </c>
      <c r="AA1852" s="40" t="str">
        <f aca="false">IF($Y1852="","",MAX($AA$3:AA1851)+1)</f>
        <v/>
      </c>
      <c r="AB1852" s="40" t="str">
        <f aca="false">IF($F1852="","",$F1852&amp;"#"&amp;COUNTIF($F$4:$F1852,$F1852))</f>
        <v/>
      </c>
      <c r="AC1852" s="40" t="str">
        <f aca="false">IF($B1852="","",IF(AND(OR(CETAK!$J$10="",$F1852=CETAK!$J$10),OR(CETAK!$J$11="",$G1852=CETAK!$J$11),OR(CETAK!$J$12="",$P1852=CETAK!$J$12),OR(CETAK!$J$13="",$N1852=CETAK!$J$13),OR(CETAK!$J$14="",$T1852=CETAK!$J$14)),MAX($AC$3:AC1851)+1,""))</f>
        <v/>
      </c>
      <c r="AD1852" s="40" t="str">
        <f aca="false">IF($B1852="","",IF(AND(OR(ABSENSI!$H$10="",$F1852=ABSENSI!$H$10),OR(ABSENSI!$H$11="",$G1852=ABSENSI!$H$11),OR(ABSENSI!$H$12="",$P1852=ABSENSI!$H$12)),MAX($AD$3:AD1851)+1,""))</f>
        <v/>
      </c>
      <c r="AE1852" s="40" t="str">
        <f aca="false">IF($B1852="","",IF(AND(OR(KARTU!$K$6="",$F1852=KARTU!$K$6),OR(KARTU!$K$7="",$G1852=KARTU!$K$7),OR(KARTU!$K$8="",$P1852=KARTU!$K$8)),MAX($AE$3:AE1851)+1,""))</f>
        <v/>
      </c>
    </row>
    <row r="1853" customFormat="false" ht="15" hidden="false" customHeight="false" outlineLevel="0" collapsed="false">
      <c r="A1853" s="35" t="str">
        <f aca="false">IF($B1853="","",COUNTA($B$4:$B1853))</f>
        <v/>
      </c>
      <c r="B1853" s="36"/>
      <c r="C1853" s="37"/>
      <c r="D1853" s="37"/>
      <c r="E1853" s="38"/>
      <c r="F1853" s="36"/>
      <c r="G1853" s="39"/>
      <c r="H1853" s="39"/>
      <c r="I1853" s="36"/>
      <c r="J1853" s="36"/>
      <c r="K1853" s="36"/>
      <c r="L1853" s="36"/>
      <c r="M1853" s="40" t="str">
        <f aca="false">IF($F1853="","",$F1853&amp;IF($G1853="",""," - RT "&amp;$G1853&amp;IF($H1853="","","/"&amp;$H1853)))</f>
        <v/>
      </c>
      <c r="N1853" s="36"/>
      <c r="O1853" s="37"/>
      <c r="P1853" s="39"/>
      <c r="Q1853" s="41"/>
      <c r="R1853" s="35" t="str">
        <f aca="true">IF(OR($B1853="",$Q1853=""),"",DATEDIF($Q1853,TODAY(),"Y"))</f>
        <v/>
      </c>
      <c r="S1853" s="40" t="str">
        <f aca="false">IF($R1853="","",INDEX(usia_label,MATCH($R1853,usia_min,1)))</f>
        <v/>
      </c>
      <c r="T1853" s="36"/>
      <c r="U1853" s="41"/>
      <c r="V1853" s="36"/>
      <c r="W1853" s="36"/>
      <c r="X1853" s="40" t="str">
        <f aca="false">IF($M1853="","",$M1853&amp;"#"&amp;COUNTIF($M$4:$M1853,$M1853))</f>
        <v/>
      </c>
      <c r="Y1853" s="40" t="str">
        <f aca="false">IF($B1853="","",IF($C1853="","NIK kosong",IF(LEN($C1853)&lt;&gt;16,"NIK bukan 16 digit",IF(COUNTIF($C$4:$C$2003,$C1853&amp;"*")&gt;1,"NIK ganda",IF(AND($D1853&lt;&gt;"",LEN($D1853)&lt;&gt;16),"No. KK bukan 16 digit",IF(AND($F1853="",$I1853=""),"Alamat kosong",IF($N1853="","Jabatan kosong",IF($O1853="","No. HP kosong",IF(AND($R1853&lt;&gt;"",$R1853&lt;17),"Usia di bawah 17","")))))))))</f>
        <v/>
      </c>
      <c r="Z1853" s="40" t="str">
        <f aca="false">IF($B1853="","",IF(AND(OR(CARI!$C$5="",ISNUMBER(SEARCH(CARI!$C$5,$B1853&amp;" "&amp;$C1853&amp;" "&amp;$D1853&amp;" "&amp;$O1853&amp;" "&amp;$I1853&amp;" "&amp;$F1853&amp;" "&amp;$J1853&amp;" "&amp;$K1853&amp;" "&amp;$L1853&amp;" "&amp;$V1853))),OR(CARI!$C$6="",$F1853=CARI!$C$6),OR(CARI!$C$7="",$G1853=CARI!$C$7),OR(CARI!$C$8="",$T1853=CARI!$C$8)),MAX($Z$3:Z1852)+1,""))</f>
        <v/>
      </c>
      <c r="AA1853" s="40" t="str">
        <f aca="false">IF($Y1853="","",MAX($AA$3:AA1852)+1)</f>
        <v/>
      </c>
      <c r="AB1853" s="40" t="str">
        <f aca="false">IF($F1853="","",$F1853&amp;"#"&amp;COUNTIF($F$4:$F1853,$F1853))</f>
        <v/>
      </c>
      <c r="AC1853" s="40" t="str">
        <f aca="false">IF($B1853="","",IF(AND(OR(CETAK!$J$10="",$F1853=CETAK!$J$10),OR(CETAK!$J$11="",$G1853=CETAK!$J$11),OR(CETAK!$J$12="",$P1853=CETAK!$J$12),OR(CETAK!$J$13="",$N1853=CETAK!$J$13),OR(CETAK!$J$14="",$T1853=CETAK!$J$14)),MAX($AC$3:AC1852)+1,""))</f>
        <v/>
      </c>
      <c r="AD1853" s="40" t="str">
        <f aca="false">IF($B1853="","",IF(AND(OR(ABSENSI!$H$10="",$F1853=ABSENSI!$H$10),OR(ABSENSI!$H$11="",$G1853=ABSENSI!$H$11),OR(ABSENSI!$H$12="",$P1853=ABSENSI!$H$12)),MAX($AD$3:AD1852)+1,""))</f>
        <v/>
      </c>
      <c r="AE1853" s="40" t="str">
        <f aca="false">IF($B1853="","",IF(AND(OR(KARTU!$K$6="",$F1853=KARTU!$K$6),OR(KARTU!$K$7="",$G1853=KARTU!$K$7),OR(KARTU!$K$8="",$P1853=KARTU!$K$8)),MAX($AE$3:AE1852)+1,""))</f>
        <v/>
      </c>
    </row>
    <row r="1854" customFormat="false" ht="15" hidden="false" customHeight="false" outlineLevel="0" collapsed="false">
      <c r="A1854" s="35" t="str">
        <f aca="false">IF($B1854="","",COUNTA($B$4:$B1854))</f>
        <v/>
      </c>
      <c r="B1854" s="36"/>
      <c r="C1854" s="37"/>
      <c r="D1854" s="37"/>
      <c r="E1854" s="38"/>
      <c r="F1854" s="36"/>
      <c r="G1854" s="39"/>
      <c r="H1854" s="39"/>
      <c r="I1854" s="36"/>
      <c r="J1854" s="36"/>
      <c r="K1854" s="36"/>
      <c r="L1854" s="36"/>
      <c r="M1854" s="40" t="str">
        <f aca="false">IF($F1854="","",$F1854&amp;IF($G1854="",""," - RT "&amp;$G1854&amp;IF($H1854="","","/"&amp;$H1854)))</f>
        <v/>
      </c>
      <c r="N1854" s="36"/>
      <c r="O1854" s="37"/>
      <c r="P1854" s="39"/>
      <c r="Q1854" s="41"/>
      <c r="R1854" s="35" t="str">
        <f aca="true">IF(OR($B1854="",$Q1854=""),"",DATEDIF($Q1854,TODAY(),"Y"))</f>
        <v/>
      </c>
      <c r="S1854" s="40" t="str">
        <f aca="false">IF($R1854="","",INDEX(usia_label,MATCH($R1854,usia_min,1)))</f>
        <v/>
      </c>
      <c r="T1854" s="36"/>
      <c r="U1854" s="41"/>
      <c r="V1854" s="36"/>
      <c r="W1854" s="36"/>
      <c r="X1854" s="40" t="str">
        <f aca="false">IF($M1854="","",$M1854&amp;"#"&amp;COUNTIF($M$4:$M1854,$M1854))</f>
        <v/>
      </c>
      <c r="Y1854" s="40" t="str">
        <f aca="false">IF($B1854="","",IF($C1854="","NIK kosong",IF(LEN($C1854)&lt;&gt;16,"NIK bukan 16 digit",IF(COUNTIF($C$4:$C$2003,$C1854&amp;"*")&gt;1,"NIK ganda",IF(AND($D1854&lt;&gt;"",LEN($D1854)&lt;&gt;16),"No. KK bukan 16 digit",IF(AND($F1854="",$I1854=""),"Alamat kosong",IF($N1854="","Jabatan kosong",IF($O1854="","No. HP kosong",IF(AND($R1854&lt;&gt;"",$R1854&lt;17),"Usia di bawah 17","")))))))))</f>
        <v/>
      </c>
      <c r="Z1854" s="40" t="str">
        <f aca="false">IF($B1854="","",IF(AND(OR(CARI!$C$5="",ISNUMBER(SEARCH(CARI!$C$5,$B1854&amp;" "&amp;$C1854&amp;" "&amp;$D1854&amp;" "&amp;$O1854&amp;" "&amp;$I1854&amp;" "&amp;$F1854&amp;" "&amp;$J1854&amp;" "&amp;$K1854&amp;" "&amp;$L1854&amp;" "&amp;$V1854))),OR(CARI!$C$6="",$F1854=CARI!$C$6),OR(CARI!$C$7="",$G1854=CARI!$C$7),OR(CARI!$C$8="",$T1854=CARI!$C$8)),MAX($Z$3:Z1853)+1,""))</f>
        <v/>
      </c>
      <c r="AA1854" s="40" t="str">
        <f aca="false">IF($Y1854="","",MAX($AA$3:AA1853)+1)</f>
        <v/>
      </c>
      <c r="AB1854" s="40" t="str">
        <f aca="false">IF($F1854="","",$F1854&amp;"#"&amp;COUNTIF($F$4:$F1854,$F1854))</f>
        <v/>
      </c>
      <c r="AC1854" s="40" t="str">
        <f aca="false">IF($B1854="","",IF(AND(OR(CETAK!$J$10="",$F1854=CETAK!$J$10),OR(CETAK!$J$11="",$G1854=CETAK!$J$11),OR(CETAK!$J$12="",$P1854=CETAK!$J$12),OR(CETAK!$J$13="",$N1854=CETAK!$J$13),OR(CETAK!$J$14="",$T1854=CETAK!$J$14)),MAX($AC$3:AC1853)+1,""))</f>
        <v/>
      </c>
      <c r="AD1854" s="40" t="str">
        <f aca="false">IF($B1854="","",IF(AND(OR(ABSENSI!$H$10="",$F1854=ABSENSI!$H$10),OR(ABSENSI!$H$11="",$G1854=ABSENSI!$H$11),OR(ABSENSI!$H$12="",$P1854=ABSENSI!$H$12)),MAX($AD$3:AD1853)+1,""))</f>
        <v/>
      </c>
      <c r="AE1854" s="40" t="str">
        <f aca="false">IF($B1854="","",IF(AND(OR(KARTU!$K$6="",$F1854=KARTU!$K$6),OR(KARTU!$K$7="",$G1854=KARTU!$K$7),OR(KARTU!$K$8="",$P1854=KARTU!$K$8)),MAX($AE$3:AE1853)+1,""))</f>
        <v/>
      </c>
    </row>
    <row r="1855" customFormat="false" ht="15" hidden="false" customHeight="false" outlineLevel="0" collapsed="false">
      <c r="A1855" s="35" t="str">
        <f aca="false">IF($B1855="","",COUNTA($B$4:$B1855))</f>
        <v/>
      </c>
      <c r="B1855" s="36"/>
      <c r="C1855" s="37"/>
      <c r="D1855" s="37"/>
      <c r="E1855" s="38"/>
      <c r="F1855" s="36"/>
      <c r="G1855" s="39"/>
      <c r="H1855" s="39"/>
      <c r="I1855" s="36"/>
      <c r="J1855" s="36"/>
      <c r="K1855" s="36"/>
      <c r="L1855" s="36"/>
      <c r="M1855" s="40" t="str">
        <f aca="false">IF($F1855="","",$F1855&amp;IF($G1855="",""," - RT "&amp;$G1855&amp;IF($H1855="","","/"&amp;$H1855)))</f>
        <v/>
      </c>
      <c r="N1855" s="36"/>
      <c r="O1855" s="37"/>
      <c r="P1855" s="39"/>
      <c r="Q1855" s="41"/>
      <c r="R1855" s="35" t="str">
        <f aca="true">IF(OR($B1855="",$Q1855=""),"",DATEDIF($Q1855,TODAY(),"Y"))</f>
        <v/>
      </c>
      <c r="S1855" s="40" t="str">
        <f aca="false">IF($R1855="","",INDEX(usia_label,MATCH($R1855,usia_min,1)))</f>
        <v/>
      </c>
      <c r="T1855" s="36"/>
      <c r="U1855" s="41"/>
      <c r="V1855" s="36"/>
      <c r="W1855" s="36"/>
      <c r="X1855" s="40" t="str">
        <f aca="false">IF($M1855="","",$M1855&amp;"#"&amp;COUNTIF($M$4:$M1855,$M1855))</f>
        <v/>
      </c>
      <c r="Y1855" s="40" t="str">
        <f aca="false">IF($B1855="","",IF($C1855="","NIK kosong",IF(LEN($C1855)&lt;&gt;16,"NIK bukan 16 digit",IF(COUNTIF($C$4:$C$2003,$C1855&amp;"*")&gt;1,"NIK ganda",IF(AND($D1855&lt;&gt;"",LEN($D1855)&lt;&gt;16),"No. KK bukan 16 digit",IF(AND($F1855="",$I1855=""),"Alamat kosong",IF($N1855="","Jabatan kosong",IF($O1855="","No. HP kosong",IF(AND($R1855&lt;&gt;"",$R1855&lt;17),"Usia di bawah 17","")))))))))</f>
        <v/>
      </c>
      <c r="Z1855" s="40" t="str">
        <f aca="false">IF($B1855="","",IF(AND(OR(CARI!$C$5="",ISNUMBER(SEARCH(CARI!$C$5,$B1855&amp;" "&amp;$C1855&amp;" "&amp;$D1855&amp;" "&amp;$O1855&amp;" "&amp;$I1855&amp;" "&amp;$F1855&amp;" "&amp;$J1855&amp;" "&amp;$K1855&amp;" "&amp;$L1855&amp;" "&amp;$V1855))),OR(CARI!$C$6="",$F1855=CARI!$C$6),OR(CARI!$C$7="",$G1855=CARI!$C$7),OR(CARI!$C$8="",$T1855=CARI!$C$8)),MAX($Z$3:Z1854)+1,""))</f>
        <v/>
      </c>
      <c r="AA1855" s="40" t="str">
        <f aca="false">IF($Y1855="","",MAX($AA$3:AA1854)+1)</f>
        <v/>
      </c>
      <c r="AB1855" s="40" t="str">
        <f aca="false">IF($F1855="","",$F1855&amp;"#"&amp;COUNTIF($F$4:$F1855,$F1855))</f>
        <v/>
      </c>
      <c r="AC1855" s="40" t="str">
        <f aca="false">IF($B1855="","",IF(AND(OR(CETAK!$J$10="",$F1855=CETAK!$J$10),OR(CETAK!$J$11="",$G1855=CETAK!$J$11),OR(CETAK!$J$12="",$P1855=CETAK!$J$12),OR(CETAK!$J$13="",$N1855=CETAK!$J$13),OR(CETAK!$J$14="",$T1855=CETAK!$J$14)),MAX($AC$3:AC1854)+1,""))</f>
        <v/>
      </c>
      <c r="AD1855" s="40" t="str">
        <f aca="false">IF($B1855="","",IF(AND(OR(ABSENSI!$H$10="",$F1855=ABSENSI!$H$10),OR(ABSENSI!$H$11="",$G1855=ABSENSI!$H$11),OR(ABSENSI!$H$12="",$P1855=ABSENSI!$H$12)),MAX($AD$3:AD1854)+1,""))</f>
        <v/>
      </c>
      <c r="AE1855" s="40" t="str">
        <f aca="false">IF($B1855="","",IF(AND(OR(KARTU!$K$6="",$F1855=KARTU!$K$6),OR(KARTU!$K$7="",$G1855=KARTU!$K$7),OR(KARTU!$K$8="",$P1855=KARTU!$K$8)),MAX($AE$3:AE1854)+1,""))</f>
        <v/>
      </c>
    </row>
    <row r="1856" customFormat="false" ht="15" hidden="false" customHeight="false" outlineLevel="0" collapsed="false">
      <c r="A1856" s="35" t="str">
        <f aca="false">IF($B1856="","",COUNTA($B$4:$B1856))</f>
        <v/>
      </c>
      <c r="B1856" s="36"/>
      <c r="C1856" s="37"/>
      <c r="D1856" s="37"/>
      <c r="E1856" s="38"/>
      <c r="F1856" s="36"/>
      <c r="G1856" s="39"/>
      <c r="H1856" s="39"/>
      <c r="I1856" s="36"/>
      <c r="J1856" s="36"/>
      <c r="K1856" s="36"/>
      <c r="L1856" s="36"/>
      <c r="M1856" s="40" t="str">
        <f aca="false">IF($F1856="","",$F1856&amp;IF($G1856="",""," - RT "&amp;$G1856&amp;IF($H1856="","","/"&amp;$H1856)))</f>
        <v/>
      </c>
      <c r="N1856" s="36"/>
      <c r="O1856" s="37"/>
      <c r="P1856" s="39"/>
      <c r="Q1856" s="41"/>
      <c r="R1856" s="35" t="str">
        <f aca="true">IF(OR($B1856="",$Q1856=""),"",DATEDIF($Q1856,TODAY(),"Y"))</f>
        <v/>
      </c>
      <c r="S1856" s="40" t="str">
        <f aca="false">IF($R1856="","",INDEX(usia_label,MATCH($R1856,usia_min,1)))</f>
        <v/>
      </c>
      <c r="T1856" s="36"/>
      <c r="U1856" s="41"/>
      <c r="V1856" s="36"/>
      <c r="W1856" s="36"/>
      <c r="X1856" s="40" t="str">
        <f aca="false">IF($M1856="","",$M1856&amp;"#"&amp;COUNTIF($M$4:$M1856,$M1856))</f>
        <v/>
      </c>
      <c r="Y1856" s="40" t="str">
        <f aca="false">IF($B1856="","",IF($C1856="","NIK kosong",IF(LEN($C1856)&lt;&gt;16,"NIK bukan 16 digit",IF(COUNTIF($C$4:$C$2003,$C1856&amp;"*")&gt;1,"NIK ganda",IF(AND($D1856&lt;&gt;"",LEN($D1856)&lt;&gt;16),"No. KK bukan 16 digit",IF(AND($F1856="",$I1856=""),"Alamat kosong",IF($N1856="","Jabatan kosong",IF($O1856="","No. HP kosong",IF(AND($R1856&lt;&gt;"",$R1856&lt;17),"Usia di bawah 17","")))))))))</f>
        <v/>
      </c>
      <c r="Z1856" s="40" t="str">
        <f aca="false">IF($B1856="","",IF(AND(OR(CARI!$C$5="",ISNUMBER(SEARCH(CARI!$C$5,$B1856&amp;" "&amp;$C1856&amp;" "&amp;$D1856&amp;" "&amp;$O1856&amp;" "&amp;$I1856&amp;" "&amp;$F1856&amp;" "&amp;$J1856&amp;" "&amp;$K1856&amp;" "&amp;$L1856&amp;" "&amp;$V1856))),OR(CARI!$C$6="",$F1856=CARI!$C$6),OR(CARI!$C$7="",$G1856=CARI!$C$7),OR(CARI!$C$8="",$T1856=CARI!$C$8)),MAX($Z$3:Z1855)+1,""))</f>
        <v/>
      </c>
      <c r="AA1856" s="40" t="str">
        <f aca="false">IF($Y1856="","",MAX($AA$3:AA1855)+1)</f>
        <v/>
      </c>
      <c r="AB1856" s="40" t="str">
        <f aca="false">IF($F1856="","",$F1856&amp;"#"&amp;COUNTIF($F$4:$F1856,$F1856))</f>
        <v/>
      </c>
      <c r="AC1856" s="40" t="str">
        <f aca="false">IF($B1856="","",IF(AND(OR(CETAK!$J$10="",$F1856=CETAK!$J$10),OR(CETAK!$J$11="",$G1856=CETAK!$J$11),OR(CETAK!$J$12="",$P1856=CETAK!$J$12),OR(CETAK!$J$13="",$N1856=CETAK!$J$13),OR(CETAK!$J$14="",$T1856=CETAK!$J$14)),MAX($AC$3:AC1855)+1,""))</f>
        <v/>
      </c>
      <c r="AD1856" s="40" t="str">
        <f aca="false">IF($B1856="","",IF(AND(OR(ABSENSI!$H$10="",$F1856=ABSENSI!$H$10),OR(ABSENSI!$H$11="",$G1856=ABSENSI!$H$11),OR(ABSENSI!$H$12="",$P1856=ABSENSI!$H$12)),MAX($AD$3:AD1855)+1,""))</f>
        <v/>
      </c>
      <c r="AE1856" s="40" t="str">
        <f aca="false">IF($B1856="","",IF(AND(OR(KARTU!$K$6="",$F1856=KARTU!$K$6),OR(KARTU!$K$7="",$G1856=KARTU!$K$7),OR(KARTU!$K$8="",$P1856=KARTU!$K$8)),MAX($AE$3:AE1855)+1,""))</f>
        <v/>
      </c>
    </row>
    <row r="1857" customFormat="false" ht="15" hidden="false" customHeight="false" outlineLevel="0" collapsed="false">
      <c r="A1857" s="35" t="str">
        <f aca="false">IF($B1857="","",COUNTA($B$4:$B1857))</f>
        <v/>
      </c>
      <c r="B1857" s="36"/>
      <c r="C1857" s="37"/>
      <c r="D1857" s="37"/>
      <c r="E1857" s="38"/>
      <c r="F1857" s="36"/>
      <c r="G1857" s="39"/>
      <c r="H1857" s="39"/>
      <c r="I1857" s="36"/>
      <c r="J1857" s="36"/>
      <c r="K1857" s="36"/>
      <c r="L1857" s="36"/>
      <c r="M1857" s="40" t="str">
        <f aca="false">IF($F1857="","",$F1857&amp;IF($G1857="",""," - RT "&amp;$G1857&amp;IF($H1857="","","/"&amp;$H1857)))</f>
        <v/>
      </c>
      <c r="N1857" s="36"/>
      <c r="O1857" s="37"/>
      <c r="P1857" s="39"/>
      <c r="Q1857" s="41"/>
      <c r="R1857" s="35" t="str">
        <f aca="true">IF(OR($B1857="",$Q1857=""),"",DATEDIF($Q1857,TODAY(),"Y"))</f>
        <v/>
      </c>
      <c r="S1857" s="40" t="str">
        <f aca="false">IF($R1857="","",INDEX(usia_label,MATCH($R1857,usia_min,1)))</f>
        <v/>
      </c>
      <c r="T1857" s="36"/>
      <c r="U1857" s="41"/>
      <c r="V1857" s="36"/>
      <c r="W1857" s="36"/>
      <c r="X1857" s="40" t="str">
        <f aca="false">IF($M1857="","",$M1857&amp;"#"&amp;COUNTIF($M$4:$M1857,$M1857))</f>
        <v/>
      </c>
      <c r="Y1857" s="40" t="str">
        <f aca="false">IF($B1857="","",IF($C1857="","NIK kosong",IF(LEN($C1857)&lt;&gt;16,"NIK bukan 16 digit",IF(COUNTIF($C$4:$C$2003,$C1857&amp;"*")&gt;1,"NIK ganda",IF(AND($D1857&lt;&gt;"",LEN($D1857)&lt;&gt;16),"No. KK bukan 16 digit",IF(AND($F1857="",$I1857=""),"Alamat kosong",IF($N1857="","Jabatan kosong",IF($O1857="","No. HP kosong",IF(AND($R1857&lt;&gt;"",$R1857&lt;17),"Usia di bawah 17","")))))))))</f>
        <v/>
      </c>
      <c r="Z1857" s="40" t="str">
        <f aca="false">IF($B1857="","",IF(AND(OR(CARI!$C$5="",ISNUMBER(SEARCH(CARI!$C$5,$B1857&amp;" "&amp;$C1857&amp;" "&amp;$D1857&amp;" "&amp;$O1857&amp;" "&amp;$I1857&amp;" "&amp;$F1857&amp;" "&amp;$J1857&amp;" "&amp;$K1857&amp;" "&amp;$L1857&amp;" "&amp;$V1857))),OR(CARI!$C$6="",$F1857=CARI!$C$6),OR(CARI!$C$7="",$G1857=CARI!$C$7),OR(CARI!$C$8="",$T1857=CARI!$C$8)),MAX($Z$3:Z1856)+1,""))</f>
        <v/>
      </c>
      <c r="AA1857" s="40" t="str">
        <f aca="false">IF($Y1857="","",MAX($AA$3:AA1856)+1)</f>
        <v/>
      </c>
      <c r="AB1857" s="40" t="str">
        <f aca="false">IF($F1857="","",$F1857&amp;"#"&amp;COUNTIF($F$4:$F1857,$F1857))</f>
        <v/>
      </c>
      <c r="AC1857" s="40" t="str">
        <f aca="false">IF($B1857="","",IF(AND(OR(CETAK!$J$10="",$F1857=CETAK!$J$10),OR(CETAK!$J$11="",$G1857=CETAK!$J$11),OR(CETAK!$J$12="",$P1857=CETAK!$J$12),OR(CETAK!$J$13="",$N1857=CETAK!$J$13),OR(CETAK!$J$14="",$T1857=CETAK!$J$14)),MAX($AC$3:AC1856)+1,""))</f>
        <v/>
      </c>
      <c r="AD1857" s="40" t="str">
        <f aca="false">IF($B1857="","",IF(AND(OR(ABSENSI!$H$10="",$F1857=ABSENSI!$H$10),OR(ABSENSI!$H$11="",$G1857=ABSENSI!$H$11),OR(ABSENSI!$H$12="",$P1857=ABSENSI!$H$12)),MAX($AD$3:AD1856)+1,""))</f>
        <v/>
      </c>
      <c r="AE1857" s="40" t="str">
        <f aca="false">IF($B1857="","",IF(AND(OR(KARTU!$K$6="",$F1857=KARTU!$K$6),OR(KARTU!$K$7="",$G1857=KARTU!$K$7),OR(KARTU!$K$8="",$P1857=KARTU!$K$8)),MAX($AE$3:AE1856)+1,""))</f>
        <v/>
      </c>
    </row>
    <row r="1858" customFormat="false" ht="15" hidden="false" customHeight="false" outlineLevel="0" collapsed="false">
      <c r="A1858" s="35" t="str">
        <f aca="false">IF($B1858="","",COUNTA($B$4:$B1858))</f>
        <v/>
      </c>
      <c r="B1858" s="36"/>
      <c r="C1858" s="37"/>
      <c r="D1858" s="37"/>
      <c r="E1858" s="38"/>
      <c r="F1858" s="36"/>
      <c r="G1858" s="39"/>
      <c r="H1858" s="39"/>
      <c r="I1858" s="36"/>
      <c r="J1858" s="36"/>
      <c r="K1858" s="36"/>
      <c r="L1858" s="36"/>
      <c r="M1858" s="40" t="str">
        <f aca="false">IF($F1858="","",$F1858&amp;IF($G1858="",""," - RT "&amp;$G1858&amp;IF($H1858="","","/"&amp;$H1858)))</f>
        <v/>
      </c>
      <c r="N1858" s="36"/>
      <c r="O1858" s="37"/>
      <c r="P1858" s="39"/>
      <c r="Q1858" s="41"/>
      <c r="R1858" s="35" t="str">
        <f aca="true">IF(OR($B1858="",$Q1858=""),"",DATEDIF($Q1858,TODAY(),"Y"))</f>
        <v/>
      </c>
      <c r="S1858" s="40" t="str">
        <f aca="false">IF($R1858="","",INDEX(usia_label,MATCH($R1858,usia_min,1)))</f>
        <v/>
      </c>
      <c r="T1858" s="36"/>
      <c r="U1858" s="41"/>
      <c r="V1858" s="36"/>
      <c r="W1858" s="36"/>
      <c r="X1858" s="40" t="str">
        <f aca="false">IF($M1858="","",$M1858&amp;"#"&amp;COUNTIF($M$4:$M1858,$M1858))</f>
        <v/>
      </c>
      <c r="Y1858" s="40" t="str">
        <f aca="false">IF($B1858="","",IF($C1858="","NIK kosong",IF(LEN($C1858)&lt;&gt;16,"NIK bukan 16 digit",IF(COUNTIF($C$4:$C$2003,$C1858&amp;"*")&gt;1,"NIK ganda",IF(AND($D1858&lt;&gt;"",LEN($D1858)&lt;&gt;16),"No. KK bukan 16 digit",IF(AND($F1858="",$I1858=""),"Alamat kosong",IF($N1858="","Jabatan kosong",IF($O1858="","No. HP kosong",IF(AND($R1858&lt;&gt;"",$R1858&lt;17),"Usia di bawah 17","")))))))))</f>
        <v/>
      </c>
      <c r="Z1858" s="40" t="str">
        <f aca="false">IF($B1858="","",IF(AND(OR(CARI!$C$5="",ISNUMBER(SEARCH(CARI!$C$5,$B1858&amp;" "&amp;$C1858&amp;" "&amp;$D1858&amp;" "&amp;$O1858&amp;" "&amp;$I1858&amp;" "&amp;$F1858&amp;" "&amp;$J1858&amp;" "&amp;$K1858&amp;" "&amp;$L1858&amp;" "&amp;$V1858))),OR(CARI!$C$6="",$F1858=CARI!$C$6),OR(CARI!$C$7="",$G1858=CARI!$C$7),OR(CARI!$C$8="",$T1858=CARI!$C$8)),MAX($Z$3:Z1857)+1,""))</f>
        <v/>
      </c>
      <c r="AA1858" s="40" t="str">
        <f aca="false">IF($Y1858="","",MAX($AA$3:AA1857)+1)</f>
        <v/>
      </c>
      <c r="AB1858" s="40" t="str">
        <f aca="false">IF($F1858="","",$F1858&amp;"#"&amp;COUNTIF($F$4:$F1858,$F1858))</f>
        <v/>
      </c>
      <c r="AC1858" s="40" t="str">
        <f aca="false">IF($B1858="","",IF(AND(OR(CETAK!$J$10="",$F1858=CETAK!$J$10),OR(CETAK!$J$11="",$G1858=CETAK!$J$11),OR(CETAK!$J$12="",$P1858=CETAK!$J$12),OR(CETAK!$J$13="",$N1858=CETAK!$J$13),OR(CETAK!$J$14="",$T1858=CETAK!$J$14)),MAX($AC$3:AC1857)+1,""))</f>
        <v/>
      </c>
      <c r="AD1858" s="40" t="str">
        <f aca="false">IF($B1858="","",IF(AND(OR(ABSENSI!$H$10="",$F1858=ABSENSI!$H$10),OR(ABSENSI!$H$11="",$G1858=ABSENSI!$H$11),OR(ABSENSI!$H$12="",$P1858=ABSENSI!$H$12)),MAX($AD$3:AD1857)+1,""))</f>
        <v/>
      </c>
      <c r="AE1858" s="40" t="str">
        <f aca="false">IF($B1858="","",IF(AND(OR(KARTU!$K$6="",$F1858=KARTU!$K$6),OR(KARTU!$K$7="",$G1858=KARTU!$K$7),OR(KARTU!$K$8="",$P1858=KARTU!$K$8)),MAX($AE$3:AE1857)+1,""))</f>
        <v/>
      </c>
    </row>
    <row r="1859" customFormat="false" ht="15" hidden="false" customHeight="false" outlineLevel="0" collapsed="false">
      <c r="A1859" s="35" t="str">
        <f aca="false">IF($B1859="","",COUNTA($B$4:$B1859))</f>
        <v/>
      </c>
      <c r="B1859" s="36"/>
      <c r="C1859" s="37"/>
      <c r="D1859" s="37"/>
      <c r="E1859" s="38"/>
      <c r="F1859" s="36"/>
      <c r="G1859" s="39"/>
      <c r="H1859" s="39"/>
      <c r="I1859" s="36"/>
      <c r="J1859" s="36"/>
      <c r="K1859" s="36"/>
      <c r="L1859" s="36"/>
      <c r="M1859" s="40" t="str">
        <f aca="false">IF($F1859="","",$F1859&amp;IF($G1859="",""," - RT "&amp;$G1859&amp;IF($H1859="","","/"&amp;$H1859)))</f>
        <v/>
      </c>
      <c r="N1859" s="36"/>
      <c r="O1859" s="37"/>
      <c r="P1859" s="39"/>
      <c r="Q1859" s="41"/>
      <c r="R1859" s="35" t="str">
        <f aca="true">IF(OR($B1859="",$Q1859=""),"",DATEDIF($Q1859,TODAY(),"Y"))</f>
        <v/>
      </c>
      <c r="S1859" s="40" t="str">
        <f aca="false">IF($R1859="","",INDEX(usia_label,MATCH($R1859,usia_min,1)))</f>
        <v/>
      </c>
      <c r="T1859" s="36"/>
      <c r="U1859" s="41"/>
      <c r="V1859" s="36"/>
      <c r="W1859" s="36"/>
      <c r="X1859" s="40" t="str">
        <f aca="false">IF($M1859="","",$M1859&amp;"#"&amp;COUNTIF($M$4:$M1859,$M1859))</f>
        <v/>
      </c>
      <c r="Y1859" s="40" t="str">
        <f aca="false">IF($B1859="","",IF($C1859="","NIK kosong",IF(LEN($C1859)&lt;&gt;16,"NIK bukan 16 digit",IF(COUNTIF($C$4:$C$2003,$C1859&amp;"*")&gt;1,"NIK ganda",IF(AND($D1859&lt;&gt;"",LEN($D1859)&lt;&gt;16),"No. KK bukan 16 digit",IF(AND($F1859="",$I1859=""),"Alamat kosong",IF($N1859="","Jabatan kosong",IF($O1859="","No. HP kosong",IF(AND($R1859&lt;&gt;"",$R1859&lt;17),"Usia di bawah 17","")))))))))</f>
        <v/>
      </c>
      <c r="Z1859" s="40" t="str">
        <f aca="false">IF($B1859="","",IF(AND(OR(CARI!$C$5="",ISNUMBER(SEARCH(CARI!$C$5,$B1859&amp;" "&amp;$C1859&amp;" "&amp;$D1859&amp;" "&amp;$O1859&amp;" "&amp;$I1859&amp;" "&amp;$F1859&amp;" "&amp;$J1859&amp;" "&amp;$K1859&amp;" "&amp;$L1859&amp;" "&amp;$V1859))),OR(CARI!$C$6="",$F1859=CARI!$C$6),OR(CARI!$C$7="",$G1859=CARI!$C$7),OR(CARI!$C$8="",$T1859=CARI!$C$8)),MAX($Z$3:Z1858)+1,""))</f>
        <v/>
      </c>
      <c r="AA1859" s="40" t="str">
        <f aca="false">IF($Y1859="","",MAX($AA$3:AA1858)+1)</f>
        <v/>
      </c>
      <c r="AB1859" s="40" t="str">
        <f aca="false">IF($F1859="","",$F1859&amp;"#"&amp;COUNTIF($F$4:$F1859,$F1859))</f>
        <v/>
      </c>
      <c r="AC1859" s="40" t="str">
        <f aca="false">IF($B1859="","",IF(AND(OR(CETAK!$J$10="",$F1859=CETAK!$J$10),OR(CETAK!$J$11="",$G1859=CETAK!$J$11),OR(CETAK!$J$12="",$P1859=CETAK!$J$12),OR(CETAK!$J$13="",$N1859=CETAK!$J$13),OR(CETAK!$J$14="",$T1859=CETAK!$J$14)),MAX($AC$3:AC1858)+1,""))</f>
        <v/>
      </c>
      <c r="AD1859" s="40" t="str">
        <f aca="false">IF($B1859="","",IF(AND(OR(ABSENSI!$H$10="",$F1859=ABSENSI!$H$10),OR(ABSENSI!$H$11="",$G1859=ABSENSI!$H$11),OR(ABSENSI!$H$12="",$P1859=ABSENSI!$H$12)),MAX($AD$3:AD1858)+1,""))</f>
        <v/>
      </c>
      <c r="AE1859" s="40" t="str">
        <f aca="false">IF($B1859="","",IF(AND(OR(KARTU!$K$6="",$F1859=KARTU!$K$6),OR(KARTU!$K$7="",$G1859=KARTU!$K$7),OR(KARTU!$K$8="",$P1859=KARTU!$K$8)),MAX($AE$3:AE1858)+1,""))</f>
        <v/>
      </c>
    </row>
    <row r="1860" customFormat="false" ht="15" hidden="false" customHeight="false" outlineLevel="0" collapsed="false">
      <c r="A1860" s="35" t="str">
        <f aca="false">IF($B1860="","",COUNTA($B$4:$B1860))</f>
        <v/>
      </c>
      <c r="B1860" s="36"/>
      <c r="C1860" s="37"/>
      <c r="D1860" s="37"/>
      <c r="E1860" s="38"/>
      <c r="F1860" s="36"/>
      <c r="G1860" s="39"/>
      <c r="H1860" s="39"/>
      <c r="I1860" s="36"/>
      <c r="J1860" s="36"/>
      <c r="K1860" s="36"/>
      <c r="L1860" s="36"/>
      <c r="M1860" s="40" t="str">
        <f aca="false">IF($F1860="","",$F1860&amp;IF($G1860="",""," - RT "&amp;$G1860&amp;IF($H1860="","","/"&amp;$H1860)))</f>
        <v/>
      </c>
      <c r="N1860" s="36"/>
      <c r="O1860" s="37"/>
      <c r="P1860" s="39"/>
      <c r="Q1860" s="41"/>
      <c r="R1860" s="35" t="str">
        <f aca="true">IF(OR($B1860="",$Q1860=""),"",DATEDIF($Q1860,TODAY(),"Y"))</f>
        <v/>
      </c>
      <c r="S1860" s="40" t="str">
        <f aca="false">IF($R1860="","",INDEX(usia_label,MATCH($R1860,usia_min,1)))</f>
        <v/>
      </c>
      <c r="T1860" s="36"/>
      <c r="U1860" s="41"/>
      <c r="V1860" s="36"/>
      <c r="W1860" s="36"/>
      <c r="X1860" s="40" t="str">
        <f aca="false">IF($M1860="","",$M1860&amp;"#"&amp;COUNTIF($M$4:$M1860,$M1860))</f>
        <v/>
      </c>
      <c r="Y1860" s="40" t="str">
        <f aca="false">IF($B1860="","",IF($C1860="","NIK kosong",IF(LEN($C1860)&lt;&gt;16,"NIK bukan 16 digit",IF(COUNTIF($C$4:$C$2003,$C1860&amp;"*")&gt;1,"NIK ganda",IF(AND($D1860&lt;&gt;"",LEN($D1860)&lt;&gt;16),"No. KK bukan 16 digit",IF(AND($F1860="",$I1860=""),"Alamat kosong",IF($N1860="","Jabatan kosong",IF($O1860="","No. HP kosong",IF(AND($R1860&lt;&gt;"",$R1860&lt;17),"Usia di bawah 17","")))))))))</f>
        <v/>
      </c>
      <c r="Z1860" s="40" t="str">
        <f aca="false">IF($B1860="","",IF(AND(OR(CARI!$C$5="",ISNUMBER(SEARCH(CARI!$C$5,$B1860&amp;" "&amp;$C1860&amp;" "&amp;$D1860&amp;" "&amp;$O1860&amp;" "&amp;$I1860&amp;" "&amp;$F1860&amp;" "&amp;$J1860&amp;" "&amp;$K1860&amp;" "&amp;$L1860&amp;" "&amp;$V1860))),OR(CARI!$C$6="",$F1860=CARI!$C$6),OR(CARI!$C$7="",$G1860=CARI!$C$7),OR(CARI!$C$8="",$T1860=CARI!$C$8)),MAX($Z$3:Z1859)+1,""))</f>
        <v/>
      </c>
      <c r="AA1860" s="40" t="str">
        <f aca="false">IF($Y1860="","",MAX($AA$3:AA1859)+1)</f>
        <v/>
      </c>
      <c r="AB1860" s="40" t="str">
        <f aca="false">IF($F1860="","",$F1860&amp;"#"&amp;COUNTIF($F$4:$F1860,$F1860))</f>
        <v/>
      </c>
      <c r="AC1860" s="40" t="str">
        <f aca="false">IF($B1860="","",IF(AND(OR(CETAK!$J$10="",$F1860=CETAK!$J$10),OR(CETAK!$J$11="",$G1860=CETAK!$J$11),OR(CETAK!$J$12="",$P1860=CETAK!$J$12),OR(CETAK!$J$13="",$N1860=CETAK!$J$13),OR(CETAK!$J$14="",$T1860=CETAK!$J$14)),MAX($AC$3:AC1859)+1,""))</f>
        <v/>
      </c>
      <c r="AD1860" s="40" t="str">
        <f aca="false">IF($B1860="","",IF(AND(OR(ABSENSI!$H$10="",$F1860=ABSENSI!$H$10),OR(ABSENSI!$H$11="",$G1860=ABSENSI!$H$11),OR(ABSENSI!$H$12="",$P1860=ABSENSI!$H$12)),MAX($AD$3:AD1859)+1,""))</f>
        <v/>
      </c>
      <c r="AE1860" s="40" t="str">
        <f aca="false">IF($B1860="","",IF(AND(OR(KARTU!$K$6="",$F1860=KARTU!$K$6),OR(KARTU!$K$7="",$G1860=KARTU!$K$7),OR(KARTU!$K$8="",$P1860=KARTU!$K$8)),MAX($AE$3:AE1859)+1,""))</f>
        <v/>
      </c>
    </row>
    <row r="1861" customFormat="false" ht="15" hidden="false" customHeight="false" outlineLevel="0" collapsed="false">
      <c r="A1861" s="35" t="str">
        <f aca="false">IF($B1861="","",COUNTA($B$4:$B1861))</f>
        <v/>
      </c>
      <c r="B1861" s="36"/>
      <c r="C1861" s="37"/>
      <c r="D1861" s="37"/>
      <c r="E1861" s="38"/>
      <c r="F1861" s="36"/>
      <c r="G1861" s="39"/>
      <c r="H1861" s="39"/>
      <c r="I1861" s="36"/>
      <c r="J1861" s="36"/>
      <c r="K1861" s="36"/>
      <c r="L1861" s="36"/>
      <c r="M1861" s="40" t="str">
        <f aca="false">IF($F1861="","",$F1861&amp;IF($G1861="",""," - RT "&amp;$G1861&amp;IF($H1861="","","/"&amp;$H1861)))</f>
        <v/>
      </c>
      <c r="N1861" s="36"/>
      <c r="O1861" s="37"/>
      <c r="P1861" s="39"/>
      <c r="Q1861" s="41"/>
      <c r="R1861" s="35" t="str">
        <f aca="true">IF(OR($B1861="",$Q1861=""),"",DATEDIF($Q1861,TODAY(),"Y"))</f>
        <v/>
      </c>
      <c r="S1861" s="40" t="str">
        <f aca="false">IF($R1861="","",INDEX(usia_label,MATCH($R1861,usia_min,1)))</f>
        <v/>
      </c>
      <c r="T1861" s="36"/>
      <c r="U1861" s="41"/>
      <c r="V1861" s="36"/>
      <c r="W1861" s="36"/>
      <c r="X1861" s="40" t="str">
        <f aca="false">IF($M1861="","",$M1861&amp;"#"&amp;COUNTIF($M$4:$M1861,$M1861))</f>
        <v/>
      </c>
      <c r="Y1861" s="40" t="str">
        <f aca="false">IF($B1861="","",IF($C1861="","NIK kosong",IF(LEN($C1861)&lt;&gt;16,"NIK bukan 16 digit",IF(COUNTIF($C$4:$C$2003,$C1861&amp;"*")&gt;1,"NIK ganda",IF(AND($D1861&lt;&gt;"",LEN($D1861)&lt;&gt;16),"No. KK bukan 16 digit",IF(AND($F1861="",$I1861=""),"Alamat kosong",IF($N1861="","Jabatan kosong",IF($O1861="","No. HP kosong",IF(AND($R1861&lt;&gt;"",$R1861&lt;17),"Usia di bawah 17","")))))))))</f>
        <v/>
      </c>
      <c r="Z1861" s="40" t="str">
        <f aca="false">IF($B1861="","",IF(AND(OR(CARI!$C$5="",ISNUMBER(SEARCH(CARI!$C$5,$B1861&amp;" "&amp;$C1861&amp;" "&amp;$D1861&amp;" "&amp;$O1861&amp;" "&amp;$I1861&amp;" "&amp;$F1861&amp;" "&amp;$J1861&amp;" "&amp;$K1861&amp;" "&amp;$L1861&amp;" "&amp;$V1861))),OR(CARI!$C$6="",$F1861=CARI!$C$6),OR(CARI!$C$7="",$G1861=CARI!$C$7),OR(CARI!$C$8="",$T1861=CARI!$C$8)),MAX($Z$3:Z1860)+1,""))</f>
        <v/>
      </c>
      <c r="AA1861" s="40" t="str">
        <f aca="false">IF($Y1861="","",MAX($AA$3:AA1860)+1)</f>
        <v/>
      </c>
      <c r="AB1861" s="40" t="str">
        <f aca="false">IF($F1861="","",$F1861&amp;"#"&amp;COUNTIF($F$4:$F1861,$F1861))</f>
        <v/>
      </c>
      <c r="AC1861" s="40" t="str">
        <f aca="false">IF($B1861="","",IF(AND(OR(CETAK!$J$10="",$F1861=CETAK!$J$10),OR(CETAK!$J$11="",$G1861=CETAK!$J$11),OR(CETAK!$J$12="",$P1861=CETAK!$J$12),OR(CETAK!$J$13="",$N1861=CETAK!$J$13),OR(CETAK!$J$14="",$T1861=CETAK!$J$14)),MAX($AC$3:AC1860)+1,""))</f>
        <v/>
      </c>
      <c r="AD1861" s="40" t="str">
        <f aca="false">IF($B1861="","",IF(AND(OR(ABSENSI!$H$10="",$F1861=ABSENSI!$H$10),OR(ABSENSI!$H$11="",$G1861=ABSENSI!$H$11),OR(ABSENSI!$H$12="",$P1861=ABSENSI!$H$12)),MAX($AD$3:AD1860)+1,""))</f>
        <v/>
      </c>
      <c r="AE1861" s="40" t="str">
        <f aca="false">IF($B1861="","",IF(AND(OR(KARTU!$K$6="",$F1861=KARTU!$K$6),OR(KARTU!$K$7="",$G1861=KARTU!$K$7),OR(KARTU!$K$8="",$P1861=KARTU!$K$8)),MAX($AE$3:AE1860)+1,""))</f>
        <v/>
      </c>
    </row>
    <row r="1862" customFormat="false" ht="15" hidden="false" customHeight="false" outlineLevel="0" collapsed="false">
      <c r="A1862" s="35" t="str">
        <f aca="false">IF($B1862="","",COUNTA($B$4:$B1862))</f>
        <v/>
      </c>
      <c r="B1862" s="36"/>
      <c r="C1862" s="37"/>
      <c r="D1862" s="37"/>
      <c r="E1862" s="38"/>
      <c r="F1862" s="36"/>
      <c r="G1862" s="39"/>
      <c r="H1862" s="39"/>
      <c r="I1862" s="36"/>
      <c r="J1862" s="36"/>
      <c r="K1862" s="36"/>
      <c r="L1862" s="36"/>
      <c r="M1862" s="40" t="str">
        <f aca="false">IF($F1862="","",$F1862&amp;IF($G1862="",""," - RT "&amp;$G1862&amp;IF($H1862="","","/"&amp;$H1862)))</f>
        <v/>
      </c>
      <c r="N1862" s="36"/>
      <c r="O1862" s="37"/>
      <c r="P1862" s="39"/>
      <c r="Q1862" s="41"/>
      <c r="R1862" s="35" t="str">
        <f aca="true">IF(OR($B1862="",$Q1862=""),"",DATEDIF($Q1862,TODAY(),"Y"))</f>
        <v/>
      </c>
      <c r="S1862" s="40" t="str">
        <f aca="false">IF($R1862="","",INDEX(usia_label,MATCH($R1862,usia_min,1)))</f>
        <v/>
      </c>
      <c r="T1862" s="36"/>
      <c r="U1862" s="41"/>
      <c r="V1862" s="36"/>
      <c r="W1862" s="36"/>
      <c r="X1862" s="40" t="str">
        <f aca="false">IF($M1862="","",$M1862&amp;"#"&amp;COUNTIF($M$4:$M1862,$M1862))</f>
        <v/>
      </c>
      <c r="Y1862" s="40" t="str">
        <f aca="false">IF($B1862="","",IF($C1862="","NIK kosong",IF(LEN($C1862)&lt;&gt;16,"NIK bukan 16 digit",IF(COUNTIF($C$4:$C$2003,$C1862&amp;"*")&gt;1,"NIK ganda",IF(AND($D1862&lt;&gt;"",LEN($D1862)&lt;&gt;16),"No. KK bukan 16 digit",IF(AND($F1862="",$I1862=""),"Alamat kosong",IF($N1862="","Jabatan kosong",IF($O1862="","No. HP kosong",IF(AND($R1862&lt;&gt;"",$R1862&lt;17),"Usia di bawah 17","")))))))))</f>
        <v/>
      </c>
      <c r="Z1862" s="40" t="str">
        <f aca="false">IF($B1862="","",IF(AND(OR(CARI!$C$5="",ISNUMBER(SEARCH(CARI!$C$5,$B1862&amp;" "&amp;$C1862&amp;" "&amp;$D1862&amp;" "&amp;$O1862&amp;" "&amp;$I1862&amp;" "&amp;$F1862&amp;" "&amp;$J1862&amp;" "&amp;$K1862&amp;" "&amp;$L1862&amp;" "&amp;$V1862))),OR(CARI!$C$6="",$F1862=CARI!$C$6),OR(CARI!$C$7="",$G1862=CARI!$C$7),OR(CARI!$C$8="",$T1862=CARI!$C$8)),MAX($Z$3:Z1861)+1,""))</f>
        <v/>
      </c>
      <c r="AA1862" s="40" t="str">
        <f aca="false">IF($Y1862="","",MAX($AA$3:AA1861)+1)</f>
        <v/>
      </c>
      <c r="AB1862" s="40" t="str">
        <f aca="false">IF($F1862="","",$F1862&amp;"#"&amp;COUNTIF($F$4:$F1862,$F1862))</f>
        <v/>
      </c>
      <c r="AC1862" s="40" t="str">
        <f aca="false">IF($B1862="","",IF(AND(OR(CETAK!$J$10="",$F1862=CETAK!$J$10),OR(CETAK!$J$11="",$G1862=CETAK!$J$11),OR(CETAK!$J$12="",$P1862=CETAK!$J$12),OR(CETAK!$J$13="",$N1862=CETAK!$J$13),OR(CETAK!$J$14="",$T1862=CETAK!$J$14)),MAX($AC$3:AC1861)+1,""))</f>
        <v/>
      </c>
      <c r="AD1862" s="40" t="str">
        <f aca="false">IF($B1862="","",IF(AND(OR(ABSENSI!$H$10="",$F1862=ABSENSI!$H$10),OR(ABSENSI!$H$11="",$G1862=ABSENSI!$H$11),OR(ABSENSI!$H$12="",$P1862=ABSENSI!$H$12)),MAX($AD$3:AD1861)+1,""))</f>
        <v/>
      </c>
      <c r="AE1862" s="40" t="str">
        <f aca="false">IF($B1862="","",IF(AND(OR(KARTU!$K$6="",$F1862=KARTU!$K$6),OR(KARTU!$K$7="",$G1862=KARTU!$K$7),OR(KARTU!$K$8="",$P1862=KARTU!$K$8)),MAX($AE$3:AE1861)+1,""))</f>
        <v/>
      </c>
    </row>
    <row r="1863" customFormat="false" ht="15" hidden="false" customHeight="false" outlineLevel="0" collapsed="false">
      <c r="A1863" s="35" t="str">
        <f aca="false">IF($B1863="","",COUNTA($B$4:$B1863))</f>
        <v/>
      </c>
      <c r="B1863" s="36"/>
      <c r="C1863" s="37"/>
      <c r="D1863" s="37"/>
      <c r="E1863" s="38"/>
      <c r="F1863" s="36"/>
      <c r="G1863" s="39"/>
      <c r="H1863" s="39"/>
      <c r="I1863" s="36"/>
      <c r="J1863" s="36"/>
      <c r="K1863" s="36"/>
      <c r="L1863" s="36"/>
      <c r="M1863" s="40" t="str">
        <f aca="false">IF($F1863="","",$F1863&amp;IF($G1863="",""," - RT "&amp;$G1863&amp;IF($H1863="","","/"&amp;$H1863)))</f>
        <v/>
      </c>
      <c r="N1863" s="36"/>
      <c r="O1863" s="37"/>
      <c r="P1863" s="39"/>
      <c r="Q1863" s="41"/>
      <c r="R1863" s="35" t="str">
        <f aca="true">IF(OR($B1863="",$Q1863=""),"",DATEDIF($Q1863,TODAY(),"Y"))</f>
        <v/>
      </c>
      <c r="S1863" s="40" t="str">
        <f aca="false">IF($R1863="","",INDEX(usia_label,MATCH($R1863,usia_min,1)))</f>
        <v/>
      </c>
      <c r="T1863" s="36"/>
      <c r="U1863" s="41"/>
      <c r="V1863" s="36"/>
      <c r="W1863" s="36"/>
      <c r="X1863" s="40" t="str">
        <f aca="false">IF($M1863="","",$M1863&amp;"#"&amp;COUNTIF($M$4:$M1863,$M1863))</f>
        <v/>
      </c>
      <c r="Y1863" s="40" t="str">
        <f aca="false">IF($B1863="","",IF($C1863="","NIK kosong",IF(LEN($C1863)&lt;&gt;16,"NIK bukan 16 digit",IF(COUNTIF($C$4:$C$2003,$C1863&amp;"*")&gt;1,"NIK ganda",IF(AND($D1863&lt;&gt;"",LEN($D1863)&lt;&gt;16),"No. KK bukan 16 digit",IF(AND($F1863="",$I1863=""),"Alamat kosong",IF($N1863="","Jabatan kosong",IF($O1863="","No. HP kosong",IF(AND($R1863&lt;&gt;"",$R1863&lt;17),"Usia di bawah 17","")))))))))</f>
        <v/>
      </c>
      <c r="Z1863" s="40" t="str">
        <f aca="false">IF($B1863="","",IF(AND(OR(CARI!$C$5="",ISNUMBER(SEARCH(CARI!$C$5,$B1863&amp;" "&amp;$C1863&amp;" "&amp;$D1863&amp;" "&amp;$O1863&amp;" "&amp;$I1863&amp;" "&amp;$F1863&amp;" "&amp;$J1863&amp;" "&amp;$K1863&amp;" "&amp;$L1863&amp;" "&amp;$V1863))),OR(CARI!$C$6="",$F1863=CARI!$C$6),OR(CARI!$C$7="",$G1863=CARI!$C$7),OR(CARI!$C$8="",$T1863=CARI!$C$8)),MAX($Z$3:Z1862)+1,""))</f>
        <v/>
      </c>
      <c r="AA1863" s="40" t="str">
        <f aca="false">IF($Y1863="","",MAX($AA$3:AA1862)+1)</f>
        <v/>
      </c>
      <c r="AB1863" s="40" t="str">
        <f aca="false">IF($F1863="","",$F1863&amp;"#"&amp;COUNTIF($F$4:$F1863,$F1863))</f>
        <v/>
      </c>
      <c r="AC1863" s="40" t="str">
        <f aca="false">IF($B1863="","",IF(AND(OR(CETAK!$J$10="",$F1863=CETAK!$J$10),OR(CETAK!$J$11="",$G1863=CETAK!$J$11),OR(CETAK!$J$12="",$P1863=CETAK!$J$12),OR(CETAK!$J$13="",$N1863=CETAK!$J$13),OR(CETAK!$J$14="",$T1863=CETAK!$J$14)),MAX($AC$3:AC1862)+1,""))</f>
        <v/>
      </c>
      <c r="AD1863" s="40" t="str">
        <f aca="false">IF($B1863="","",IF(AND(OR(ABSENSI!$H$10="",$F1863=ABSENSI!$H$10),OR(ABSENSI!$H$11="",$G1863=ABSENSI!$H$11),OR(ABSENSI!$H$12="",$P1863=ABSENSI!$H$12)),MAX($AD$3:AD1862)+1,""))</f>
        <v/>
      </c>
      <c r="AE1863" s="40" t="str">
        <f aca="false">IF($B1863="","",IF(AND(OR(KARTU!$K$6="",$F1863=KARTU!$K$6),OR(KARTU!$K$7="",$G1863=KARTU!$K$7),OR(KARTU!$K$8="",$P1863=KARTU!$K$8)),MAX($AE$3:AE1862)+1,""))</f>
        <v/>
      </c>
    </row>
    <row r="1864" customFormat="false" ht="15" hidden="false" customHeight="false" outlineLevel="0" collapsed="false">
      <c r="A1864" s="35" t="str">
        <f aca="false">IF($B1864="","",COUNTA($B$4:$B1864))</f>
        <v/>
      </c>
      <c r="B1864" s="36"/>
      <c r="C1864" s="37"/>
      <c r="D1864" s="37"/>
      <c r="E1864" s="38"/>
      <c r="F1864" s="36"/>
      <c r="G1864" s="39"/>
      <c r="H1864" s="39"/>
      <c r="I1864" s="36"/>
      <c r="J1864" s="36"/>
      <c r="K1864" s="36"/>
      <c r="L1864" s="36"/>
      <c r="M1864" s="40" t="str">
        <f aca="false">IF($F1864="","",$F1864&amp;IF($G1864="",""," - RT "&amp;$G1864&amp;IF($H1864="","","/"&amp;$H1864)))</f>
        <v/>
      </c>
      <c r="N1864" s="36"/>
      <c r="O1864" s="37"/>
      <c r="P1864" s="39"/>
      <c r="Q1864" s="41"/>
      <c r="R1864" s="35" t="str">
        <f aca="true">IF(OR($B1864="",$Q1864=""),"",DATEDIF($Q1864,TODAY(),"Y"))</f>
        <v/>
      </c>
      <c r="S1864" s="40" t="str">
        <f aca="false">IF($R1864="","",INDEX(usia_label,MATCH($R1864,usia_min,1)))</f>
        <v/>
      </c>
      <c r="T1864" s="36"/>
      <c r="U1864" s="41"/>
      <c r="V1864" s="36"/>
      <c r="W1864" s="36"/>
      <c r="X1864" s="40" t="str">
        <f aca="false">IF($M1864="","",$M1864&amp;"#"&amp;COUNTIF($M$4:$M1864,$M1864))</f>
        <v/>
      </c>
      <c r="Y1864" s="40" t="str">
        <f aca="false">IF($B1864="","",IF($C1864="","NIK kosong",IF(LEN($C1864)&lt;&gt;16,"NIK bukan 16 digit",IF(COUNTIF($C$4:$C$2003,$C1864&amp;"*")&gt;1,"NIK ganda",IF(AND($D1864&lt;&gt;"",LEN($D1864)&lt;&gt;16),"No. KK bukan 16 digit",IF(AND($F1864="",$I1864=""),"Alamat kosong",IF($N1864="","Jabatan kosong",IF($O1864="","No. HP kosong",IF(AND($R1864&lt;&gt;"",$R1864&lt;17),"Usia di bawah 17","")))))))))</f>
        <v/>
      </c>
      <c r="Z1864" s="40" t="str">
        <f aca="false">IF($B1864="","",IF(AND(OR(CARI!$C$5="",ISNUMBER(SEARCH(CARI!$C$5,$B1864&amp;" "&amp;$C1864&amp;" "&amp;$D1864&amp;" "&amp;$O1864&amp;" "&amp;$I1864&amp;" "&amp;$F1864&amp;" "&amp;$J1864&amp;" "&amp;$K1864&amp;" "&amp;$L1864&amp;" "&amp;$V1864))),OR(CARI!$C$6="",$F1864=CARI!$C$6),OR(CARI!$C$7="",$G1864=CARI!$C$7),OR(CARI!$C$8="",$T1864=CARI!$C$8)),MAX($Z$3:Z1863)+1,""))</f>
        <v/>
      </c>
      <c r="AA1864" s="40" t="str">
        <f aca="false">IF($Y1864="","",MAX($AA$3:AA1863)+1)</f>
        <v/>
      </c>
      <c r="AB1864" s="40" t="str">
        <f aca="false">IF($F1864="","",$F1864&amp;"#"&amp;COUNTIF($F$4:$F1864,$F1864))</f>
        <v/>
      </c>
      <c r="AC1864" s="40" t="str">
        <f aca="false">IF($B1864="","",IF(AND(OR(CETAK!$J$10="",$F1864=CETAK!$J$10),OR(CETAK!$J$11="",$G1864=CETAK!$J$11),OR(CETAK!$J$12="",$P1864=CETAK!$J$12),OR(CETAK!$J$13="",$N1864=CETAK!$J$13),OR(CETAK!$J$14="",$T1864=CETAK!$J$14)),MAX($AC$3:AC1863)+1,""))</f>
        <v/>
      </c>
      <c r="AD1864" s="40" t="str">
        <f aca="false">IF($B1864="","",IF(AND(OR(ABSENSI!$H$10="",$F1864=ABSENSI!$H$10),OR(ABSENSI!$H$11="",$G1864=ABSENSI!$H$11),OR(ABSENSI!$H$12="",$P1864=ABSENSI!$H$12)),MAX($AD$3:AD1863)+1,""))</f>
        <v/>
      </c>
      <c r="AE1864" s="40" t="str">
        <f aca="false">IF($B1864="","",IF(AND(OR(KARTU!$K$6="",$F1864=KARTU!$K$6),OR(KARTU!$K$7="",$G1864=KARTU!$K$7),OR(KARTU!$K$8="",$P1864=KARTU!$K$8)),MAX($AE$3:AE1863)+1,""))</f>
        <v/>
      </c>
    </row>
    <row r="1865" customFormat="false" ht="15" hidden="false" customHeight="false" outlineLevel="0" collapsed="false">
      <c r="A1865" s="35" t="str">
        <f aca="false">IF($B1865="","",COUNTA($B$4:$B1865))</f>
        <v/>
      </c>
      <c r="B1865" s="36"/>
      <c r="C1865" s="37"/>
      <c r="D1865" s="37"/>
      <c r="E1865" s="38"/>
      <c r="F1865" s="36"/>
      <c r="G1865" s="39"/>
      <c r="H1865" s="39"/>
      <c r="I1865" s="36"/>
      <c r="J1865" s="36"/>
      <c r="K1865" s="36"/>
      <c r="L1865" s="36"/>
      <c r="M1865" s="40" t="str">
        <f aca="false">IF($F1865="","",$F1865&amp;IF($G1865="",""," - RT "&amp;$G1865&amp;IF($H1865="","","/"&amp;$H1865)))</f>
        <v/>
      </c>
      <c r="N1865" s="36"/>
      <c r="O1865" s="37"/>
      <c r="P1865" s="39"/>
      <c r="Q1865" s="41"/>
      <c r="R1865" s="35" t="str">
        <f aca="true">IF(OR($B1865="",$Q1865=""),"",DATEDIF($Q1865,TODAY(),"Y"))</f>
        <v/>
      </c>
      <c r="S1865" s="40" t="str">
        <f aca="false">IF($R1865="","",INDEX(usia_label,MATCH($R1865,usia_min,1)))</f>
        <v/>
      </c>
      <c r="T1865" s="36"/>
      <c r="U1865" s="41"/>
      <c r="V1865" s="36"/>
      <c r="W1865" s="36"/>
      <c r="X1865" s="40" t="str">
        <f aca="false">IF($M1865="","",$M1865&amp;"#"&amp;COUNTIF($M$4:$M1865,$M1865))</f>
        <v/>
      </c>
      <c r="Y1865" s="40" t="str">
        <f aca="false">IF($B1865="","",IF($C1865="","NIK kosong",IF(LEN($C1865)&lt;&gt;16,"NIK bukan 16 digit",IF(COUNTIF($C$4:$C$2003,$C1865&amp;"*")&gt;1,"NIK ganda",IF(AND($D1865&lt;&gt;"",LEN($D1865)&lt;&gt;16),"No. KK bukan 16 digit",IF(AND($F1865="",$I1865=""),"Alamat kosong",IF($N1865="","Jabatan kosong",IF($O1865="","No. HP kosong",IF(AND($R1865&lt;&gt;"",$R1865&lt;17),"Usia di bawah 17","")))))))))</f>
        <v/>
      </c>
      <c r="Z1865" s="40" t="str">
        <f aca="false">IF($B1865="","",IF(AND(OR(CARI!$C$5="",ISNUMBER(SEARCH(CARI!$C$5,$B1865&amp;" "&amp;$C1865&amp;" "&amp;$D1865&amp;" "&amp;$O1865&amp;" "&amp;$I1865&amp;" "&amp;$F1865&amp;" "&amp;$J1865&amp;" "&amp;$K1865&amp;" "&amp;$L1865&amp;" "&amp;$V1865))),OR(CARI!$C$6="",$F1865=CARI!$C$6),OR(CARI!$C$7="",$G1865=CARI!$C$7),OR(CARI!$C$8="",$T1865=CARI!$C$8)),MAX($Z$3:Z1864)+1,""))</f>
        <v/>
      </c>
      <c r="AA1865" s="40" t="str">
        <f aca="false">IF($Y1865="","",MAX($AA$3:AA1864)+1)</f>
        <v/>
      </c>
      <c r="AB1865" s="40" t="str">
        <f aca="false">IF($F1865="","",$F1865&amp;"#"&amp;COUNTIF($F$4:$F1865,$F1865))</f>
        <v/>
      </c>
      <c r="AC1865" s="40" t="str">
        <f aca="false">IF($B1865="","",IF(AND(OR(CETAK!$J$10="",$F1865=CETAK!$J$10),OR(CETAK!$J$11="",$G1865=CETAK!$J$11),OR(CETAK!$J$12="",$P1865=CETAK!$J$12),OR(CETAK!$J$13="",$N1865=CETAK!$J$13),OR(CETAK!$J$14="",$T1865=CETAK!$J$14)),MAX($AC$3:AC1864)+1,""))</f>
        <v/>
      </c>
      <c r="AD1865" s="40" t="str">
        <f aca="false">IF($B1865="","",IF(AND(OR(ABSENSI!$H$10="",$F1865=ABSENSI!$H$10),OR(ABSENSI!$H$11="",$G1865=ABSENSI!$H$11),OR(ABSENSI!$H$12="",$P1865=ABSENSI!$H$12)),MAX($AD$3:AD1864)+1,""))</f>
        <v/>
      </c>
      <c r="AE1865" s="40" t="str">
        <f aca="false">IF($B1865="","",IF(AND(OR(KARTU!$K$6="",$F1865=KARTU!$K$6),OR(KARTU!$K$7="",$G1865=KARTU!$K$7),OR(KARTU!$K$8="",$P1865=KARTU!$K$8)),MAX($AE$3:AE1864)+1,""))</f>
        <v/>
      </c>
    </row>
    <row r="1866" customFormat="false" ht="15" hidden="false" customHeight="false" outlineLevel="0" collapsed="false">
      <c r="A1866" s="35" t="str">
        <f aca="false">IF($B1866="","",COUNTA($B$4:$B1866))</f>
        <v/>
      </c>
      <c r="B1866" s="36"/>
      <c r="C1866" s="37"/>
      <c r="D1866" s="37"/>
      <c r="E1866" s="38"/>
      <c r="F1866" s="36"/>
      <c r="G1866" s="39"/>
      <c r="H1866" s="39"/>
      <c r="I1866" s="36"/>
      <c r="J1866" s="36"/>
      <c r="K1866" s="36"/>
      <c r="L1866" s="36"/>
      <c r="M1866" s="40" t="str">
        <f aca="false">IF($F1866="","",$F1866&amp;IF($G1866="",""," - RT "&amp;$G1866&amp;IF($H1866="","","/"&amp;$H1866)))</f>
        <v/>
      </c>
      <c r="N1866" s="36"/>
      <c r="O1866" s="37"/>
      <c r="P1866" s="39"/>
      <c r="Q1866" s="41"/>
      <c r="R1866" s="35" t="str">
        <f aca="true">IF(OR($B1866="",$Q1866=""),"",DATEDIF($Q1866,TODAY(),"Y"))</f>
        <v/>
      </c>
      <c r="S1866" s="40" t="str">
        <f aca="false">IF($R1866="","",INDEX(usia_label,MATCH($R1866,usia_min,1)))</f>
        <v/>
      </c>
      <c r="T1866" s="36"/>
      <c r="U1866" s="41"/>
      <c r="V1866" s="36"/>
      <c r="W1866" s="36"/>
      <c r="X1866" s="40" t="str">
        <f aca="false">IF($M1866="","",$M1866&amp;"#"&amp;COUNTIF($M$4:$M1866,$M1866))</f>
        <v/>
      </c>
      <c r="Y1866" s="40" t="str">
        <f aca="false">IF($B1866="","",IF($C1866="","NIK kosong",IF(LEN($C1866)&lt;&gt;16,"NIK bukan 16 digit",IF(COUNTIF($C$4:$C$2003,$C1866&amp;"*")&gt;1,"NIK ganda",IF(AND($D1866&lt;&gt;"",LEN($D1866)&lt;&gt;16),"No. KK bukan 16 digit",IF(AND($F1866="",$I1866=""),"Alamat kosong",IF($N1866="","Jabatan kosong",IF($O1866="","No. HP kosong",IF(AND($R1866&lt;&gt;"",$R1866&lt;17),"Usia di bawah 17","")))))))))</f>
        <v/>
      </c>
      <c r="Z1866" s="40" t="str">
        <f aca="false">IF($B1866="","",IF(AND(OR(CARI!$C$5="",ISNUMBER(SEARCH(CARI!$C$5,$B1866&amp;" "&amp;$C1866&amp;" "&amp;$D1866&amp;" "&amp;$O1866&amp;" "&amp;$I1866&amp;" "&amp;$F1866&amp;" "&amp;$J1866&amp;" "&amp;$K1866&amp;" "&amp;$L1866&amp;" "&amp;$V1866))),OR(CARI!$C$6="",$F1866=CARI!$C$6),OR(CARI!$C$7="",$G1866=CARI!$C$7),OR(CARI!$C$8="",$T1866=CARI!$C$8)),MAX($Z$3:Z1865)+1,""))</f>
        <v/>
      </c>
      <c r="AA1866" s="40" t="str">
        <f aca="false">IF($Y1866="","",MAX($AA$3:AA1865)+1)</f>
        <v/>
      </c>
      <c r="AB1866" s="40" t="str">
        <f aca="false">IF($F1866="","",$F1866&amp;"#"&amp;COUNTIF($F$4:$F1866,$F1866))</f>
        <v/>
      </c>
      <c r="AC1866" s="40" t="str">
        <f aca="false">IF($B1866="","",IF(AND(OR(CETAK!$J$10="",$F1866=CETAK!$J$10),OR(CETAK!$J$11="",$G1866=CETAK!$J$11),OR(CETAK!$J$12="",$P1866=CETAK!$J$12),OR(CETAK!$J$13="",$N1866=CETAK!$J$13),OR(CETAK!$J$14="",$T1866=CETAK!$J$14)),MAX($AC$3:AC1865)+1,""))</f>
        <v/>
      </c>
      <c r="AD1866" s="40" t="str">
        <f aca="false">IF($B1866="","",IF(AND(OR(ABSENSI!$H$10="",$F1866=ABSENSI!$H$10),OR(ABSENSI!$H$11="",$G1866=ABSENSI!$H$11),OR(ABSENSI!$H$12="",$P1866=ABSENSI!$H$12)),MAX($AD$3:AD1865)+1,""))</f>
        <v/>
      </c>
      <c r="AE1866" s="40" t="str">
        <f aca="false">IF($B1866="","",IF(AND(OR(KARTU!$K$6="",$F1866=KARTU!$K$6),OR(KARTU!$K$7="",$G1866=KARTU!$K$7),OR(KARTU!$K$8="",$P1866=KARTU!$K$8)),MAX($AE$3:AE1865)+1,""))</f>
        <v/>
      </c>
    </row>
    <row r="1867" customFormat="false" ht="15" hidden="false" customHeight="false" outlineLevel="0" collapsed="false">
      <c r="A1867" s="35" t="str">
        <f aca="false">IF($B1867="","",COUNTA($B$4:$B1867))</f>
        <v/>
      </c>
      <c r="B1867" s="36"/>
      <c r="C1867" s="37"/>
      <c r="D1867" s="37"/>
      <c r="E1867" s="38"/>
      <c r="F1867" s="36"/>
      <c r="G1867" s="39"/>
      <c r="H1867" s="39"/>
      <c r="I1867" s="36"/>
      <c r="J1867" s="36"/>
      <c r="K1867" s="36"/>
      <c r="L1867" s="36"/>
      <c r="M1867" s="40" t="str">
        <f aca="false">IF($F1867="","",$F1867&amp;IF($G1867="",""," - RT "&amp;$G1867&amp;IF($H1867="","","/"&amp;$H1867)))</f>
        <v/>
      </c>
      <c r="N1867" s="36"/>
      <c r="O1867" s="37"/>
      <c r="P1867" s="39"/>
      <c r="Q1867" s="41"/>
      <c r="R1867" s="35" t="str">
        <f aca="true">IF(OR($B1867="",$Q1867=""),"",DATEDIF($Q1867,TODAY(),"Y"))</f>
        <v/>
      </c>
      <c r="S1867" s="40" t="str">
        <f aca="false">IF($R1867="","",INDEX(usia_label,MATCH($R1867,usia_min,1)))</f>
        <v/>
      </c>
      <c r="T1867" s="36"/>
      <c r="U1867" s="41"/>
      <c r="V1867" s="36"/>
      <c r="W1867" s="36"/>
      <c r="X1867" s="40" t="str">
        <f aca="false">IF($M1867="","",$M1867&amp;"#"&amp;COUNTIF($M$4:$M1867,$M1867))</f>
        <v/>
      </c>
      <c r="Y1867" s="40" t="str">
        <f aca="false">IF($B1867="","",IF($C1867="","NIK kosong",IF(LEN($C1867)&lt;&gt;16,"NIK bukan 16 digit",IF(COUNTIF($C$4:$C$2003,$C1867&amp;"*")&gt;1,"NIK ganda",IF(AND($D1867&lt;&gt;"",LEN($D1867)&lt;&gt;16),"No. KK bukan 16 digit",IF(AND($F1867="",$I1867=""),"Alamat kosong",IF($N1867="","Jabatan kosong",IF($O1867="","No. HP kosong",IF(AND($R1867&lt;&gt;"",$R1867&lt;17),"Usia di bawah 17","")))))))))</f>
        <v/>
      </c>
      <c r="Z1867" s="40" t="str">
        <f aca="false">IF($B1867="","",IF(AND(OR(CARI!$C$5="",ISNUMBER(SEARCH(CARI!$C$5,$B1867&amp;" "&amp;$C1867&amp;" "&amp;$D1867&amp;" "&amp;$O1867&amp;" "&amp;$I1867&amp;" "&amp;$F1867&amp;" "&amp;$J1867&amp;" "&amp;$K1867&amp;" "&amp;$L1867&amp;" "&amp;$V1867))),OR(CARI!$C$6="",$F1867=CARI!$C$6),OR(CARI!$C$7="",$G1867=CARI!$C$7),OR(CARI!$C$8="",$T1867=CARI!$C$8)),MAX($Z$3:Z1866)+1,""))</f>
        <v/>
      </c>
      <c r="AA1867" s="40" t="str">
        <f aca="false">IF($Y1867="","",MAX($AA$3:AA1866)+1)</f>
        <v/>
      </c>
      <c r="AB1867" s="40" t="str">
        <f aca="false">IF($F1867="","",$F1867&amp;"#"&amp;COUNTIF($F$4:$F1867,$F1867))</f>
        <v/>
      </c>
      <c r="AC1867" s="40" t="str">
        <f aca="false">IF($B1867="","",IF(AND(OR(CETAK!$J$10="",$F1867=CETAK!$J$10),OR(CETAK!$J$11="",$G1867=CETAK!$J$11),OR(CETAK!$J$12="",$P1867=CETAK!$J$12),OR(CETAK!$J$13="",$N1867=CETAK!$J$13),OR(CETAK!$J$14="",$T1867=CETAK!$J$14)),MAX($AC$3:AC1866)+1,""))</f>
        <v/>
      </c>
      <c r="AD1867" s="40" t="str">
        <f aca="false">IF($B1867="","",IF(AND(OR(ABSENSI!$H$10="",$F1867=ABSENSI!$H$10),OR(ABSENSI!$H$11="",$G1867=ABSENSI!$H$11),OR(ABSENSI!$H$12="",$P1867=ABSENSI!$H$12)),MAX($AD$3:AD1866)+1,""))</f>
        <v/>
      </c>
      <c r="AE1867" s="40" t="str">
        <f aca="false">IF($B1867="","",IF(AND(OR(KARTU!$K$6="",$F1867=KARTU!$K$6),OR(KARTU!$K$7="",$G1867=KARTU!$K$7),OR(KARTU!$K$8="",$P1867=KARTU!$K$8)),MAX($AE$3:AE1866)+1,""))</f>
        <v/>
      </c>
    </row>
    <row r="1868" customFormat="false" ht="15" hidden="false" customHeight="false" outlineLevel="0" collapsed="false">
      <c r="A1868" s="35" t="str">
        <f aca="false">IF($B1868="","",COUNTA($B$4:$B1868))</f>
        <v/>
      </c>
      <c r="B1868" s="36"/>
      <c r="C1868" s="37"/>
      <c r="D1868" s="37"/>
      <c r="E1868" s="38"/>
      <c r="F1868" s="36"/>
      <c r="G1868" s="39"/>
      <c r="H1868" s="39"/>
      <c r="I1868" s="36"/>
      <c r="J1868" s="36"/>
      <c r="K1868" s="36"/>
      <c r="L1868" s="36"/>
      <c r="M1868" s="40" t="str">
        <f aca="false">IF($F1868="","",$F1868&amp;IF($G1868="",""," - RT "&amp;$G1868&amp;IF($H1868="","","/"&amp;$H1868)))</f>
        <v/>
      </c>
      <c r="N1868" s="36"/>
      <c r="O1868" s="37"/>
      <c r="P1868" s="39"/>
      <c r="Q1868" s="41"/>
      <c r="R1868" s="35" t="str">
        <f aca="true">IF(OR($B1868="",$Q1868=""),"",DATEDIF($Q1868,TODAY(),"Y"))</f>
        <v/>
      </c>
      <c r="S1868" s="40" t="str">
        <f aca="false">IF($R1868="","",INDEX(usia_label,MATCH($R1868,usia_min,1)))</f>
        <v/>
      </c>
      <c r="T1868" s="36"/>
      <c r="U1868" s="41"/>
      <c r="V1868" s="36"/>
      <c r="W1868" s="36"/>
      <c r="X1868" s="40" t="str">
        <f aca="false">IF($M1868="","",$M1868&amp;"#"&amp;COUNTIF($M$4:$M1868,$M1868))</f>
        <v/>
      </c>
      <c r="Y1868" s="40" t="str">
        <f aca="false">IF($B1868="","",IF($C1868="","NIK kosong",IF(LEN($C1868)&lt;&gt;16,"NIK bukan 16 digit",IF(COUNTIF($C$4:$C$2003,$C1868&amp;"*")&gt;1,"NIK ganda",IF(AND($D1868&lt;&gt;"",LEN($D1868)&lt;&gt;16),"No. KK bukan 16 digit",IF(AND($F1868="",$I1868=""),"Alamat kosong",IF($N1868="","Jabatan kosong",IF($O1868="","No. HP kosong",IF(AND($R1868&lt;&gt;"",$R1868&lt;17),"Usia di bawah 17","")))))))))</f>
        <v/>
      </c>
      <c r="Z1868" s="40" t="str">
        <f aca="false">IF($B1868="","",IF(AND(OR(CARI!$C$5="",ISNUMBER(SEARCH(CARI!$C$5,$B1868&amp;" "&amp;$C1868&amp;" "&amp;$D1868&amp;" "&amp;$O1868&amp;" "&amp;$I1868&amp;" "&amp;$F1868&amp;" "&amp;$J1868&amp;" "&amp;$K1868&amp;" "&amp;$L1868&amp;" "&amp;$V1868))),OR(CARI!$C$6="",$F1868=CARI!$C$6),OR(CARI!$C$7="",$G1868=CARI!$C$7),OR(CARI!$C$8="",$T1868=CARI!$C$8)),MAX($Z$3:Z1867)+1,""))</f>
        <v/>
      </c>
      <c r="AA1868" s="40" t="str">
        <f aca="false">IF($Y1868="","",MAX($AA$3:AA1867)+1)</f>
        <v/>
      </c>
      <c r="AB1868" s="40" t="str">
        <f aca="false">IF($F1868="","",$F1868&amp;"#"&amp;COUNTIF($F$4:$F1868,$F1868))</f>
        <v/>
      </c>
      <c r="AC1868" s="40" t="str">
        <f aca="false">IF($B1868="","",IF(AND(OR(CETAK!$J$10="",$F1868=CETAK!$J$10),OR(CETAK!$J$11="",$G1868=CETAK!$J$11),OR(CETAK!$J$12="",$P1868=CETAK!$J$12),OR(CETAK!$J$13="",$N1868=CETAK!$J$13),OR(CETAK!$J$14="",$T1868=CETAK!$J$14)),MAX($AC$3:AC1867)+1,""))</f>
        <v/>
      </c>
      <c r="AD1868" s="40" t="str">
        <f aca="false">IF($B1868="","",IF(AND(OR(ABSENSI!$H$10="",$F1868=ABSENSI!$H$10),OR(ABSENSI!$H$11="",$G1868=ABSENSI!$H$11),OR(ABSENSI!$H$12="",$P1868=ABSENSI!$H$12)),MAX($AD$3:AD1867)+1,""))</f>
        <v/>
      </c>
      <c r="AE1868" s="40" t="str">
        <f aca="false">IF($B1868="","",IF(AND(OR(KARTU!$K$6="",$F1868=KARTU!$K$6),OR(KARTU!$K$7="",$G1868=KARTU!$K$7),OR(KARTU!$K$8="",$P1868=KARTU!$K$8)),MAX($AE$3:AE1867)+1,""))</f>
        <v/>
      </c>
    </row>
    <row r="1869" customFormat="false" ht="15" hidden="false" customHeight="false" outlineLevel="0" collapsed="false">
      <c r="A1869" s="35" t="str">
        <f aca="false">IF($B1869="","",COUNTA($B$4:$B1869))</f>
        <v/>
      </c>
      <c r="B1869" s="36"/>
      <c r="C1869" s="37"/>
      <c r="D1869" s="37"/>
      <c r="E1869" s="38"/>
      <c r="F1869" s="36"/>
      <c r="G1869" s="39"/>
      <c r="H1869" s="39"/>
      <c r="I1869" s="36"/>
      <c r="J1869" s="36"/>
      <c r="K1869" s="36"/>
      <c r="L1869" s="36"/>
      <c r="M1869" s="40" t="str">
        <f aca="false">IF($F1869="","",$F1869&amp;IF($G1869="",""," - RT "&amp;$G1869&amp;IF($H1869="","","/"&amp;$H1869)))</f>
        <v/>
      </c>
      <c r="N1869" s="36"/>
      <c r="O1869" s="37"/>
      <c r="P1869" s="39"/>
      <c r="Q1869" s="41"/>
      <c r="R1869" s="35" t="str">
        <f aca="true">IF(OR($B1869="",$Q1869=""),"",DATEDIF($Q1869,TODAY(),"Y"))</f>
        <v/>
      </c>
      <c r="S1869" s="40" t="str">
        <f aca="false">IF($R1869="","",INDEX(usia_label,MATCH($R1869,usia_min,1)))</f>
        <v/>
      </c>
      <c r="T1869" s="36"/>
      <c r="U1869" s="41"/>
      <c r="V1869" s="36"/>
      <c r="W1869" s="36"/>
      <c r="X1869" s="40" t="str">
        <f aca="false">IF($M1869="","",$M1869&amp;"#"&amp;COUNTIF($M$4:$M1869,$M1869))</f>
        <v/>
      </c>
      <c r="Y1869" s="40" t="str">
        <f aca="false">IF($B1869="","",IF($C1869="","NIK kosong",IF(LEN($C1869)&lt;&gt;16,"NIK bukan 16 digit",IF(COUNTIF($C$4:$C$2003,$C1869&amp;"*")&gt;1,"NIK ganda",IF(AND($D1869&lt;&gt;"",LEN($D1869)&lt;&gt;16),"No. KK bukan 16 digit",IF(AND($F1869="",$I1869=""),"Alamat kosong",IF($N1869="","Jabatan kosong",IF($O1869="","No. HP kosong",IF(AND($R1869&lt;&gt;"",$R1869&lt;17),"Usia di bawah 17","")))))))))</f>
        <v/>
      </c>
      <c r="Z1869" s="40" t="str">
        <f aca="false">IF($B1869="","",IF(AND(OR(CARI!$C$5="",ISNUMBER(SEARCH(CARI!$C$5,$B1869&amp;" "&amp;$C1869&amp;" "&amp;$D1869&amp;" "&amp;$O1869&amp;" "&amp;$I1869&amp;" "&amp;$F1869&amp;" "&amp;$J1869&amp;" "&amp;$K1869&amp;" "&amp;$L1869&amp;" "&amp;$V1869))),OR(CARI!$C$6="",$F1869=CARI!$C$6),OR(CARI!$C$7="",$G1869=CARI!$C$7),OR(CARI!$C$8="",$T1869=CARI!$C$8)),MAX($Z$3:Z1868)+1,""))</f>
        <v/>
      </c>
      <c r="AA1869" s="40" t="str">
        <f aca="false">IF($Y1869="","",MAX($AA$3:AA1868)+1)</f>
        <v/>
      </c>
      <c r="AB1869" s="40" t="str">
        <f aca="false">IF($F1869="","",$F1869&amp;"#"&amp;COUNTIF($F$4:$F1869,$F1869))</f>
        <v/>
      </c>
      <c r="AC1869" s="40" t="str">
        <f aca="false">IF($B1869="","",IF(AND(OR(CETAK!$J$10="",$F1869=CETAK!$J$10),OR(CETAK!$J$11="",$G1869=CETAK!$J$11),OR(CETAK!$J$12="",$P1869=CETAK!$J$12),OR(CETAK!$J$13="",$N1869=CETAK!$J$13),OR(CETAK!$J$14="",$T1869=CETAK!$J$14)),MAX($AC$3:AC1868)+1,""))</f>
        <v/>
      </c>
      <c r="AD1869" s="40" t="str">
        <f aca="false">IF($B1869="","",IF(AND(OR(ABSENSI!$H$10="",$F1869=ABSENSI!$H$10),OR(ABSENSI!$H$11="",$G1869=ABSENSI!$H$11),OR(ABSENSI!$H$12="",$P1869=ABSENSI!$H$12)),MAX($AD$3:AD1868)+1,""))</f>
        <v/>
      </c>
      <c r="AE1869" s="40" t="str">
        <f aca="false">IF($B1869="","",IF(AND(OR(KARTU!$K$6="",$F1869=KARTU!$K$6),OR(KARTU!$K$7="",$G1869=KARTU!$K$7),OR(KARTU!$K$8="",$P1869=KARTU!$K$8)),MAX($AE$3:AE1868)+1,""))</f>
        <v/>
      </c>
    </row>
    <row r="1870" customFormat="false" ht="15" hidden="false" customHeight="false" outlineLevel="0" collapsed="false">
      <c r="A1870" s="35" t="str">
        <f aca="false">IF($B1870="","",COUNTA($B$4:$B1870))</f>
        <v/>
      </c>
      <c r="B1870" s="36"/>
      <c r="C1870" s="37"/>
      <c r="D1870" s="37"/>
      <c r="E1870" s="38"/>
      <c r="F1870" s="36"/>
      <c r="G1870" s="39"/>
      <c r="H1870" s="39"/>
      <c r="I1870" s="36"/>
      <c r="J1870" s="36"/>
      <c r="K1870" s="36"/>
      <c r="L1870" s="36"/>
      <c r="M1870" s="40" t="str">
        <f aca="false">IF($F1870="","",$F1870&amp;IF($G1870="",""," - RT "&amp;$G1870&amp;IF($H1870="","","/"&amp;$H1870)))</f>
        <v/>
      </c>
      <c r="N1870" s="36"/>
      <c r="O1870" s="37"/>
      <c r="P1870" s="39"/>
      <c r="Q1870" s="41"/>
      <c r="R1870" s="35" t="str">
        <f aca="true">IF(OR($B1870="",$Q1870=""),"",DATEDIF($Q1870,TODAY(),"Y"))</f>
        <v/>
      </c>
      <c r="S1870" s="40" t="str">
        <f aca="false">IF($R1870="","",INDEX(usia_label,MATCH($R1870,usia_min,1)))</f>
        <v/>
      </c>
      <c r="T1870" s="36"/>
      <c r="U1870" s="41"/>
      <c r="V1870" s="36"/>
      <c r="W1870" s="36"/>
      <c r="X1870" s="40" t="str">
        <f aca="false">IF($M1870="","",$M1870&amp;"#"&amp;COUNTIF($M$4:$M1870,$M1870))</f>
        <v/>
      </c>
      <c r="Y1870" s="40" t="str">
        <f aca="false">IF($B1870="","",IF($C1870="","NIK kosong",IF(LEN($C1870)&lt;&gt;16,"NIK bukan 16 digit",IF(COUNTIF($C$4:$C$2003,$C1870&amp;"*")&gt;1,"NIK ganda",IF(AND($D1870&lt;&gt;"",LEN($D1870)&lt;&gt;16),"No. KK bukan 16 digit",IF(AND($F1870="",$I1870=""),"Alamat kosong",IF($N1870="","Jabatan kosong",IF($O1870="","No. HP kosong",IF(AND($R1870&lt;&gt;"",$R1870&lt;17),"Usia di bawah 17","")))))))))</f>
        <v/>
      </c>
      <c r="Z1870" s="40" t="str">
        <f aca="false">IF($B1870="","",IF(AND(OR(CARI!$C$5="",ISNUMBER(SEARCH(CARI!$C$5,$B1870&amp;" "&amp;$C1870&amp;" "&amp;$D1870&amp;" "&amp;$O1870&amp;" "&amp;$I1870&amp;" "&amp;$F1870&amp;" "&amp;$J1870&amp;" "&amp;$K1870&amp;" "&amp;$L1870&amp;" "&amp;$V1870))),OR(CARI!$C$6="",$F1870=CARI!$C$6),OR(CARI!$C$7="",$G1870=CARI!$C$7),OR(CARI!$C$8="",$T1870=CARI!$C$8)),MAX($Z$3:Z1869)+1,""))</f>
        <v/>
      </c>
      <c r="AA1870" s="40" t="str">
        <f aca="false">IF($Y1870="","",MAX($AA$3:AA1869)+1)</f>
        <v/>
      </c>
      <c r="AB1870" s="40" t="str">
        <f aca="false">IF($F1870="","",$F1870&amp;"#"&amp;COUNTIF($F$4:$F1870,$F1870))</f>
        <v/>
      </c>
      <c r="AC1870" s="40" t="str">
        <f aca="false">IF($B1870="","",IF(AND(OR(CETAK!$J$10="",$F1870=CETAK!$J$10),OR(CETAK!$J$11="",$G1870=CETAK!$J$11),OR(CETAK!$J$12="",$P1870=CETAK!$J$12),OR(CETAK!$J$13="",$N1870=CETAK!$J$13),OR(CETAK!$J$14="",$T1870=CETAK!$J$14)),MAX($AC$3:AC1869)+1,""))</f>
        <v/>
      </c>
      <c r="AD1870" s="40" t="str">
        <f aca="false">IF($B1870="","",IF(AND(OR(ABSENSI!$H$10="",$F1870=ABSENSI!$H$10),OR(ABSENSI!$H$11="",$G1870=ABSENSI!$H$11),OR(ABSENSI!$H$12="",$P1870=ABSENSI!$H$12)),MAX($AD$3:AD1869)+1,""))</f>
        <v/>
      </c>
      <c r="AE1870" s="40" t="str">
        <f aca="false">IF($B1870="","",IF(AND(OR(KARTU!$K$6="",$F1870=KARTU!$K$6),OR(KARTU!$K$7="",$G1870=KARTU!$K$7),OR(KARTU!$K$8="",$P1870=KARTU!$K$8)),MAX($AE$3:AE1869)+1,""))</f>
        <v/>
      </c>
    </row>
    <row r="1871" customFormat="false" ht="15" hidden="false" customHeight="false" outlineLevel="0" collapsed="false">
      <c r="A1871" s="35" t="str">
        <f aca="false">IF($B1871="","",COUNTA($B$4:$B1871))</f>
        <v/>
      </c>
      <c r="B1871" s="36"/>
      <c r="C1871" s="37"/>
      <c r="D1871" s="37"/>
      <c r="E1871" s="38"/>
      <c r="F1871" s="36"/>
      <c r="G1871" s="39"/>
      <c r="H1871" s="39"/>
      <c r="I1871" s="36"/>
      <c r="J1871" s="36"/>
      <c r="K1871" s="36"/>
      <c r="L1871" s="36"/>
      <c r="M1871" s="40" t="str">
        <f aca="false">IF($F1871="","",$F1871&amp;IF($G1871="",""," - RT "&amp;$G1871&amp;IF($H1871="","","/"&amp;$H1871)))</f>
        <v/>
      </c>
      <c r="N1871" s="36"/>
      <c r="O1871" s="37"/>
      <c r="P1871" s="39"/>
      <c r="Q1871" s="41"/>
      <c r="R1871" s="35" t="str">
        <f aca="true">IF(OR($B1871="",$Q1871=""),"",DATEDIF($Q1871,TODAY(),"Y"))</f>
        <v/>
      </c>
      <c r="S1871" s="40" t="str">
        <f aca="false">IF($R1871="","",INDEX(usia_label,MATCH($R1871,usia_min,1)))</f>
        <v/>
      </c>
      <c r="T1871" s="36"/>
      <c r="U1871" s="41"/>
      <c r="V1871" s="36"/>
      <c r="W1871" s="36"/>
      <c r="X1871" s="40" t="str">
        <f aca="false">IF($M1871="","",$M1871&amp;"#"&amp;COUNTIF($M$4:$M1871,$M1871))</f>
        <v/>
      </c>
      <c r="Y1871" s="40" t="str">
        <f aca="false">IF($B1871="","",IF($C1871="","NIK kosong",IF(LEN($C1871)&lt;&gt;16,"NIK bukan 16 digit",IF(COUNTIF($C$4:$C$2003,$C1871&amp;"*")&gt;1,"NIK ganda",IF(AND($D1871&lt;&gt;"",LEN($D1871)&lt;&gt;16),"No. KK bukan 16 digit",IF(AND($F1871="",$I1871=""),"Alamat kosong",IF($N1871="","Jabatan kosong",IF($O1871="","No. HP kosong",IF(AND($R1871&lt;&gt;"",$R1871&lt;17),"Usia di bawah 17","")))))))))</f>
        <v/>
      </c>
      <c r="Z1871" s="40" t="str">
        <f aca="false">IF($B1871="","",IF(AND(OR(CARI!$C$5="",ISNUMBER(SEARCH(CARI!$C$5,$B1871&amp;" "&amp;$C1871&amp;" "&amp;$D1871&amp;" "&amp;$O1871&amp;" "&amp;$I1871&amp;" "&amp;$F1871&amp;" "&amp;$J1871&amp;" "&amp;$K1871&amp;" "&amp;$L1871&amp;" "&amp;$V1871))),OR(CARI!$C$6="",$F1871=CARI!$C$6),OR(CARI!$C$7="",$G1871=CARI!$C$7),OR(CARI!$C$8="",$T1871=CARI!$C$8)),MAX($Z$3:Z1870)+1,""))</f>
        <v/>
      </c>
      <c r="AA1871" s="40" t="str">
        <f aca="false">IF($Y1871="","",MAX($AA$3:AA1870)+1)</f>
        <v/>
      </c>
      <c r="AB1871" s="40" t="str">
        <f aca="false">IF($F1871="","",$F1871&amp;"#"&amp;COUNTIF($F$4:$F1871,$F1871))</f>
        <v/>
      </c>
      <c r="AC1871" s="40" t="str">
        <f aca="false">IF($B1871="","",IF(AND(OR(CETAK!$J$10="",$F1871=CETAK!$J$10),OR(CETAK!$J$11="",$G1871=CETAK!$J$11),OR(CETAK!$J$12="",$P1871=CETAK!$J$12),OR(CETAK!$J$13="",$N1871=CETAK!$J$13),OR(CETAK!$J$14="",$T1871=CETAK!$J$14)),MAX($AC$3:AC1870)+1,""))</f>
        <v/>
      </c>
      <c r="AD1871" s="40" t="str">
        <f aca="false">IF($B1871="","",IF(AND(OR(ABSENSI!$H$10="",$F1871=ABSENSI!$H$10),OR(ABSENSI!$H$11="",$G1871=ABSENSI!$H$11),OR(ABSENSI!$H$12="",$P1871=ABSENSI!$H$12)),MAX($AD$3:AD1870)+1,""))</f>
        <v/>
      </c>
      <c r="AE1871" s="40" t="str">
        <f aca="false">IF($B1871="","",IF(AND(OR(KARTU!$K$6="",$F1871=KARTU!$K$6),OR(KARTU!$K$7="",$G1871=KARTU!$K$7),OR(KARTU!$K$8="",$P1871=KARTU!$K$8)),MAX($AE$3:AE1870)+1,""))</f>
        <v/>
      </c>
    </row>
    <row r="1872" customFormat="false" ht="15" hidden="false" customHeight="false" outlineLevel="0" collapsed="false">
      <c r="A1872" s="35" t="str">
        <f aca="false">IF($B1872="","",COUNTA($B$4:$B1872))</f>
        <v/>
      </c>
      <c r="B1872" s="36"/>
      <c r="C1872" s="37"/>
      <c r="D1872" s="37"/>
      <c r="E1872" s="38"/>
      <c r="F1872" s="36"/>
      <c r="G1872" s="39"/>
      <c r="H1872" s="39"/>
      <c r="I1872" s="36"/>
      <c r="J1872" s="36"/>
      <c r="K1872" s="36"/>
      <c r="L1872" s="36"/>
      <c r="M1872" s="40" t="str">
        <f aca="false">IF($F1872="","",$F1872&amp;IF($G1872="",""," - RT "&amp;$G1872&amp;IF($H1872="","","/"&amp;$H1872)))</f>
        <v/>
      </c>
      <c r="N1872" s="36"/>
      <c r="O1872" s="37"/>
      <c r="P1872" s="39"/>
      <c r="Q1872" s="41"/>
      <c r="R1872" s="35" t="str">
        <f aca="true">IF(OR($B1872="",$Q1872=""),"",DATEDIF($Q1872,TODAY(),"Y"))</f>
        <v/>
      </c>
      <c r="S1872" s="40" t="str">
        <f aca="false">IF($R1872="","",INDEX(usia_label,MATCH($R1872,usia_min,1)))</f>
        <v/>
      </c>
      <c r="T1872" s="36"/>
      <c r="U1872" s="41"/>
      <c r="V1872" s="36"/>
      <c r="W1872" s="36"/>
      <c r="X1872" s="40" t="str">
        <f aca="false">IF($M1872="","",$M1872&amp;"#"&amp;COUNTIF($M$4:$M1872,$M1872))</f>
        <v/>
      </c>
      <c r="Y1872" s="40" t="str">
        <f aca="false">IF($B1872="","",IF($C1872="","NIK kosong",IF(LEN($C1872)&lt;&gt;16,"NIK bukan 16 digit",IF(COUNTIF($C$4:$C$2003,$C1872&amp;"*")&gt;1,"NIK ganda",IF(AND($D1872&lt;&gt;"",LEN($D1872)&lt;&gt;16),"No. KK bukan 16 digit",IF(AND($F1872="",$I1872=""),"Alamat kosong",IF($N1872="","Jabatan kosong",IF($O1872="","No. HP kosong",IF(AND($R1872&lt;&gt;"",$R1872&lt;17),"Usia di bawah 17","")))))))))</f>
        <v/>
      </c>
      <c r="Z1872" s="40" t="str">
        <f aca="false">IF($B1872="","",IF(AND(OR(CARI!$C$5="",ISNUMBER(SEARCH(CARI!$C$5,$B1872&amp;" "&amp;$C1872&amp;" "&amp;$D1872&amp;" "&amp;$O1872&amp;" "&amp;$I1872&amp;" "&amp;$F1872&amp;" "&amp;$J1872&amp;" "&amp;$K1872&amp;" "&amp;$L1872&amp;" "&amp;$V1872))),OR(CARI!$C$6="",$F1872=CARI!$C$6),OR(CARI!$C$7="",$G1872=CARI!$C$7),OR(CARI!$C$8="",$T1872=CARI!$C$8)),MAX($Z$3:Z1871)+1,""))</f>
        <v/>
      </c>
      <c r="AA1872" s="40" t="str">
        <f aca="false">IF($Y1872="","",MAX($AA$3:AA1871)+1)</f>
        <v/>
      </c>
      <c r="AB1872" s="40" t="str">
        <f aca="false">IF($F1872="","",$F1872&amp;"#"&amp;COUNTIF($F$4:$F1872,$F1872))</f>
        <v/>
      </c>
      <c r="AC1872" s="40" t="str">
        <f aca="false">IF($B1872="","",IF(AND(OR(CETAK!$J$10="",$F1872=CETAK!$J$10),OR(CETAK!$J$11="",$G1872=CETAK!$J$11),OR(CETAK!$J$12="",$P1872=CETAK!$J$12),OR(CETAK!$J$13="",$N1872=CETAK!$J$13),OR(CETAK!$J$14="",$T1872=CETAK!$J$14)),MAX($AC$3:AC1871)+1,""))</f>
        <v/>
      </c>
      <c r="AD1872" s="40" t="str">
        <f aca="false">IF($B1872="","",IF(AND(OR(ABSENSI!$H$10="",$F1872=ABSENSI!$H$10),OR(ABSENSI!$H$11="",$G1872=ABSENSI!$H$11),OR(ABSENSI!$H$12="",$P1872=ABSENSI!$H$12)),MAX($AD$3:AD1871)+1,""))</f>
        <v/>
      </c>
      <c r="AE1872" s="40" t="str">
        <f aca="false">IF($B1872="","",IF(AND(OR(KARTU!$K$6="",$F1872=KARTU!$K$6),OR(KARTU!$K$7="",$G1872=KARTU!$K$7),OR(KARTU!$K$8="",$P1872=KARTU!$K$8)),MAX($AE$3:AE1871)+1,""))</f>
        <v/>
      </c>
    </row>
    <row r="1873" customFormat="false" ht="15" hidden="false" customHeight="false" outlineLevel="0" collapsed="false">
      <c r="A1873" s="35" t="str">
        <f aca="false">IF($B1873="","",COUNTA($B$4:$B1873))</f>
        <v/>
      </c>
      <c r="B1873" s="36"/>
      <c r="C1873" s="37"/>
      <c r="D1873" s="37"/>
      <c r="E1873" s="38"/>
      <c r="F1873" s="36"/>
      <c r="G1873" s="39"/>
      <c r="H1873" s="39"/>
      <c r="I1873" s="36"/>
      <c r="J1873" s="36"/>
      <c r="K1873" s="36"/>
      <c r="L1873" s="36"/>
      <c r="M1873" s="40" t="str">
        <f aca="false">IF($F1873="","",$F1873&amp;IF($G1873="",""," - RT "&amp;$G1873&amp;IF($H1873="","","/"&amp;$H1873)))</f>
        <v/>
      </c>
      <c r="N1873" s="36"/>
      <c r="O1873" s="37"/>
      <c r="P1873" s="39"/>
      <c r="Q1873" s="41"/>
      <c r="R1873" s="35" t="str">
        <f aca="true">IF(OR($B1873="",$Q1873=""),"",DATEDIF($Q1873,TODAY(),"Y"))</f>
        <v/>
      </c>
      <c r="S1873" s="40" t="str">
        <f aca="false">IF($R1873="","",INDEX(usia_label,MATCH($R1873,usia_min,1)))</f>
        <v/>
      </c>
      <c r="T1873" s="36"/>
      <c r="U1873" s="41"/>
      <c r="V1873" s="36"/>
      <c r="W1873" s="36"/>
      <c r="X1873" s="40" t="str">
        <f aca="false">IF($M1873="","",$M1873&amp;"#"&amp;COUNTIF($M$4:$M1873,$M1873))</f>
        <v/>
      </c>
      <c r="Y1873" s="40" t="str">
        <f aca="false">IF($B1873="","",IF($C1873="","NIK kosong",IF(LEN($C1873)&lt;&gt;16,"NIK bukan 16 digit",IF(COUNTIF($C$4:$C$2003,$C1873&amp;"*")&gt;1,"NIK ganda",IF(AND($D1873&lt;&gt;"",LEN($D1873)&lt;&gt;16),"No. KK bukan 16 digit",IF(AND($F1873="",$I1873=""),"Alamat kosong",IF($N1873="","Jabatan kosong",IF($O1873="","No. HP kosong",IF(AND($R1873&lt;&gt;"",$R1873&lt;17),"Usia di bawah 17","")))))))))</f>
        <v/>
      </c>
      <c r="Z1873" s="40" t="str">
        <f aca="false">IF($B1873="","",IF(AND(OR(CARI!$C$5="",ISNUMBER(SEARCH(CARI!$C$5,$B1873&amp;" "&amp;$C1873&amp;" "&amp;$D1873&amp;" "&amp;$O1873&amp;" "&amp;$I1873&amp;" "&amp;$F1873&amp;" "&amp;$J1873&amp;" "&amp;$K1873&amp;" "&amp;$L1873&amp;" "&amp;$V1873))),OR(CARI!$C$6="",$F1873=CARI!$C$6),OR(CARI!$C$7="",$G1873=CARI!$C$7),OR(CARI!$C$8="",$T1873=CARI!$C$8)),MAX($Z$3:Z1872)+1,""))</f>
        <v/>
      </c>
      <c r="AA1873" s="40" t="str">
        <f aca="false">IF($Y1873="","",MAX($AA$3:AA1872)+1)</f>
        <v/>
      </c>
      <c r="AB1873" s="40" t="str">
        <f aca="false">IF($F1873="","",$F1873&amp;"#"&amp;COUNTIF($F$4:$F1873,$F1873))</f>
        <v/>
      </c>
      <c r="AC1873" s="40" t="str">
        <f aca="false">IF($B1873="","",IF(AND(OR(CETAK!$J$10="",$F1873=CETAK!$J$10),OR(CETAK!$J$11="",$G1873=CETAK!$J$11),OR(CETAK!$J$12="",$P1873=CETAK!$J$12),OR(CETAK!$J$13="",$N1873=CETAK!$J$13),OR(CETAK!$J$14="",$T1873=CETAK!$J$14)),MAX($AC$3:AC1872)+1,""))</f>
        <v/>
      </c>
      <c r="AD1873" s="40" t="str">
        <f aca="false">IF($B1873="","",IF(AND(OR(ABSENSI!$H$10="",$F1873=ABSENSI!$H$10),OR(ABSENSI!$H$11="",$G1873=ABSENSI!$H$11),OR(ABSENSI!$H$12="",$P1873=ABSENSI!$H$12)),MAX($AD$3:AD1872)+1,""))</f>
        <v/>
      </c>
      <c r="AE1873" s="40" t="str">
        <f aca="false">IF($B1873="","",IF(AND(OR(KARTU!$K$6="",$F1873=KARTU!$K$6),OR(KARTU!$K$7="",$G1873=KARTU!$K$7),OR(KARTU!$K$8="",$P1873=KARTU!$K$8)),MAX($AE$3:AE1872)+1,""))</f>
        <v/>
      </c>
    </row>
    <row r="1874" customFormat="false" ht="15" hidden="false" customHeight="false" outlineLevel="0" collapsed="false">
      <c r="A1874" s="35" t="str">
        <f aca="false">IF($B1874="","",COUNTA($B$4:$B1874))</f>
        <v/>
      </c>
      <c r="B1874" s="36"/>
      <c r="C1874" s="37"/>
      <c r="D1874" s="37"/>
      <c r="E1874" s="38"/>
      <c r="F1874" s="36"/>
      <c r="G1874" s="39"/>
      <c r="H1874" s="39"/>
      <c r="I1874" s="36"/>
      <c r="J1874" s="36"/>
      <c r="K1874" s="36"/>
      <c r="L1874" s="36"/>
      <c r="M1874" s="40" t="str">
        <f aca="false">IF($F1874="","",$F1874&amp;IF($G1874="",""," - RT "&amp;$G1874&amp;IF($H1874="","","/"&amp;$H1874)))</f>
        <v/>
      </c>
      <c r="N1874" s="36"/>
      <c r="O1874" s="37"/>
      <c r="P1874" s="39"/>
      <c r="Q1874" s="41"/>
      <c r="R1874" s="35" t="str">
        <f aca="true">IF(OR($B1874="",$Q1874=""),"",DATEDIF($Q1874,TODAY(),"Y"))</f>
        <v/>
      </c>
      <c r="S1874" s="40" t="str">
        <f aca="false">IF($R1874="","",INDEX(usia_label,MATCH($R1874,usia_min,1)))</f>
        <v/>
      </c>
      <c r="T1874" s="36"/>
      <c r="U1874" s="41"/>
      <c r="V1874" s="36"/>
      <c r="W1874" s="36"/>
      <c r="X1874" s="40" t="str">
        <f aca="false">IF($M1874="","",$M1874&amp;"#"&amp;COUNTIF($M$4:$M1874,$M1874))</f>
        <v/>
      </c>
      <c r="Y1874" s="40" t="str">
        <f aca="false">IF($B1874="","",IF($C1874="","NIK kosong",IF(LEN($C1874)&lt;&gt;16,"NIK bukan 16 digit",IF(COUNTIF($C$4:$C$2003,$C1874&amp;"*")&gt;1,"NIK ganda",IF(AND($D1874&lt;&gt;"",LEN($D1874)&lt;&gt;16),"No. KK bukan 16 digit",IF(AND($F1874="",$I1874=""),"Alamat kosong",IF($N1874="","Jabatan kosong",IF($O1874="","No. HP kosong",IF(AND($R1874&lt;&gt;"",$R1874&lt;17),"Usia di bawah 17","")))))))))</f>
        <v/>
      </c>
      <c r="Z1874" s="40" t="str">
        <f aca="false">IF($B1874="","",IF(AND(OR(CARI!$C$5="",ISNUMBER(SEARCH(CARI!$C$5,$B1874&amp;" "&amp;$C1874&amp;" "&amp;$D1874&amp;" "&amp;$O1874&amp;" "&amp;$I1874&amp;" "&amp;$F1874&amp;" "&amp;$J1874&amp;" "&amp;$K1874&amp;" "&amp;$L1874&amp;" "&amp;$V1874))),OR(CARI!$C$6="",$F1874=CARI!$C$6),OR(CARI!$C$7="",$G1874=CARI!$C$7),OR(CARI!$C$8="",$T1874=CARI!$C$8)),MAX($Z$3:Z1873)+1,""))</f>
        <v/>
      </c>
      <c r="AA1874" s="40" t="str">
        <f aca="false">IF($Y1874="","",MAX($AA$3:AA1873)+1)</f>
        <v/>
      </c>
      <c r="AB1874" s="40" t="str">
        <f aca="false">IF($F1874="","",$F1874&amp;"#"&amp;COUNTIF($F$4:$F1874,$F1874))</f>
        <v/>
      </c>
      <c r="AC1874" s="40" t="str">
        <f aca="false">IF($B1874="","",IF(AND(OR(CETAK!$J$10="",$F1874=CETAK!$J$10),OR(CETAK!$J$11="",$G1874=CETAK!$J$11),OR(CETAK!$J$12="",$P1874=CETAK!$J$12),OR(CETAK!$J$13="",$N1874=CETAK!$J$13),OR(CETAK!$J$14="",$T1874=CETAK!$J$14)),MAX($AC$3:AC1873)+1,""))</f>
        <v/>
      </c>
      <c r="AD1874" s="40" t="str">
        <f aca="false">IF($B1874="","",IF(AND(OR(ABSENSI!$H$10="",$F1874=ABSENSI!$H$10),OR(ABSENSI!$H$11="",$G1874=ABSENSI!$H$11),OR(ABSENSI!$H$12="",$P1874=ABSENSI!$H$12)),MAX($AD$3:AD1873)+1,""))</f>
        <v/>
      </c>
      <c r="AE1874" s="40" t="str">
        <f aca="false">IF($B1874="","",IF(AND(OR(KARTU!$K$6="",$F1874=KARTU!$K$6),OR(KARTU!$K$7="",$G1874=KARTU!$K$7),OR(KARTU!$K$8="",$P1874=KARTU!$K$8)),MAX($AE$3:AE1873)+1,""))</f>
        <v/>
      </c>
    </row>
    <row r="1875" customFormat="false" ht="15" hidden="false" customHeight="false" outlineLevel="0" collapsed="false">
      <c r="A1875" s="35" t="str">
        <f aca="false">IF($B1875="","",COUNTA($B$4:$B1875))</f>
        <v/>
      </c>
      <c r="B1875" s="36"/>
      <c r="C1875" s="37"/>
      <c r="D1875" s="37"/>
      <c r="E1875" s="38"/>
      <c r="F1875" s="36"/>
      <c r="G1875" s="39"/>
      <c r="H1875" s="39"/>
      <c r="I1875" s="36"/>
      <c r="J1875" s="36"/>
      <c r="K1875" s="36"/>
      <c r="L1875" s="36"/>
      <c r="M1875" s="40" t="str">
        <f aca="false">IF($F1875="","",$F1875&amp;IF($G1875="",""," - RT "&amp;$G1875&amp;IF($H1875="","","/"&amp;$H1875)))</f>
        <v/>
      </c>
      <c r="N1875" s="36"/>
      <c r="O1875" s="37"/>
      <c r="P1875" s="39"/>
      <c r="Q1875" s="41"/>
      <c r="R1875" s="35" t="str">
        <f aca="true">IF(OR($B1875="",$Q1875=""),"",DATEDIF($Q1875,TODAY(),"Y"))</f>
        <v/>
      </c>
      <c r="S1875" s="40" t="str">
        <f aca="false">IF($R1875="","",INDEX(usia_label,MATCH($R1875,usia_min,1)))</f>
        <v/>
      </c>
      <c r="T1875" s="36"/>
      <c r="U1875" s="41"/>
      <c r="V1875" s="36"/>
      <c r="W1875" s="36"/>
      <c r="X1875" s="40" t="str">
        <f aca="false">IF($M1875="","",$M1875&amp;"#"&amp;COUNTIF($M$4:$M1875,$M1875))</f>
        <v/>
      </c>
      <c r="Y1875" s="40" t="str">
        <f aca="false">IF($B1875="","",IF($C1875="","NIK kosong",IF(LEN($C1875)&lt;&gt;16,"NIK bukan 16 digit",IF(COUNTIF($C$4:$C$2003,$C1875&amp;"*")&gt;1,"NIK ganda",IF(AND($D1875&lt;&gt;"",LEN($D1875)&lt;&gt;16),"No. KK bukan 16 digit",IF(AND($F1875="",$I1875=""),"Alamat kosong",IF($N1875="","Jabatan kosong",IF($O1875="","No. HP kosong",IF(AND($R1875&lt;&gt;"",$R1875&lt;17),"Usia di bawah 17","")))))))))</f>
        <v/>
      </c>
      <c r="Z1875" s="40" t="str">
        <f aca="false">IF($B1875="","",IF(AND(OR(CARI!$C$5="",ISNUMBER(SEARCH(CARI!$C$5,$B1875&amp;" "&amp;$C1875&amp;" "&amp;$D1875&amp;" "&amp;$O1875&amp;" "&amp;$I1875&amp;" "&amp;$F1875&amp;" "&amp;$J1875&amp;" "&amp;$K1875&amp;" "&amp;$L1875&amp;" "&amp;$V1875))),OR(CARI!$C$6="",$F1875=CARI!$C$6),OR(CARI!$C$7="",$G1875=CARI!$C$7),OR(CARI!$C$8="",$T1875=CARI!$C$8)),MAX($Z$3:Z1874)+1,""))</f>
        <v/>
      </c>
      <c r="AA1875" s="40" t="str">
        <f aca="false">IF($Y1875="","",MAX($AA$3:AA1874)+1)</f>
        <v/>
      </c>
      <c r="AB1875" s="40" t="str">
        <f aca="false">IF($F1875="","",$F1875&amp;"#"&amp;COUNTIF($F$4:$F1875,$F1875))</f>
        <v/>
      </c>
      <c r="AC1875" s="40" t="str">
        <f aca="false">IF($B1875="","",IF(AND(OR(CETAK!$J$10="",$F1875=CETAK!$J$10),OR(CETAK!$J$11="",$G1875=CETAK!$J$11),OR(CETAK!$J$12="",$P1875=CETAK!$J$12),OR(CETAK!$J$13="",$N1875=CETAK!$J$13),OR(CETAK!$J$14="",$T1875=CETAK!$J$14)),MAX($AC$3:AC1874)+1,""))</f>
        <v/>
      </c>
      <c r="AD1875" s="40" t="str">
        <f aca="false">IF($B1875="","",IF(AND(OR(ABSENSI!$H$10="",$F1875=ABSENSI!$H$10),OR(ABSENSI!$H$11="",$G1875=ABSENSI!$H$11),OR(ABSENSI!$H$12="",$P1875=ABSENSI!$H$12)),MAX($AD$3:AD1874)+1,""))</f>
        <v/>
      </c>
      <c r="AE1875" s="40" t="str">
        <f aca="false">IF($B1875="","",IF(AND(OR(KARTU!$K$6="",$F1875=KARTU!$K$6),OR(KARTU!$K$7="",$G1875=KARTU!$K$7),OR(KARTU!$K$8="",$P1875=KARTU!$K$8)),MAX($AE$3:AE1874)+1,""))</f>
        <v/>
      </c>
    </row>
    <row r="1876" customFormat="false" ht="15" hidden="false" customHeight="false" outlineLevel="0" collapsed="false">
      <c r="A1876" s="35" t="str">
        <f aca="false">IF($B1876="","",COUNTA($B$4:$B1876))</f>
        <v/>
      </c>
      <c r="B1876" s="36"/>
      <c r="C1876" s="37"/>
      <c r="D1876" s="37"/>
      <c r="E1876" s="38"/>
      <c r="F1876" s="36"/>
      <c r="G1876" s="39"/>
      <c r="H1876" s="39"/>
      <c r="I1876" s="36"/>
      <c r="J1876" s="36"/>
      <c r="K1876" s="36"/>
      <c r="L1876" s="36"/>
      <c r="M1876" s="40" t="str">
        <f aca="false">IF($F1876="","",$F1876&amp;IF($G1876="",""," - RT "&amp;$G1876&amp;IF($H1876="","","/"&amp;$H1876)))</f>
        <v/>
      </c>
      <c r="N1876" s="36"/>
      <c r="O1876" s="37"/>
      <c r="P1876" s="39"/>
      <c r="Q1876" s="41"/>
      <c r="R1876" s="35" t="str">
        <f aca="true">IF(OR($B1876="",$Q1876=""),"",DATEDIF($Q1876,TODAY(),"Y"))</f>
        <v/>
      </c>
      <c r="S1876" s="40" t="str">
        <f aca="false">IF($R1876="","",INDEX(usia_label,MATCH($R1876,usia_min,1)))</f>
        <v/>
      </c>
      <c r="T1876" s="36"/>
      <c r="U1876" s="41"/>
      <c r="V1876" s="36"/>
      <c r="W1876" s="36"/>
      <c r="X1876" s="40" t="str">
        <f aca="false">IF($M1876="","",$M1876&amp;"#"&amp;COUNTIF($M$4:$M1876,$M1876))</f>
        <v/>
      </c>
      <c r="Y1876" s="40" t="str">
        <f aca="false">IF($B1876="","",IF($C1876="","NIK kosong",IF(LEN($C1876)&lt;&gt;16,"NIK bukan 16 digit",IF(COUNTIF($C$4:$C$2003,$C1876&amp;"*")&gt;1,"NIK ganda",IF(AND($D1876&lt;&gt;"",LEN($D1876)&lt;&gt;16),"No. KK bukan 16 digit",IF(AND($F1876="",$I1876=""),"Alamat kosong",IF($N1876="","Jabatan kosong",IF($O1876="","No. HP kosong",IF(AND($R1876&lt;&gt;"",$R1876&lt;17),"Usia di bawah 17","")))))))))</f>
        <v/>
      </c>
      <c r="Z1876" s="40" t="str">
        <f aca="false">IF($B1876="","",IF(AND(OR(CARI!$C$5="",ISNUMBER(SEARCH(CARI!$C$5,$B1876&amp;" "&amp;$C1876&amp;" "&amp;$D1876&amp;" "&amp;$O1876&amp;" "&amp;$I1876&amp;" "&amp;$F1876&amp;" "&amp;$J1876&amp;" "&amp;$K1876&amp;" "&amp;$L1876&amp;" "&amp;$V1876))),OR(CARI!$C$6="",$F1876=CARI!$C$6),OR(CARI!$C$7="",$G1876=CARI!$C$7),OR(CARI!$C$8="",$T1876=CARI!$C$8)),MAX($Z$3:Z1875)+1,""))</f>
        <v/>
      </c>
      <c r="AA1876" s="40" t="str">
        <f aca="false">IF($Y1876="","",MAX($AA$3:AA1875)+1)</f>
        <v/>
      </c>
      <c r="AB1876" s="40" t="str">
        <f aca="false">IF($F1876="","",$F1876&amp;"#"&amp;COUNTIF($F$4:$F1876,$F1876))</f>
        <v/>
      </c>
      <c r="AC1876" s="40" t="str">
        <f aca="false">IF($B1876="","",IF(AND(OR(CETAK!$J$10="",$F1876=CETAK!$J$10),OR(CETAK!$J$11="",$G1876=CETAK!$J$11),OR(CETAK!$J$12="",$P1876=CETAK!$J$12),OR(CETAK!$J$13="",$N1876=CETAK!$J$13),OR(CETAK!$J$14="",$T1876=CETAK!$J$14)),MAX($AC$3:AC1875)+1,""))</f>
        <v/>
      </c>
      <c r="AD1876" s="40" t="str">
        <f aca="false">IF($B1876="","",IF(AND(OR(ABSENSI!$H$10="",$F1876=ABSENSI!$H$10),OR(ABSENSI!$H$11="",$G1876=ABSENSI!$H$11),OR(ABSENSI!$H$12="",$P1876=ABSENSI!$H$12)),MAX($AD$3:AD1875)+1,""))</f>
        <v/>
      </c>
      <c r="AE1876" s="40" t="str">
        <f aca="false">IF($B1876="","",IF(AND(OR(KARTU!$K$6="",$F1876=KARTU!$K$6),OR(KARTU!$K$7="",$G1876=KARTU!$K$7),OR(KARTU!$K$8="",$P1876=KARTU!$K$8)),MAX($AE$3:AE1875)+1,""))</f>
        <v/>
      </c>
    </row>
    <row r="1877" customFormat="false" ht="15" hidden="false" customHeight="false" outlineLevel="0" collapsed="false">
      <c r="A1877" s="35" t="str">
        <f aca="false">IF($B1877="","",COUNTA($B$4:$B1877))</f>
        <v/>
      </c>
      <c r="B1877" s="36"/>
      <c r="C1877" s="37"/>
      <c r="D1877" s="37"/>
      <c r="E1877" s="38"/>
      <c r="F1877" s="36"/>
      <c r="G1877" s="39"/>
      <c r="H1877" s="39"/>
      <c r="I1877" s="36"/>
      <c r="J1877" s="36"/>
      <c r="K1877" s="36"/>
      <c r="L1877" s="36"/>
      <c r="M1877" s="40" t="str">
        <f aca="false">IF($F1877="","",$F1877&amp;IF($G1877="",""," - RT "&amp;$G1877&amp;IF($H1877="","","/"&amp;$H1877)))</f>
        <v/>
      </c>
      <c r="N1877" s="36"/>
      <c r="O1877" s="37"/>
      <c r="P1877" s="39"/>
      <c r="Q1877" s="41"/>
      <c r="R1877" s="35" t="str">
        <f aca="true">IF(OR($B1877="",$Q1877=""),"",DATEDIF($Q1877,TODAY(),"Y"))</f>
        <v/>
      </c>
      <c r="S1877" s="40" t="str">
        <f aca="false">IF($R1877="","",INDEX(usia_label,MATCH($R1877,usia_min,1)))</f>
        <v/>
      </c>
      <c r="T1877" s="36"/>
      <c r="U1877" s="41"/>
      <c r="V1877" s="36"/>
      <c r="W1877" s="36"/>
      <c r="X1877" s="40" t="str">
        <f aca="false">IF($M1877="","",$M1877&amp;"#"&amp;COUNTIF($M$4:$M1877,$M1877))</f>
        <v/>
      </c>
      <c r="Y1877" s="40" t="str">
        <f aca="false">IF($B1877="","",IF($C1877="","NIK kosong",IF(LEN($C1877)&lt;&gt;16,"NIK bukan 16 digit",IF(COUNTIF($C$4:$C$2003,$C1877&amp;"*")&gt;1,"NIK ganda",IF(AND($D1877&lt;&gt;"",LEN($D1877)&lt;&gt;16),"No. KK bukan 16 digit",IF(AND($F1877="",$I1877=""),"Alamat kosong",IF($N1877="","Jabatan kosong",IF($O1877="","No. HP kosong",IF(AND($R1877&lt;&gt;"",$R1877&lt;17),"Usia di bawah 17","")))))))))</f>
        <v/>
      </c>
      <c r="Z1877" s="40" t="str">
        <f aca="false">IF($B1877="","",IF(AND(OR(CARI!$C$5="",ISNUMBER(SEARCH(CARI!$C$5,$B1877&amp;" "&amp;$C1877&amp;" "&amp;$D1877&amp;" "&amp;$O1877&amp;" "&amp;$I1877&amp;" "&amp;$F1877&amp;" "&amp;$J1877&amp;" "&amp;$K1877&amp;" "&amp;$L1877&amp;" "&amp;$V1877))),OR(CARI!$C$6="",$F1877=CARI!$C$6),OR(CARI!$C$7="",$G1877=CARI!$C$7),OR(CARI!$C$8="",$T1877=CARI!$C$8)),MAX($Z$3:Z1876)+1,""))</f>
        <v/>
      </c>
      <c r="AA1877" s="40" t="str">
        <f aca="false">IF($Y1877="","",MAX($AA$3:AA1876)+1)</f>
        <v/>
      </c>
      <c r="AB1877" s="40" t="str">
        <f aca="false">IF($F1877="","",$F1877&amp;"#"&amp;COUNTIF($F$4:$F1877,$F1877))</f>
        <v/>
      </c>
      <c r="AC1877" s="40" t="str">
        <f aca="false">IF($B1877="","",IF(AND(OR(CETAK!$J$10="",$F1877=CETAK!$J$10),OR(CETAK!$J$11="",$G1877=CETAK!$J$11),OR(CETAK!$J$12="",$P1877=CETAK!$J$12),OR(CETAK!$J$13="",$N1877=CETAK!$J$13),OR(CETAK!$J$14="",$T1877=CETAK!$J$14)),MAX($AC$3:AC1876)+1,""))</f>
        <v/>
      </c>
      <c r="AD1877" s="40" t="str">
        <f aca="false">IF($B1877="","",IF(AND(OR(ABSENSI!$H$10="",$F1877=ABSENSI!$H$10),OR(ABSENSI!$H$11="",$G1877=ABSENSI!$H$11),OR(ABSENSI!$H$12="",$P1877=ABSENSI!$H$12)),MAX($AD$3:AD1876)+1,""))</f>
        <v/>
      </c>
      <c r="AE1877" s="40" t="str">
        <f aca="false">IF($B1877="","",IF(AND(OR(KARTU!$K$6="",$F1877=KARTU!$K$6),OR(KARTU!$K$7="",$G1877=KARTU!$K$7),OR(KARTU!$K$8="",$P1877=KARTU!$K$8)),MAX($AE$3:AE1876)+1,""))</f>
        <v/>
      </c>
    </row>
    <row r="1878" customFormat="false" ht="15" hidden="false" customHeight="false" outlineLevel="0" collapsed="false">
      <c r="A1878" s="35" t="str">
        <f aca="false">IF($B1878="","",COUNTA($B$4:$B1878))</f>
        <v/>
      </c>
      <c r="B1878" s="36"/>
      <c r="C1878" s="37"/>
      <c r="D1878" s="37"/>
      <c r="E1878" s="38"/>
      <c r="F1878" s="36"/>
      <c r="G1878" s="39"/>
      <c r="H1878" s="39"/>
      <c r="I1878" s="36"/>
      <c r="J1878" s="36"/>
      <c r="K1878" s="36"/>
      <c r="L1878" s="36"/>
      <c r="M1878" s="40" t="str">
        <f aca="false">IF($F1878="","",$F1878&amp;IF($G1878="",""," - RT "&amp;$G1878&amp;IF($H1878="","","/"&amp;$H1878)))</f>
        <v/>
      </c>
      <c r="N1878" s="36"/>
      <c r="O1878" s="37"/>
      <c r="P1878" s="39"/>
      <c r="Q1878" s="41"/>
      <c r="R1878" s="35" t="str">
        <f aca="true">IF(OR($B1878="",$Q1878=""),"",DATEDIF($Q1878,TODAY(),"Y"))</f>
        <v/>
      </c>
      <c r="S1878" s="40" t="str">
        <f aca="false">IF($R1878="","",INDEX(usia_label,MATCH($R1878,usia_min,1)))</f>
        <v/>
      </c>
      <c r="T1878" s="36"/>
      <c r="U1878" s="41"/>
      <c r="V1878" s="36"/>
      <c r="W1878" s="36"/>
      <c r="X1878" s="40" t="str">
        <f aca="false">IF($M1878="","",$M1878&amp;"#"&amp;COUNTIF($M$4:$M1878,$M1878))</f>
        <v/>
      </c>
      <c r="Y1878" s="40" t="str">
        <f aca="false">IF($B1878="","",IF($C1878="","NIK kosong",IF(LEN($C1878)&lt;&gt;16,"NIK bukan 16 digit",IF(COUNTIF($C$4:$C$2003,$C1878&amp;"*")&gt;1,"NIK ganda",IF(AND($D1878&lt;&gt;"",LEN($D1878)&lt;&gt;16),"No. KK bukan 16 digit",IF(AND($F1878="",$I1878=""),"Alamat kosong",IF($N1878="","Jabatan kosong",IF($O1878="","No. HP kosong",IF(AND($R1878&lt;&gt;"",$R1878&lt;17),"Usia di bawah 17","")))))))))</f>
        <v/>
      </c>
      <c r="Z1878" s="40" t="str">
        <f aca="false">IF($B1878="","",IF(AND(OR(CARI!$C$5="",ISNUMBER(SEARCH(CARI!$C$5,$B1878&amp;" "&amp;$C1878&amp;" "&amp;$D1878&amp;" "&amp;$O1878&amp;" "&amp;$I1878&amp;" "&amp;$F1878&amp;" "&amp;$J1878&amp;" "&amp;$K1878&amp;" "&amp;$L1878&amp;" "&amp;$V1878))),OR(CARI!$C$6="",$F1878=CARI!$C$6),OR(CARI!$C$7="",$G1878=CARI!$C$7),OR(CARI!$C$8="",$T1878=CARI!$C$8)),MAX($Z$3:Z1877)+1,""))</f>
        <v/>
      </c>
      <c r="AA1878" s="40" t="str">
        <f aca="false">IF($Y1878="","",MAX($AA$3:AA1877)+1)</f>
        <v/>
      </c>
      <c r="AB1878" s="40" t="str">
        <f aca="false">IF($F1878="","",$F1878&amp;"#"&amp;COUNTIF($F$4:$F1878,$F1878))</f>
        <v/>
      </c>
      <c r="AC1878" s="40" t="str">
        <f aca="false">IF($B1878="","",IF(AND(OR(CETAK!$J$10="",$F1878=CETAK!$J$10),OR(CETAK!$J$11="",$G1878=CETAK!$J$11),OR(CETAK!$J$12="",$P1878=CETAK!$J$12),OR(CETAK!$J$13="",$N1878=CETAK!$J$13),OR(CETAK!$J$14="",$T1878=CETAK!$J$14)),MAX($AC$3:AC1877)+1,""))</f>
        <v/>
      </c>
      <c r="AD1878" s="40" t="str">
        <f aca="false">IF($B1878="","",IF(AND(OR(ABSENSI!$H$10="",$F1878=ABSENSI!$H$10),OR(ABSENSI!$H$11="",$G1878=ABSENSI!$H$11),OR(ABSENSI!$H$12="",$P1878=ABSENSI!$H$12)),MAX($AD$3:AD1877)+1,""))</f>
        <v/>
      </c>
      <c r="AE1878" s="40" t="str">
        <f aca="false">IF($B1878="","",IF(AND(OR(KARTU!$K$6="",$F1878=KARTU!$K$6),OR(KARTU!$K$7="",$G1878=KARTU!$K$7),OR(KARTU!$K$8="",$P1878=KARTU!$K$8)),MAX($AE$3:AE1877)+1,""))</f>
        <v/>
      </c>
    </row>
    <row r="1879" customFormat="false" ht="15" hidden="false" customHeight="false" outlineLevel="0" collapsed="false">
      <c r="A1879" s="35" t="str">
        <f aca="false">IF($B1879="","",COUNTA($B$4:$B1879))</f>
        <v/>
      </c>
      <c r="B1879" s="36"/>
      <c r="C1879" s="37"/>
      <c r="D1879" s="37"/>
      <c r="E1879" s="38"/>
      <c r="F1879" s="36"/>
      <c r="G1879" s="39"/>
      <c r="H1879" s="39"/>
      <c r="I1879" s="36"/>
      <c r="J1879" s="36"/>
      <c r="K1879" s="36"/>
      <c r="L1879" s="36"/>
      <c r="M1879" s="40" t="str">
        <f aca="false">IF($F1879="","",$F1879&amp;IF($G1879="",""," - RT "&amp;$G1879&amp;IF($H1879="","","/"&amp;$H1879)))</f>
        <v/>
      </c>
      <c r="N1879" s="36"/>
      <c r="O1879" s="37"/>
      <c r="P1879" s="39"/>
      <c r="Q1879" s="41"/>
      <c r="R1879" s="35" t="str">
        <f aca="true">IF(OR($B1879="",$Q1879=""),"",DATEDIF($Q1879,TODAY(),"Y"))</f>
        <v/>
      </c>
      <c r="S1879" s="40" t="str">
        <f aca="false">IF($R1879="","",INDEX(usia_label,MATCH($R1879,usia_min,1)))</f>
        <v/>
      </c>
      <c r="T1879" s="36"/>
      <c r="U1879" s="41"/>
      <c r="V1879" s="36"/>
      <c r="W1879" s="36"/>
      <c r="X1879" s="40" t="str">
        <f aca="false">IF($M1879="","",$M1879&amp;"#"&amp;COUNTIF($M$4:$M1879,$M1879))</f>
        <v/>
      </c>
      <c r="Y1879" s="40" t="str">
        <f aca="false">IF($B1879="","",IF($C1879="","NIK kosong",IF(LEN($C1879)&lt;&gt;16,"NIK bukan 16 digit",IF(COUNTIF($C$4:$C$2003,$C1879&amp;"*")&gt;1,"NIK ganda",IF(AND($D1879&lt;&gt;"",LEN($D1879)&lt;&gt;16),"No. KK bukan 16 digit",IF(AND($F1879="",$I1879=""),"Alamat kosong",IF($N1879="","Jabatan kosong",IF($O1879="","No. HP kosong",IF(AND($R1879&lt;&gt;"",$R1879&lt;17),"Usia di bawah 17","")))))))))</f>
        <v/>
      </c>
      <c r="Z1879" s="40" t="str">
        <f aca="false">IF($B1879="","",IF(AND(OR(CARI!$C$5="",ISNUMBER(SEARCH(CARI!$C$5,$B1879&amp;" "&amp;$C1879&amp;" "&amp;$D1879&amp;" "&amp;$O1879&amp;" "&amp;$I1879&amp;" "&amp;$F1879&amp;" "&amp;$J1879&amp;" "&amp;$K1879&amp;" "&amp;$L1879&amp;" "&amp;$V1879))),OR(CARI!$C$6="",$F1879=CARI!$C$6),OR(CARI!$C$7="",$G1879=CARI!$C$7),OR(CARI!$C$8="",$T1879=CARI!$C$8)),MAX($Z$3:Z1878)+1,""))</f>
        <v/>
      </c>
      <c r="AA1879" s="40" t="str">
        <f aca="false">IF($Y1879="","",MAX($AA$3:AA1878)+1)</f>
        <v/>
      </c>
      <c r="AB1879" s="40" t="str">
        <f aca="false">IF($F1879="","",$F1879&amp;"#"&amp;COUNTIF($F$4:$F1879,$F1879))</f>
        <v/>
      </c>
      <c r="AC1879" s="40" t="str">
        <f aca="false">IF($B1879="","",IF(AND(OR(CETAK!$J$10="",$F1879=CETAK!$J$10),OR(CETAK!$J$11="",$G1879=CETAK!$J$11),OR(CETAK!$J$12="",$P1879=CETAK!$J$12),OR(CETAK!$J$13="",$N1879=CETAK!$J$13),OR(CETAK!$J$14="",$T1879=CETAK!$J$14)),MAX($AC$3:AC1878)+1,""))</f>
        <v/>
      </c>
      <c r="AD1879" s="40" t="str">
        <f aca="false">IF($B1879="","",IF(AND(OR(ABSENSI!$H$10="",$F1879=ABSENSI!$H$10),OR(ABSENSI!$H$11="",$G1879=ABSENSI!$H$11),OR(ABSENSI!$H$12="",$P1879=ABSENSI!$H$12)),MAX($AD$3:AD1878)+1,""))</f>
        <v/>
      </c>
      <c r="AE1879" s="40" t="str">
        <f aca="false">IF($B1879="","",IF(AND(OR(KARTU!$K$6="",$F1879=KARTU!$K$6),OR(KARTU!$K$7="",$G1879=KARTU!$K$7),OR(KARTU!$K$8="",$P1879=KARTU!$K$8)),MAX($AE$3:AE1878)+1,""))</f>
        <v/>
      </c>
    </row>
    <row r="1880" customFormat="false" ht="15" hidden="false" customHeight="false" outlineLevel="0" collapsed="false">
      <c r="A1880" s="35" t="str">
        <f aca="false">IF($B1880="","",COUNTA($B$4:$B1880))</f>
        <v/>
      </c>
      <c r="B1880" s="36"/>
      <c r="C1880" s="37"/>
      <c r="D1880" s="37"/>
      <c r="E1880" s="38"/>
      <c r="F1880" s="36"/>
      <c r="G1880" s="39"/>
      <c r="H1880" s="39"/>
      <c r="I1880" s="36"/>
      <c r="J1880" s="36"/>
      <c r="K1880" s="36"/>
      <c r="L1880" s="36"/>
      <c r="M1880" s="40" t="str">
        <f aca="false">IF($F1880="","",$F1880&amp;IF($G1880="",""," - RT "&amp;$G1880&amp;IF($H1880="","","/"&amp;$H1880)))</f>
        <v/>
      </c>
      <c r="N1880" s="36"/>
      <c r="O1880" s="37"/>
      <c r="P1880" s="39"/>
      <c r="Q1880" s="41"/>
      <c r="R1880" s="35" t="str">
        <f aca="true">IF(OR($B1880="",$Q1880=""),"",DATEDIF($Q1880,TODAY(),"Y"))</f>
        <v/>
      </c>
      <c r="S1880" s="40" t="str">
        <f aca="false">IF($R1880="","",INDEX(usia_label,MATCH($R1880,usia_min,1)))</f>
        <v/>
      </c>
      <c r="T1880" s="36"/>
      <c r="U1880" s="41"/>
      <c r="V1880" s="36"/>
      <c r="W1880" s="36"/>
      <c r="X1880" s="40" t="str">
        <f aca="false">IF($M1880="","",$M1880&amp;"#"&amp;COUNTIF($M$4:$M1880,$M1880))</f>
        <v/>
      </c>
      <c r="Y1880" s="40" t="str">
        <f aca="false">IF($B1880="","",IF($C1880="","NIK kosong",IF(LEN($C1880)&lt;&gt;16,"NIK bukan 16 digit",IF(COUNTIF($C$4:$C$2003,$C1880&amp;"*")&gt;1,"NIK ganda",IF(AND($D1880&lt;&gt;"",LEN($D1880)&lt;&gt;16),"No. KK bukan 16 digit",IF(AND($F1880="",$I1880=""),"Alamat kosong",IF($N1880="","Jabatan kosong",IF($O1880="","No. HP kosong",IF(AND($R1880&lt;&gt;"",$R1880&lt;17),"Usia di bawah 17","")))))))))</f>
        <v/>
      </c>
      <c r="Z1880" s="40" t="str">
        <f aca="false">IF($B1880="","",IF(AND(OR(CARI!$C$5="",ISNUMBER(SEARCH(CARI!$C$5,$B1880&amp;" "&amp;$C1880&amp;" "&amp;$D1880&amp;" "&amp;$O1880&amp;" "&amp;$I1880&amp;" "&amp;$F1880&amp;" "&amp;$J1880&amp;" "&amp;$K1880&amp;" "&amp;$L1880&amp;" "&amp;$V1880))),OR(CARI!$C$6="",$F1880=CARI!$C$6),OR(CARI!$C$7="",$G1880=CARI!$C$7),OR(CARI!$C$8="",$T1880=CARI!$C$8)),MAX($Z$3:Z1879)+1,""))</f>
        <v/>
      </c>
      <c r="AA1880" s="40" t="str">
        <f aca="false">IF($Y1880="","",MAX($AA$3:AA1879)+1)</f>
        <v/>
      </c>
      <c r="AB1880" s="40" t="str">
        <f aca="false">IF($F1880="","",$F1880&amp;"#"&amp;COUNTIF($F$4:$F1880,$F1880))</f>
        <v/>
      </c>
      <c r="AC1880" s="40" t="str">
        <f aca="false">IF($B1880="","",IF(AND(OR(CETAK!$J$10="",$F1880=CETAK!$J$10),OR(CETAK!$J$11="",$G1880=CETAK!$J$11),OR(CETAK!$J$12="",$P1880=CETAK!$J$12),OR(CETAK!$J$13="",$N1880=CETAK!$J$13),OR(CETAK!$J$14="",$T1880=CETAK!$J$14)),MAX($AC$3:AC1879)+1,""))</f>
        <v/>
      </c>
      <c r="AD1880" s="40" t="str">
        <f aca="false">IF($B1880="","",IF(AND(OR(ABSENSI!$H$10="",$F1880=ABSENSI!$H$10),OR(ABSENSI!$H$11="",$G1880=ABSENSI!$H$11),OR(ABSENSI!$H$12="",$P1880=ABSENSI!$H$12)),MAX($AD$3:AD1879)+1,""))</f>
        <v/>
      </c>
      <c r="AE1880" s="40" t="str">
        <f aca="false">IF($B1880="","",IF(AND(OR(KARTU!$K$6="",$F1880=KARTU!$K$6),OR(KARTU!$K$7="",$G1880=KARTU!$K$7),OR(KARTU!$K$8="",$P1880=KARTU!$K$8)),MAX($AE$3:AE1879)+1,""))</f>
        <v/>
      </c>
    </row>
    <row r="1881" customFormat="false" ht="15" hidden="false" customHeight="false" outlineLevel="0" collapsed="false">
      <c r="A1881" s="35" t="str">
        <f aca="false">IF($B1881="","",COUNTA($B$4:$B1881))</f>
        <v/>
      </c>
      <c r="B1881" s="36"/>
      <c r="C1881" s="37"/>
      <c r="D1881" s="37"/>
      <c r="E1881" s="38"/>
      <c r="F1881" s="36"/>
      <c r="G1881" s="39"/>
      <c r="H1881" s="39"/>
      <c r="I1881" s="36"/>
      <c r="J1881" s="36"/>
      <c r="K1881" s="36"/>
      <c r="L1881" s="36"/>
      <c r="M1881" s="40" t="str">
        <f aca="false">IF($F1881="","",$F1881&amp;IF($G1881="",""," - RT "&amp;$G1881&amp;IF($H1881="","","/"&amp;$H1881)))</f>
        <v/>
      </c>
      <c r="N1881" s="36"/>
      <c r="O1881" s="37"/>
      <c r="P1881" s="39"/>
      <c r="Q1881" s="41"/>
      <c r="R1881" s="35" t="str">
        <f aca="true">IF(OR($B1881="",$Q1881=""),"",DATEDIF($Q1881,TODAY(),"Y"))</f>
        <v/>
      </c>
      <c r="S1881" s="40" t="str">
        <f aca="false">IF($R1881="","",INDEX(usia_label,MATCH($R1881,usia_min,1)))</f>
        <v/>
      </c>
      <c r="T1881" s="36"/>
      <c r="U1881" s="41"/>
      <c r="V1881" s="36"/>
      <c r="W1881" s="36"/>
      <c r="X1881" s="40" t="str">
        <f aca="false">IF($M1881="","",$M1881&amp;"#"&amp;COUNTIF($M$4:$M1881,$M1881))</f>
        <v/>
      </c>
      <c r="Y1881" s="40" t="str">
        <f aca="false">IF($B1881="","",IF($C1881="","NIK kosong",IF(LEN($C1881)&lt;&gt;16,"NIK bukan 16 digit",IF(COUNTIF($C$4:$C$2003,$C1881&amp;"*")&gt;1,"NIK ganda",IF(AND($D1881&lt;&gt;"",LEN($D1881)&lt;&gt;16),"No. KK bukan 16 digit",IF(AND($F1881="",$I1881=""),"Alamat kosong",IF($N1881="","Jabatan kosong",IF($O1881="","No. HP kosong",IF(AND($R1881&lt;&gt;"",$R1881&lt;17),"Usia di bawah 17","")))))))))</f>
        <v/>
      </c>
      <c r="Z1881" s="40" t="str">
        <f aca="false">IF($B1881="","",IF(AND(OR(CARI!$C$5="",ISNUMBER(SEARCH(CARI!$C$5,$B1881&amp;" "&amp;$C1881&amp;" "&amp;$D1881&amp;" "&amp;$O1881&amp;" "&amp;$I1881&amp;" "&amp;$F1881&amp;" "&amp;$J1881&amp;" "&amp;$K1881&amp;" "&amp;$L1881&amp;" "&amp;$V1881))),OR(CARI!$C$6="",$F1881=CARI!$C$6),OR(CARI!$C$7="",$G1881=CARI!$C$7),OR(CARI!$C$8="",$T1881=CARI!$C$8)),MAX($Z$3:Z1880)+1,""))</f>
        <v/>
      </c>
      <c r="AA1881" s="40" t="str">
        <f aca="false">IF($Y1881="","",MAX($AA$3:AA1880)+1)</f>
        <v/>
      </c>
      <c r="AB1881" s="40" t="str">
        <f aca="false">IF($F1881="","",$F1881&amp;"#"&amp;COUNTIF($F$4:$F1881,$F1881))</f>
        <v/>
      </c>
      <c r="AC1881" s="40" t="str">
        <f aca="false">IF($B1881="","",IF(AND(OR(CETAK!$J$10="",$F1881=CETAK!$J$10),OR(CETAK!$J$11="",$G1881=CETAK!$J$11),OR(CETAK!$J$12="",$P1881=CETAK!$J$12),OR(CETAK!$J$13="",$N1881=CETAK!$J$13),OR(CETAK!$J$14="",$T1881=CETAK!$J$14)),MAX($AC$3:AC1880)+1,""))</f>
        <v/>
      </c>
      <c r="AD1881" s="40" t="str">
        <f aca="false">IF($B1881="","",IF(AND(OR(ABSENSI!$H$10="",$F1881=ABSENSI!$H$10),OR(ABSENSI!$H$11="",$G1881=ABSENSI!$H$11),OR(ABSENSI!$H$12="",$P1881=ABSENSI!$H$12)),MAX($AD$3:AD1880)+1,""))</f>
        <v/>
      </c>
      <c r="AE1881" s="40" t="str">
        <f aca="false">IF($B1881="","",IF(AND(OR(KARTU!$K$6="",$F1881=KARTU!$K$6),OR(KARTU!$K$7="",$G1881=KARTU!$K$7),OR(KARTU!$K$8="",$P1881=KARTU!$K$8)),MAX($AE$3:AE1880)+1,""))</f>
        <v/>
      </c>
    </row>
    <row r="1882" customFormat="false" ht="15" hidden="false" customHeight="false" outlineLevel="0" collapsed="false">
      <c r="A1882" s="35" t="str">
        <f aca="false">IF($B1882="","",COUNTA($B$4:$B1882))</f>
        <v/>
      </c>
      <c r="B1882" s="36"/>
      <c r="C1882" s="37"/>
      <c r="D1882" s="37"/>
      <c r="E1882" s="38"/>
      <c r="F1882" s="36"/>
      <c r="G1882" s="39"/>
      <c r="H1882" s="39"/>
      <c r="I1882" s="36"/>
      <c r="J1882" s="36"/>
      <c r="K1882" s="36"/>
      <c r="L1882" s="36"/>
      <c r="M1882" s="40" t="str">
        <f aca="false">IF($F1882="","",$F1882&amp;IF($G1882="",""," - RT "&amp;$G1882&amp;IF($H1882="","","/"&amp;$H1882)))</f>
        <v/>
      </c>
      <c r="N1882" s="36"/>
      <c r="O1882" s="37"/>
      <c r="P1882" s="39"/>
      <c r="Q1882" s="41"/>
      <c r="R1882" s="35" t="str">
        <f aca="true">IF(OR($B1882="",$Q1882=""),"",DATEDIF($Q1882,TODAY(),"Y"))</f>
        <v/>
      </c>
      <c r="S1882" s="40" t="str">
        <f aca="false">IF($R1882="","",INDEX(usia_label,MATCH($R1882,usia_min,1)))</f>
        <v/>
      </c>
      <c r="T1882" s="36"/>
      <c r="U1882" s="41"/>
      <c r="V1882" s="36"/>
      <c r="W1882" s="36"/>
      <c r="X1882" s="40" t="str">
        <f aca="false">IF($M1882="","",$M1882&amp;"#"&amp;COUNTIF($M$4:$M1882,$M1882))</f>
        <v/>
      </c>
      <c r="Y1882" s="40" t="str">
        <f aca="false">IF($B1882="","",IF($C1882="","NIK kosong",IF(LEN($C1882)&lt;&gt;16,"NIK bukan 16 digit",IF(COUNTIF($C$4:$C$2003,$C1882&amp;"*")&gt;1,"NIK ganda",IF(AND($D1882&lt;&gt;"",LEN($D1882)&lt;&gt;16),"No. KK bukan 16 digit",IF(AND($F1882="",$I1882=""),"Alamat kosong",IF($N1882="","Jabatan kosong",IF($O1882="","No. HP kosong",IF(AND($R1882&lt;&gt;"",$R1882&lt;17),"Usia di bawah 17","")))))))))</f>
        <v/>
      </c>
      <c r="Z1882" s="40" t="str">
        <f aca="false">IF($B1882="","",IF(AND(OR(CARI!$C$5="",ISNUMBER(SEARCH(CARI!$C$5,$B1882&amp;" "&amp;$C1882&amp;" "&amp;$D1882&amp;" "&amp;$O1882&amp;" "&amp;$I1882&amp;" "&amp;$F1882&amp;" "&amp;$J1882&amp;" "&amp;$K1882&amp;" "&amp;$L1882&amp;" "&amp;$V1882))),OR(CARI!$C$6="",$F1882=CARI!$C$6),OR(CARI!$C$7="",$G1882=CARI!$C$7),OR(CARI!$C$8="",$T1882=CARI!$C$8)),MAX($Z$3:Z1881)+1,""))</f>
        <v/>
      </c>
      <c r="AA1882" s="40" t="str">
        <f aca="false">IF($Y1882="","",MAX($AA$3:AA1881)+1)</f>
        <v/>
      </c>
      <c r="AB1882" s="40" t="str">
        <f aca="false">IF($F1882="","",$F1882&amp;"#"&amp;COUNTIF($F$4:$F1882,$F1882))</f>
        <v/>
      </c>
      <c r="AC1882" s="40" t="str">
        <f aca="false">IF($B1882="","",IF(AND(OR(CETAK!$J$10="",$F1882=CETAK!$J$10),OR(CETAK!$J$11="",$G1882=CETAK!$J$11),OR(CETAK!$J$12="",$P1882=CETAK!$J$12),OR(CETAK!$J$13="",$N1882=CETAK!$J$13),OR(CETAK!$J$14="",$T1882=CETAK!$J$14)),MAX($AC$3:AC1881)+1,""))</f>
        <v/>
      </c>
      <c r="AD1882" s="40" t="str">
        <f aca="false">IF($B1882="","",IF(AND(OR(ABSENSI!$H$10="",$F1882=ABSENSI!$H$10),OR(ABSENSI!$H$11="",$G1882=ABSENSI!$H$11),OR(ABSENSI!$H$12="",$P1882=ABSENSI!$H$12)),MAX($AD$3:AD1881)+1,""))</f>
        <v/>
      </c>
      <c r="AE1882" s="40" t="str">
        <f aca="false">IF($B1882="","",IF(AND(OR(KARTU!$K$6="",$F1882=KARTU!$K$6),OR(KARTU!$K$7="",$G1882=KARTU!$K$7),OR(KARTU!$K$8="",$P1882=KARTU!$K$8)),MAX($AE$3:AE1881)+1,""))</f>
        <v/>
      </c>
    </row>
    <row r="1883" customFormat="false" ht="15" hidden="false" customHeight="false" outlineLevel="0" collapsed="false">
      <c r="A1883" s="35" t="str">
        <f aca="false">IF($B1883="","",COUNTA($B$4:$B1883))</f>
        <v/>
      </c>
      <c r="B1883" s="36"/>
      <c r="C1883" s="37"/>
      <c r="D1883" s="37"/>
      <c r="E1883" s="38"/>
      <c r="F1883" s="36"/>
      <c r="G1883" s="39"/>
      <c r="H1883" s="39"/>
      <c r="I1883" s="36"/>
      <c r="J1883" s="36"/>
      <c r="K1883" s="36"/>
      <c r="L1883" s="36"/>
      <c r="M1883" s="40" t="str">
        <f aca="false">IF($F1883="","",$F1883&amp;IF($G1883="",""," - RT "&amp;$G1883&amp;IF($H1883="","","/"&amp;$H1883)))</f>
        <v/>
      </c>
      <c r="N1883" s="36"/>
      <c r="O1883" s="37"/>
      <c r="P1883" s="39"/>
      <c r="Q1883" s="41"/>
      <c r="R1883" s="35" t="str">
        <f aca="true">IF(OR($B1883="",$Q1883=""),"",DATEDIF($Q1883,TODAY(),"Y"))</f>
        <v/>
      </c>
      <c r="S1883" s="40" t="str">
        <f aca="false">IF($R1883="","",INDEX(usia_label,MATCH($R1883,usia_min,1)))</f>
        <v/>
      </c>
      <c r="T1883" s="36"/>
      <c r="U1883" s="41"/>
      <c r="V1883" s="36"/>
      <c r="W1883" s="36"/>
      <c r="X1883" s="40" t="str">
        <f aca="false">IF($M1883="","",$M1883&amp;"#"&amp;COUNTIF($M$4:$M1883,$M1883))</f>
        <v/>
      </c>
      <c r="Y1883" s="40" t="str">
        <f aca="false">IF($B1883="","",IF($C1883="","NIK kosong",IF(LEN($C1883)&lt;&gt;16,"NIK bukan 16 digit",IF(COUNTIF($C$4:$C$2003,$C1883&amp;"*")&gt;1,"NIK ganda",IF(AND($D1883&lt;&gt;"",LEN($D1883)&lt;&gt;16),"No. KK bukan 16 digit",IF(AND($F1883="",$I1883=""),"Alamat kosong",IF($N1883="","Jabatan kosong",IF($O1883="","No. HP kosong",IF(AND($R1883&lt;&gt;"",$R1883&lt;17),"Usia di bawah 17","")))))))))</f>
        <v/>
      </c>
      <c r="Z1883" s="40" t="str">
        <f aca="false">IF($B1883="","",IF(AND(OR(CARI!$C$5="",ISNUMBER(SEARCH(CARI!$C$5,$B1883&amp;" "&amp;$C1883&amp;" "&amp;$D1883&amp;" "&amp;$O1883&amp;" "&amp;$I1883&amp;" "&amp;$F1883&amp;" "&amp;$J1883&amp;" "&amp;$K1883&amp;" "&amp;$L1883&amp;" "&amp;$V1883))),OR(CARI!$C$6="",$F1883=CARI!$C$6),OR(CARI!$C$7="",$G1883=CARI!$C$7),OR(CARI!$C$8="",$T1883=CARI!$C$8)),MAX($Z$3:Z1882)+1,""))</f>
        <v/>
      </c>
      <c r="AA1883" s="40" t="str">
        <f aca="false">IF($Y1883="","",MAX($AA$3:AA1882)+1)</f>
        <v/>
      </c>
      <c r="AB1883" s="40" t="str">
        <f aca="false">IF($F1883="","",$F1883&amp;"#"&amp;COUNTIF($F$4:$F1883,$F1883))</f>
        <v/>
      </c>
      <c r="AC1883" s="40" t="str">
        <f aca="false">IF($B1883="","",IF(AND(OR(CETAK!$J$10="",$F1883=CETAK!$J$10),OR(CETAK!$J$11="",$G1883=CETAK!$J$11),OR(CETAK!$J$12="",$P1883=CETAK!$J$12),OR(CETAK!$J$13="",$N1883=CETAK!$J$13),OR(CETAK!$J$14="",$T1883=CETAK!$J$14)),MAX($AC$3:AC1882)+1,""))</f>
        <v/>
      </c>
      <c r="AD1883" s="40" t="str">
        <f aca="false">IF($B1883="","",IF(AND(OR(ABSENSI!$H$10="",$F1883=ABSENSI!$H$10),OR(ABSENSI!$H$11="",$G1883=ABSENSI!$H$11),OR(ABSENSI!$H$12="",$P1883=ABSENSI!$H$12)),MAX($AD$3:AD1882)+1,""))</f>
        <v/>
      </c>
      <c r="AE1883" s="40" t="str">
        <f aca="false">IF($B1883="","",IF(AND(OR(KARTU!$K$6="",$F1883=KARTU!$K$6),OR(KARTU!$K$7="",$G1883=KARTU!$K$7),OR(KARTU!$K$8="",$P1883=KARTU!$K$8)),MAX($AE$3:AE1882)+1,""))</f>
        <v/>
      </c>
    </row>
    <row r="1884" customFormat="false" ht="15" hidden="false" customHeight="false" outlineLevel="0" collapsed="false">
      <c r="A1884" s="35" t="str">
        <f aca="false">IF($B1884="","",COUNTA($B$4:$B1884))</f>
        <v/>
      </c>
      <c r="B1884" s="36"/>
      <c r="C1884" s="37"/>
      <c r="D1884" s="37"/>
      <c r="E1884" s="38"/>
      <c r="F1884" s="36"/>
      <c r="G1884" s="39"/>
      <c r="H1884" s="39"/>
      <c r="I1884" s="36"/>
      <c r="J1884" s="36"/>
      <c r="K1884" s="36"/>
      <c r="L1884" s="36"/>
      <c r="M1884" s="40" t="str">
        <f aca="false">IF($F1884="","",$F1884&amp;IF($G1884="",""," - RT "&amp;$G1884&amp;IF($H1884="","","/"&amp;$H1884)))</f>
        <v/>
      </c>
      <c r="N1884" s="36"/>
      <c r="O1884" s="37"/>
      <c r="P1884" s="39"/>
      <c r="Q1884" s="41"/>
      <c r="R1884" s="35" t="str">
        <f aca="true">IF(OR($B1884="",$Q1884=""),"",DATEDIF($Q1884,TODAY(),"Y"))</f>
        <v/>
      </c>
      <c r="S1884" s="40" t="str">
        <f aca="false">IF($R1884="","",INDEX(usia_label,MATCH($R1884,usia_min,1)))</f>
        <v/>
      </c>
      <c r="T1884" s="36"/>
      <c r="U1884" s="41"/>
      <c r="V1884" s="36"/>
      <c r="W1884" s="36"/>
      <c r="X1884" s="40" t="str">
        <f aca="false">IF($M1884="","",$M1884&amp;"#"&amp;COUNTIF($M$4:$M1884,$M1884))</f>
        <v/>
      </c>
      <c r="Y1884" s="40" t="str">
        <f aca="false">IF($B1884="","",IF($C1884="","NIK kosong",IF(LEN($C1884)&lt;&gt;16,"NIK bukan 16 digit",IF(COUNTIF($C$4:$C$2003,$C1884&amp;"*")&gt;1,"NIK ganda",IF(AND($D1884&lt;&gt;"",LEN($D1884)&lt;&gt;16),"No. KK bukan 16 digit",IF(AND($F1884="",$I1884=""),"Alamat kosong",IF($N1884="","Jabatan kosong",IF($O1884="","No. HP kosong",IF(AND($R1884&lt;&gt;"",$R1884&lt;17),"Usia di bawah 17","")))))))))</f>
        <v/>
      </c>
      <c r="Z1884" s="40" t="str">
        <f aca="false">IF($B1884="","",IF(AND(OR(CARI!$C$5="",ISNUMBER(SEARCH(CARI!$C$5,$B1884&amp;" "&amp;$C1884&amp;" "&amp;$D1884&amp;" "&amp;$O1884&amp;" "&amp;$I1884&amp;" "&amp;$F1884&amp;" "&amp;$J1884&amp;" "&amp;$K1884&amp;" "&amp;$L1884&amp;" "&amp;$V1884))),OR(CARI!$C$6="",$F1884=CARI!$C$6),OR(CARI!$C$7="",$G1884=CARI!$C$7),OR(CARI!$C$8="",$T1884=CARI!$C$8)),MAX($Z$3:Z1883)+1,""))</f>
        <v/>
      </c>
      <c r="AA1884" s="40" t="str">
        <f aca="false">IF($Y1884="","",MAX($AA$3:AA1883)+1)</f>
        <v/>
      </c>
      <c r="AB1884" s="40" t="str">
        <f aca="false">IF($F1884="","",$F1884&amp;"#"&amp;COUNTIF($F$4:$F1884,$F1884))</f>
        <v/>
      </c>
      <c r="AC1884" s="40" t="str">
        <f aca="false">IF($B1884="","",IF(AND(OR(CETAK!$J$10="",$F1884=CETAK!$J$10),OR(CETAK!$J$11="",$G1884=CETAK!$J$11),OR(CETAK!$J$12="",$P1884=CETAK!$J$12),OR(CETAK!$J$13="",$N1884=CETAK!$J$13),OR(CETAK!$J$14="",$T1884=CETAK!$J$14)),MAX($AC$3:AC1883)+1,""))</f>
        <v/>
      </c>
      <c r="AD1884" s="40" t="str">
        <f aca="false">IF($B1884="","",IF(AND(OR(ABSENSI!$H$10="",$F1884=ABSENSI!$H$10),OR(ABSENSI!$H$11="",$G1884=ABSENSI!$H$11),OR(ABSENSI!$H$12="",$P1884=ABSENSI!$H$12)),MAX($AD$3:AD1883)+1,""))</f>
        <v/>
      </c>
      <c r="AE1884" s="40" t="str">
        <f aca="false">IF($B1884="","",IF(AND(OR(KARTU!$K$6="",$F1884=KARTU!$K$6),OR(KARTU!$K$7="",$G1884=KARTU!$K$7),OR(KARTU!$K$8="",$P1884=KARTU!$K$8)),MAX($AE$3:AE1883)+1,""))</f>
        <v/>
      </c>
    </row>
    <row r="1885" customFormat="false" ht="15" hidden="false" customHeight="false" outlineLevel="0" collapsed="false">
      <c r="A1885" s="35" t="str">
        <f aca="false">IF($B1885="","",COUNTA($B$4:$B1885))</f>
        <v/>
      </c>
      <c r="B1885" s="36"/>
      <c r="C1885" s="37"/>
      <c r="D1885" s="37"/>
      <c r="E1885" s="38"/>
      <c r="F1885" s="36"/>
      <c r="G1885" s="39"/>
      <c r="H1885" s="39"/>
      <c r="I1885" s="36"/>
      <c r="J1885" s="36"/>
      <c r="K1885" s="36"/>
      <c r="L1885" s="36"/>
      <c r="M1885" s="40" t="str">
        <f aca="false">IF($F1885="","",$F1885&amp;IF($G1885="",""," - RT "&amp;$G1885&amp;IF($H1885="","","/"&amp;$H1885)))</f>
        <v/>
      </c>
      <c r="N1885" s="36"/>
      <c r="O1885" s="37"/>
      <c r="P1885" s="39"/>
      <c r="Q1885" s="41"/>
      <c r="R1885" s="35" t="str">
        <f aca="true">IF(OR($B1885="",$Q1885=""),"",DATEDIF($Q1885,TODAY(),"Y"))</f>
        <v/>
      </c>
      <c r="S1885" s="40" t="str">
        <f aca="false">IF($R1885="","",INDEX(usia_label,MATCH($R1885,usia_min,1)))</f>
        <v/>
      </c>
      <c r="T1885" s="36"/>
      <c r="U1885" s="41"/>
      <c r="V1885" s="36"/>
      <c r="W1885" s="36"/>
      <c r="X1885" s="40" t="str">
        <f aca="false">IF($M1885="","",$M1885&amp;"#"&amp;COUNTIF($M$4:$M1885,$M1885))</f>
        <v/>
      </c>
      <c r="Y1885" s="40" t="str">
        <f aca="false">IF($B1885="","",IF($C1885="","NIK kosong",IF(LEN($C1885)&lt;&gt;16,"NIK bukan 16 digit",IF(COUNTIF($C$4:$C$2003,$C1885&amp;"*")&gt;1,"NIK ganda",IF(AND($D1885&lt;&gt;"",LEN($D1885)&lt;&gt;16),"No. KK bukan 16 digit",IF(AND($F1885="",$I1885=""),"Alamat kosong",IF($N1885="","Jabatan kosong",IF($O1885="","No. HP kosong",IF(AND($R1885&lt;&gt;"",$R1885&lt;17),"Usia di bawah 17","")))))))))</f>
        <v/>
      </c>
      <c r="Z1885" s="40" t="str">
        <f aca="false">IF($B1885="","",IF(AND(OR(CARI!$C$5="",ISNUMBER(SEARCH(CARI!$C$5,$B1885&amp;" "&amp;$C1885&amp;" "&amp;$D1885&amp;" "&amp;$O1885&amp;" "&amp;$I1885&amp;" "&amp;$F1885&amp;" "&amp;$J1885&amp;" "&amp;$K1885&amp;" "&amp;$L1885&amp;" "&amp;$V1885))),OR(CARI!$C$6="",$F1885=CARI!$C$6),OR(CARI!$C$7="",$G1885=CARI!$C$7),OR(CARI!$C$8="",$T1885=CARI!$C$8)),MAX($Z$3:Z1884)+1,""))</f>
        <v/>
      </c>
      <c r="AA1885" s="40" t="str">
        <f aca="false">IF($Y1885="","",MAX($AA$3:AA1884)+1)</f>
        <v/>
      </c>
      <c r="AB1885" s="40" t="str">
        <f aca="false">IF($F1885="","",$F1885&amp;"#"&amp;COUNTIF($F$4:$F1885,$F1885))</f>
        <v/>
      </c>
      <c r="AC1885" s="40" t="str">
        <f aca="false">IF($B1885="","",IF(AND(OR(CETAK!$J$10="",$F1885=CETAK!$J$10),OR(CETAK!$J$11="",$G1885=CETAK!$J$11),OR(CETAK!$J$12="",$P1885=CETAK!$J$12),OR(CETAK!$J$13="",$N1885=CETAK!$J$13),OR(CETAK!$J$14="",$T1885=CETAK!$J$14)),MAX($AC$3:AC1884)+1,""))</f>
        <v/>
      </c>
      <c r="AD1885" s="40" t="str">
        <f aca="false">IF($B1885="","",IF(AND(OR(ABSENSI!$H$10="",$F1885=ABSENSI!$H$10),OR(ABSENSI!$H$11="",$G1885=ABSENSI!$H$11),OR(ABSENSI!$H$12="",$P1885=ABSENSI!$H$12)),MAX($AD$3:AD1884)+1,""))</f>
        <v/>
      </c>
      <c r="AE1885" s="40" t="str">
        <f aca="false">IF($B1885="","",IF(AND(OR(KARTU!$K$6="",$F1885=KARTU!$K$6),OR(KARTU!$K$7="",$G1885=KARTU!$K$7),OR(KARTU!$K$8="",$P1885=KARTU!$K$8)),MAX($AE$3:AE1884)+1,""))</f>
        <v/>
      </c>
    </row>
    <row r="1886" customFormat="false" ht="15" hidden="false" customHeight="false" outlineLevel="0" collapsed="false">
      <c r="A1886" s="35" t="str">
        <f aca="false">IF($B1886="","",COUNTA($B$4:$B1886))</f>
        <v/>
      </c>
      <c r="B1886" s="36"/>
      <c r="C1886" s="37"/>
      <c r="D1886" s="37"/>
      <c r="E1886" s="38"/>
      <c r="F1886" s="36"/>
      <c r="G1886" s="39"/>
      <c r="H1886" s="39"/>
      <c r="I1886" s="36"/>
      <c r="J1886" s="36"/>
      <c r="K1886" s="36"/>
      <c r="L1886" s="36"/>
      <c r="M1886" s="40" t="str">
        <f aca="false">IF($F1886="","",$F1886&amp;IF($G1886="",""," - RT "&amp;$G1886&amp;IF($H1886="","","/"&amp;$H1886)))</f>
        <v/>
      </c>
      <c r="N1886" s="36"/>
      <c r="O1886" s="37"/>
      <c r="P1886" s="39"/>
      <c r="Q1886" s="41"/>
      <c r="R1886" s="35" t="str">
        <f aca="true">IF(OR($B1886="",$Q1886=""),"",DATEDIF($Q1886,TODAY(),"Y"))</f>
        <v/>
      </c>
      <c r="S1886" s="40" t="str">
        <f aca="false">IF($R1886="","",INDEX(usia_label,MATCH($R1886,usia_min,1)))</f>
        <v/>
      </c>
      <c r="T1886" s="36"/>
      <c r="U1886" s="41"/>
      <c r="V1886" s="36"/>
      <c r="W1886" s="36"/>
      <c r="X1886" s="40" t="str">
        <f aca="false">IF($M1886="","",$M1886&amp;"#"&amp;COUNTIF($M$4:$M1886,$M1886))</f>
        <v/>
      </c>
      <c r="Y1886" s="40" t="str">
        <f aca="false">IF($B1886="","",IF($C1886="","NIK kosong",IF(LEN($C1886)&lt;&gt;16,"NIK bukan 16 digit",IF(COUNTIF($C$4:$C$2003,$C1886&amp;"*")&gt;1,"NIK ganda",IF(AND($D1886&lt;&gt;"",LEN($D1886)&lt;&gt;16),"No. KK bukan 16 digit",IF(AND($F1886="",$I1886=""),"Alamat kosong",IF($N1886="","Jabatan kosong",IF($O1886="","No. HP kosong",IF(AND($R1886&lt;&gt;"",$R1886&lt;17),"Usia di bawah 17","")))))))))</f>
        <v/>
      </c>
      <c r="Z1886" s="40" t="str">
        <f aca="false">IF($B1886="","",IF(AND(OR(CARI!$C$5="",ISNUMBER(SEARCH(CARI!$C$5,$B1886&amp;" "&amp;$C1886&amp;" "&amp;$D1886&amp;" "&amp;$O1886&amp;" "&amp;$I1886&amp;" "&amp;$F1886&amp;" "&amp;$J1886&amp;" "&amp;$K1886&amp;" "&amp;$L1886&amp;" "&amp;$V1886))),OR(CARI!$C$6="",$F1886=CARI!$C$6),OR(CARI!$C$7="",$G1886=CARI!$C$7),OR(CARI!$C$8="",$T1886=CARI!$C$8)),MAX($Z$3:Z1885)+1,""))</f>
        <v/>
      </c>
      <c r="AA1886" s="40" t="str">
        <f aca="false">IF($Y1886="","",MAX($AA$3:AA1885)+1)</f>
        <v/>
      </c>
      <c r="AB1886" s="40" t="str">
        <f aca="false">IF($F1886="","",$F1886&amp;"#"&amp;COUNTIF($F$4:$F1886,$F1886))</f>
        <v/>
      </c>
      <c r="AC1886" s="40" t="str">
        <f aca="false">IF($B1886="","",IF(AND(OR(CETAK!$J$10="",$F1886=CETAK!$J$10),OR(CETAK!$J$11="",$G1886=CETAK!$J$11),OR(CETAK!$J$12="",$P1886=CETAK!$J$12),OR(CETAK!$J$13="",$N1886=CETAK!$J$13),OR(CETAK!$J$14="",$T1886=CETAK!$J$14)),MAX($AC$3:AC1885)+1,""))</f>
        <v/>
      </c>
      <c r="AD1886" s="40" t="str">
        <f aca="false">IF($B1886="","",IF(AND(OR(ABSENSI!$H$10="",$F1886=ABSENSI!$H$10),OR(ABSENSI!$H$11="",$G1886=ABSENSI!$H$11),OR(ABSENSI!$H$12="",$P1886=ABSENSI!$H$12)),MAX($AD$3:AD1885)+1,""))</f>
        <v/>
      </c>
      <c r="AE1886" s="40" t="str">
        <f aca="false">IF($B1886="","",IF(AND(OR(KARTU!$K$6="",$F1886=KARTU!$K$6),OR(KARTU!$K$7="",$G1886=KARTU!$K$7),OR(KARTU!$K$8="",$P1886=KARTU!$K$8)),MAX($AE$3:AE1885)+1,""))</f>
        <v/>
      </c>
    </row>
    <row r="1887" customFormat="false" ht="15" hidden="false" customHeight="false" outlineLevel="0" collapsed="false">
      <c r="A1887" s="35" t="str">
        <f aca="false">IF($B1887="","",COUNTA($B$4:$B1887))</f>
        <v/>
      </c>
      <c r="B1887" s="36"/>
      <c r="C1887" s="37"/>
      <c r="D1887" s="37"/>
      <c r="E1887" s="38"/>
      <c r="F1887" s="36"/>
      <c r="G1887" s="39"/>
      <c r="H1887" s="39"/>
      <c r="I1887" s="36"/>
      <c r="J1887" s="36"/>
      <c r="K1887" s="36"/>
      <c r="L1887" s="36"/>
      <c r="M1887" s="40" t="str">
        <f aca="false">IF($F1887="","",$F1887&amp;IF($G1887="",""," - RT "&amp;$G1887&amp;IF($H1887="","","/"&amp;$H1887)))</f>
        <v/>
      </c>
      <c r="N1887" s="36"/>
      <c r="O1887" s="37"/>
      <c r="P1887" s="39"/>
      <c r="Q1887" s="41"/>
      <c r="R1887" s="35" t="str">
        <f aca="true">IF(OR($B1887="",$Q1887=""),"",DATEDIF($Q1887,TODAY(),"Y"))</f>
        <v/>
      </c>
      <c r="S1887" s="40" t="str">
        <f aca="false">IF($R1887="","",INDEX(usia_label,MATCH($R1887,usia_min,1)))</f>
        <v/>
      </c>
      <c r="T1887" s="36"/>
      <c r="U1887" s="41"/>
      <c r="V1887" s="36"/>
      <c r="W1887" s="36"/>
      <c r="X1887" s="40" t="str">
        <f aca="false">IF($M1887="","",$M1887&amp;"#"&amp;COUNTIF($M$4:$M1887,$M1887))</f>
        <v/>
      </c>
      <c r="Y1887" s="40" t="str">
        <f aca="false">IF($B1887="","",IF($C1887="","NIK kosong",IF(LEN($C1887)&lt;&gt;16,"NIK bukan 16 digit",IF(COUNTIF($C$4:$C$2003,$C1887&amp;"*")&gt;1,"NIK ganda",IF(AND($D1887&lt;&gt;"",LEN($D1887)&lt;&gt;16),"No. KK bukan 16 digit",IF(AND($F1887="",$I1887=""),"Alamat kosong",IF($N1887="","Jabatan kosong",IF($O1887="","No. HP kosong",IF(AND($R1887&lt;&gt;"",$R1887&lt;17),"Usia di bawah 17","")))))))))</f>
        <v/>
      </c>
      <c r="Z1887" s="40" t="str">
        <f aca="false">IF($B1887="","",IF(AND(OR(CARI!$C$5="",ISNUMBER(SEARCH(CARI!$C$5,$B1887&amp;" "&amp;$C1887&amp;" "&amp;$D1887&amp;" "&amp;$O1887&amp;" "&amp;$I1887&amp;" "&amp;$F1887&amp;" "&amp;$J1887&amp;" "&amp;$K1887&amp;" "&amp;$L1887&amp;" "&amp;$V1887))),OR(CARI!$C$6="",$F1887=CARI!$C$6),OR(CARI!$C$7="",$G1887=CARI!$C$7),OR(CARI!$C$8="",$T1887=CARI!$C$8)),MAX($Z$3:Z1886)+1,""))</f>
        <v/>
      </c>
      <c r="AA1887" s="40" t="str">
        <f aca="false">IF($Y1887="","",MAX($AA$3:AA1886)+1)</f>
        <v/>
      </c>
      <c r="AB1887" s="40" t="str">
        <f aca="false">IF($F1887="","",$F1887&amp;"#"&amp;COUNTIF($F$4:$F1887,$F1887))</f>
        <v/>
      </c>
      <c r="AC1887" s="40" t="str">
        <f aca="false">IF($B1887="","",IF(AND(OR(CETAK!$J$10="",$F1887=CETAK!$J$10),OR(CETAK!$J$11="",$G1887=CETAK!$J$11),OR(CETAK!$J$12="",$P1887=CETAK!$J$12),OR(CETAK!$J$13="",$N1887=CETAK!$J$13),OR(CETAK!$J$14="",$T1887=CETAK!$J$14)),MAX($AC$3:AC1886)+1,""))</f>
        <v/>
      </c>
      <c r="AD1887" s="40" t="str">
        <f aca="false">IF($B1887="","",IF(AND(OR(ABSENSI!$H$10="",$F1887=ABSENSI!$H$10),OR(ABSENSI!$H$11="",$G1887=ABSENSI!$H$11),OR(ABSENSI!$H$12="",$P1887=ABSENSI!$H$12)),MAX($AD$3:AD1886)+1,""))</f>
        <v/>
      </c>
      <c r="AE1887" s="40" t="str">
        <f aca="false">IF($B1887="","",IF(AND(OR(KARTU!$K$6="",$F1887=KARTU!$K$6),OR(KARTU!$K$7="",$G1887=KARTU!$K$7),OR(KARTU!$K$8="",$P1887=KARTU!$K$8)),MAX($AE$3:AE1886)+1,""))</f>
        <v/>
      </c>
    </row>
    <row r="1888" customFormat="false" ht="15" hidden="false" customHeight="false" outlineLevel="0" collapsed="false">
      <c r="A1888" s="35" t="str">
        <f aca="false">IF($B1888="","",COUNTA($B$4:$B1888))</f>
        <v/>
      </c>
      <c r="B1888" s="36"/>
      <c r="C1888" s="37"/>
      <c r="D1888" s="37"/>
      <c r="E1888" s="38"/>
      <c r="F1888" s="36"/>
      <c r="G1888" s="39"/>
      <c r="H1888" s="39"/>
      <c r="I1888" s="36"/>
      <c r="J1888" s="36"/>
      <c r="K1888" s="36"/>
      <c r="L1888" s="36"/>
      <c r="M1888" s="40" t="str">
        <f aca="false">IF($F1888="","",$F1888&amp;IF($G1888="",""," - RT "&amp;$G1888&amp;IF($H1888="","","/"&amp;$H1888)))</f>
        <v/>
      </c>
      <c r="N1888" s="36"/>
      <c r="O1888" s="37"/>
      <c r="P1888" s="39"/>
      <c r="Q1888" s="41"/>
      <c r="R1888" s="35" t="str">
        <f aca="true">IF(OR($B1888="",$Q1888=""),"",DATEDIF($Q1888,TODAY(),"Y"))</f>
        <v/>
      </c>
      <c r="S1888" s="40" t="str">
        <f aca="false">IF($R1888="","",INDEX(usia_label,MATCH($R1888,usia_min,1)))</f>
        <v/>
      </c>
      <c r="T1888" s="36"/>
      <c r="U1888" s="41"/>
      <c r="V1888" s="36"/>
      <c r="W1888" s="36"/>
      <c r="X1888" s="40" t="str">
        <f aca="false">IF($M1888="","",$M1888&amp;"#"&amp;COUNTIF($M$4:$M1888,$M1888))</f>
        <v/>
      </c>
      <c r="Y1888" s="40" t="str">
        <f aca="false">IF($B1888="","",IF($C1888="","NIK kosong",IF(LEN($C1888)&lt;&gt;16,"NIK bukan 16 digit",IF(COUNTIF($C$4:$C$2003,$C1888&amp;"*")&gt;1,"NIK ganda",IF(AND($D1888&lt;&gt;"",LEN($D1888)&lt;&gt;16),"No. KK bukan 16 digit",IF(AND($F1888="",$I1888=""),"Alamat kosong",IF($N1888="","Jabatan kosong",IF($O1888="","No. HP kosong",IF(AND($R1888&lt;&gt;"",$R1888&lt;17),"Usia di bawah 17","")))))))))</f>
        <v/>
      </c>
      <c r="Z1888" s="40" t="str">
        <f aca="false">IF($B1888="","",IF(AND(OR(CARI!$C$5="",ISNUMBER(SEARCH(CARI!$C$5,$B1888&amp;" "&amp;$C1888&amp;" "&amp;$D1888&amp;" "&amp;$O1888&amp;" "&amp;$I1888&amp;" "&amp;$F1888&amp;" "&amp;$J1888&amp;" "&amp;$K1888&amp;" "&amp;$L1888&amp;" "&amp;$V1888))),OR(CARI!$C$6="",$F1888=CARI!$C$6),OR(CARI!$C$7="",$G1888=CARI!$C$7),OR(CARI!$C$8="",$T1888=CARI!$C$8)),MAX($Z$3:Z1887)+1,""))</f>
        <v/>
      </c>
      <c r="AA1888" s="40" t="str">
        <f aca="false">IF($Y1888="","",MAX($AA$3:AA1887)+1)</f>
        <v/>
      </c>
      <c r="AB1888" s="40" t="str">
        <f aca="false">IF($F1888="","",$F1888&amp;"#"&amp;COUNTIF($F$4:$F1888,$F1888))</f>
        <v/>
      </c>
      <c r="AC1888" s="40" t="str">
        <f aca="false">IF($B1888="","",IF(AND(OR(CETAK!$J$10="",$F1888=CETAK!$J$10),OR(CETAK!$J$11="",$G1888=CETAK!$J$11),OR(CETAK!$J$12="",$P1888=CETAK!$J$12),OR(CETAK!$J$13="",$N1888=CETAK!$J$13),OR(CETAK!$J$14="",$T1888=CETAK!$J$14)),MAX($AC$3:AC1887)+1,""))</f>
        <v/>
      </c>
      <c r="AD1888" s="40" t="str">
        <f aca="false">IF($B1888="","",IF(AND(OR(ABSENSI!$H$10="",$F1888=ABSENSI!$H$10),OR(ABSENSI!$H$11="",$G1888=ABSENSI!$H$11),OR(ABSENSI!$H$12="",$P1888=ABSENSI!$H$12)),MAX($AD$3:AD1887)+1,""))</f>
        <v/>
      </c>
      <c r="AE1888" s="40" t="str">
        <f aca="false">IF($B1888="","",IF(AND(OR(KARTU!$K$6="",$F1888=KARTU!$K$6),OR(KARTU!$K$7="",$G1888=KARTU!$K$7),OR(KARTU!$K$8="",$P1888=KARTU!$K$8)),MAX($AE$3:AE1887)+1,""))</f>
        <v/>
      </c>
    </row>
    <row r="1889" customFormat="false" ht="15" hidden="false" customHeight="false" outlineLevel="0" collapsed="false">
      <c r="A1889" s="35" t="str">
        <f aca="false">IF($B1889="","",COUNTA($B$4:$B1889))</f>
        <v/>
      </c>
      <c r="B1889" s="36"/>
      <c r="C1889" s="37"/>
      <c r="D1889" s="37"/>
      <c r="E1889" s="38"/>
      <c r="F1889" s="36"/>
      <c r="G1889" s="39"/>
      <c r="H1889" s="39"/>
      <c r="I1889" s="36"/>
      <c r="J1889" s="36"/>
      <c r="K1889" s="36"/>
      <c r="L1889" s="36"/>
      <c r="M1889" s="40" t="str">
        <f aca="false">IF($F1889="","",$F1889&amp;IF($G1889="",""," - RT "&amp;$G1889&amp;IF($H1889="","","/"&amp;$H1889)))</f>
        <v/>
      </c>
      <c r="N1889" s="36"/>
      <c r="O1889" s="37"/>
      <c r="P1889" s="39"/>
      <c r="Q1889" s="41"/>
      <c r="R1889" s="35" t="str">
        <f aca="true">IF(OR($B1889="",$Q1889=""),"",DATEDIF($Q1889,TODAY(),"Y"))</f>
        <v/>
      </c>
      <c r="S1889" s="40" t="str">
        <f aca="false">IF($R1889="","",INDEX(usia_label,MATCH($R1889,usia_min,1)))</f>
        <v/>
      </c>
      <c r="T1889" s="36"/>
      <c r="U1889" s="41"/>
      <c r="V1889" s="36"/>
      <c r="W1889" s="36"/>
      <c r="X1889" s="40" t="str">
        <f aca="false">IF($M1889="","",$M1889&amp;"#"&amp;COUNTIF($M$4:$M1889,$M1889))</f>
        <v/>
      </c>
      <c r="Y1889" s="40" t="str">
        <f aca="false">IF($B1889="","",IF($C1889="","NIK kosong",IF(LEN($C1889)&lt;&gt;16,"NIK bukan 16 digit",IF(COUNTIF($C$4:$C$2003,$C1889&amp;"*")&gt;1,"NIK ganda",IF(AND($D1889&lt;&gt;"",LEN($D1889)&lt;&gt;16),"No. KK bukan 16 digit",IF(AND($F1889="",$I1889=""),"Alamat kosong",IF($N1889="","Jabatan kosong",IF($O1889="","No. HP kosong",IF(AND($R1889&lt;&gt;"",$R1889&lt;17),"Usia di bawah 17","")))))))))</f>
        <v/>
      </c>
      <c r="Z1889" s="40" t="str">
        <f aca="false">IF($B1889="","",IF(AND(OR(CARI!$C$5="",ISNUMBER(SEARCH(CARI!$C$5,$B1889&amp;" "&amp;$C1889&amp;" "&amp;$D1889&amp;" "&amp;$O1889&amp;" "&amp;$I1889&amp;" "&amp;$F1889&amp;" "&amp;$J1889&amp;" "&amp;$K1889&amp;" "&amp;$L1889&amp;" "&amp;$V1889))),OR(CARI!$C$6="",$F1889=CARI!$C$6),OR(CARI!$C$7="",$G1889=CARI!$C$7),OR(CARI!$C$8="",$T1889=CARI!$C$8)),MAX($Z$3:Z1888)+1,""))</f>
        <v/>
      </c>
      <c r="AA1889" s="40" t="str">
        <f aca="false">IF($Y1889="","",MAX($AA$3:AA1888)+1)</f>
        <v/>
      </c>
      <c r="AB1889" s="40" t="str">
        <f aca="false">IF($F1889="","",$F1889&amp;"#"&amp;COUNTIF($F$4:$F1889,$F1889))</f>
        <v/>
      </c>
      <c r="AC1889" s="40" t="str">
        <f aca="false">IF($B1889="","",IF(AND(OR(CETAK!$J$10="",$F1889=CETAK!$J$10),OR(CETAK!$J$11="",$G1889=CETAK!$J$11),OR(CETAK!$J$12="",$P1889=CETAK!$J$12),OR(CETAK!$J$13="",$N1889=CETAK!$J$13),OR(CETAK!$J$14="",$T1889=CETAK!$J$14)),MAX($AC$3:AC1888)+1,""))</f>
        <v/>
      </c>
      <c r="AD1889" s="40" t="str">
        <f aca="false">IF($B1889="","",IF(AND(OR(ABSENSI!$H$10="",$F1889=ABSENSI!$H$10),OR(ABSENSI!$H$11="",$G1889=ABSENSI!$H$11),OR(ABSENSI!$H$12="",$P1889=ABSENSI!$H$12)),MAX($AD$3:AD1888)+1,""))</f>
        <v/>
      </c>
      <c r="AE1889" s="40" t="str">
        <f aca="false">IF($B1889="","",IF(AND(OR(KARTU!$K$6="",$F1889=KARTU!$K$6),OR(KARTU!$K$7="",$G1889=KARTU!$K$7),OR(KARTU!$K$8="",$P1889=KARTU!$K$8)),MAX($AE$3:AE1888)+1,""))</f>
        <v/>
      </c>
    </row>
    <row r="1890" customFormat="false" ht="15" hidden="false" customHeight="false" outlineLevel="0" collapsed="false">
      <c r="A1890" s="35" t="str">
        <f aca="false">IF($B1890="","",COUNTA($B$4:$B1890))</f>
        <v/>
      </c>
      <c r="B1890" s="36"/>
      <c r="C1890" s="37"/>
      <c r="D1890" s="37"/>
      <c r="E1890" s="38"/>
      <c r="F1890" s="36"/>
      <c r="G1890" s="39"/>
      <c r="H1890" s="39"/>
      <c r="I1890" s="36"/>
      <c r="J1890" s="36"/>
      <c r="K1890" s="36"/>
      <c r="L1890" s="36"/>
      <c r="M1890" s="40" t="str">
        <f aca="false">IF($F1890="","",$F1890&amp;IF($G1890="",""," - RT "&amp;$G1890&amp;IF($H1890="","","/"&amp;$H1890)))</f>
        <v/>
      </c>
      <c r="N1890" s="36"/>
      <c r="O1890" s="37"/>
      <c r="P1890" s="39"/>
      <c r="Q1890" s="41"/>
      <c r="R1890" s="35" t="str">
        <f aca="true">IF(OR($B1890="",$Q1890=""),"",DATEDIF($Q1890,TODAY(),"Y"))</f>
        <v/>
      </c>
      <c r="S1890" s="40" t="str">
        <f aca="false">IF($R1890="","",INDEX(usia_label,MATCH($R1890,usia_min,1)))</f>
        <v/>
      </c>
      <c r="T1890" s="36"/>
      <c r="U1890" s="41"/>
      <c r="V1890" s="36"/>
      <c r="W1890" s="36"/>
      <c r="X1890" s="40" t="str">
        <f aca="false">IF($M1890="","",$M1890&amp;"#"&amp;COUNTIF($M$4:$M1890,$M1890))</f>
        <v/>
      </c>
      <c r="Y1890" s="40" t="str">
        <f aca="false">IF($B1890="","",IF($C1890="","NIK kosong",IF(LEN($C1890)&lt;&gt;16,"NIK bukan 16 digit",IF(COUNTIF($C$4:$C$2003,$C1890&amp;"*")&gt;1,"NIK ganda",IF(AND($D1890&lt;&gt;"",LEN($D1890)&lt;&gt;16),"No. KK bukan 16 digit",IF(AND($F1890="",$I1890=""),"Alamat kosong",IF($N1890="","Jabatan kosong",IF($O1890="","No. HP kosong",IF(AND($R1890&lt;&gt;"",$R1890&lt;17),"Usia di bawah 17","")))))))))</f>
        <v/>
      </c>
      <c r="Z1890" s="40" t="str">
        <f aca="false">IF($B1890="","",IF(AND(OR(CARI!$C$5="",ISNUMBER(SEARCH(CARI!$C$5,$B1890&amp;" "&amp;$C1890&amp;" "&amp;$D1890&amp;" "&amp;$O1890&amp;" "&amp;$I1890&amp;" "&amp;$F1890&amp;" "&amp;$J1890&amp;" "&amp;$K1890&amp;" "&amp;$L1890&amp;" "&amp;$V1890))),OR(CARI!$C$6="",$F1890=CARI!$C$6),OR(CARI!$C$7="",$G1890=CARI!$C$7),OR(CARI!$C$8="",$T1890=CARI!$C$8)),MAX($Z$3:Z1889)+1,""))</f>
        <v/>
      </c>
      <c r="AA1890" s="40" t="str">
        <f aca="false">IF($Y1890="","",MAX($AA$3:AA1889)+1)</f>
        <v/>
      </c>
      <c r="AB1890" s="40" t="str">
        <f aca="false">IF($F1890="","",$F1890&amp;"#"&amp;COUNTIF($F$4:$F1890,$F1890))</f>
        <v/>
      </c>
      <c r="AC1890" s="40" t="str">
        <f aca="false">IF($B1890="","",IF(AND(OR(CETAK!$J$10="",$F1890=CETAK!$J$10),OR(CETAK!$J$11="",$G1890=CETAK!$J$11),OR(CETAK!$J$12="",$P1890=CETAK!$J$12),OR(CETAK!$J$13="",$N1890=CETAK!$J$13),OR(CETAK!$J$14="",$T1890=CETAK!$J$14)),MAX($AC$3:AC1889)+1,""))</f>
        <v/>
      </c>
      <c r="AD1890" s="40" t="str">
        <f aca="false">IF($B1890="","",IF(AND(OR(ABSENSI!$H$10="",$F1890=ABSENSI!$H$10),OR(ABSENSI!$H$11="",$G1890=ABSENSI!$H$11),OR(ABSENSI!$H$12="",$P1890=ABSENSI!$H$12)),MAX($AD$3:AD1889)+1,""))</f>
        <v/>
      </c>
      <c r="AE1890" s="40" t="str">
        <f aca="false">IF($B1890="","",IF(AND(OR(KARTU!$K$6="",$F1890=KARTU!$K$6),OR(KARTU!$K$7="",$G1890=KARTU!$K$7),OR(KARTU!$K$8="",$P1890=KARTU!$K$8)),MAX($AE$3:AE1889)+1,""))</f>
        <v/>
      </c>
    </row>
    <row r="1891" customFormat="false" ht="15" hidden="false" customHeight="false" outlineLevel="0" collapsed="false">
      <c r="A1891" s="35" t="str">
        <f aca="false">IF($B1891="","",COUNTA($B$4:$B1891))</f>
        <v/>
      </c>
      <c r="B1891" s="36"/>
      <c r="C1891" s="37"/>
      <c r="D1891" s="37"/>
      <c r="E1891" s="38"/>
      <c r="F1891" s="36"/>
      <c r="G1891" s="39"/>
      <c r="H1891" s="39"/>
      <c r="I1891" s="36"/>
      <c r="J1891" s="36"/>
      <c r="K1891" s="36"/>
      <c r="L1891" s="36"/>
      <c r="M1891" s="40" t="str">
        <f aca="false">IF($F1891="","",$F1891&amp;IF($G1891="",""," - RT "&amp;$G1891&amp;IF($H1891="","","/"&amp;$H1891)))</f>
        <v/>
      </c>
      <c r="N1891" s="36"/>
      <c r="O1891" s="37"/>
      <c r="P1891" s="39"/>
      <c r="Q1891" s="41"/>
      <c r="R1891" s="35" t="str">
        <f aca="true">IF(OR($B1891="",$Q1891=""),"",DATEDIF($Q1891,TODAY(),"Y"))</f>
        <v/>
      </c>
      <c r="S1891" s="40" t="str">
        <f aca="false">IF($R1891="","",INDEX(usia_label,MATCH($R1891,usia_min,1)))</f>
        <v/>
      </c>
      <c r="T1891" s="36"/>
      <c r="U1891" s="41"/>
      <c r="V1891" s="36"/>
      <c r="W1891" s="36"/>
      <c r="X1891" s="40" t="str">
        <f aca="false">IF($M1891="","",$M1891&amp;"#"&amp;COUNTIF($M$4:$M1891,$M1891))</f>
        <v/>
      </c>
      <c r="Y1891" s="40" t="str">
        <f aca="false">IF($B1891="","",IF($C1891="","NIK kosong",IF(LEN($C1891)&lt;&gt;16,"NIK bukan 16 digit",IF(COUNTIF($C$4:$C$2003,$C1891&amp;"*")&gt;1,"NIK ganda",IF(AND($D1891&lt;&gt;"",LEN($D1891)&lt;&gt;16),"No. KK bukan 16 digit",IF(AND($F1891="",$I1891=""),"Alamat kosong",IF($N1891="","Jabatan kosong",IF($O1891="","No. HP kosong",IF(AND($R1891&lt;&gt;"",$R1891&lt;17),"Usia di bawah 17","")))))))))</f>
        <v/>
      </c>
      <c r="Z1891" s="40" t="str">
        <f aca="false">IF($B1891="","",IF(AND(OR(CARI!$C$5="",ISNUMBER(SEARCH(CARI!$C$5,$B1891&amp;" "&amp;$C1891&amp;" "&amp;$D1891&amp;" "&amp;$O1891&amp;" "&amp;$I1891&amp;" "&amp;$F1891&amp;" "&amp;$J1891&amp;" "&amp;$K1891&amp;" "&amp;$L1891&amp;" "&amp;$V1891))),OR(CARI!$C$6="",$F1891=CARI!$C$6),OR(CARI!$C$7="",$G1891=CARI!$C$7),OR(CARI!$C$8="",$T1891=CARI!$C$8)),MAX($Z$3:Z1890)+1,""))</f>
        <v/>
      </c>
      <c r="AA1891" s="40" t="str">
        <f aca="false">IF($Y1891="","",MAX($AA$3:AA1890)+1)</f>
        <v/>
      </c>
      <c r="AB1891" s="40" t="str">
        <f aca="false">IF($F1891="","",$F1891&amp;"#"&amp;COUNTIF($F$4:$F1891,$F1891))</f>
        <v/>
      </c>
      <c r="AC1891" s="40" t="str">
        <f aca="false">IF($B1891="","",IF(AND(OR(CETAK!$J$10="",$F1891=CETAK!$J$10),OR(CETAK!$J$11="",$G1891=CETAK!$J$11),OR(CETAK!$J$12="",$P1891=CETAK!$J$12),OR(CETAK!$J$13="",$N1891=CETAK!$J$13),OR(CETAK!$J$14="",$T1891=CETAK!$J$14)),MAX($AC$3:AC1890)+1,""))</f>
        <v/>
      </c>
      <c r="AD1891" s="40" t="str">
        <f aca="false">IF($B1891="","",IF(AND(OR(ABSENSI!$H$10="",$F1891=ABSENSI!$H$10),OR(ABSENSI!$H$11="",$G1891=ABSENSI!$H$11),OR(ABSENSI!$H$12="",$P1891=ABSENSI!$H$12)),MAX($AD$3:AD1890)+1,""))</f>
        <v/>
      </c>
      <c r="AE1891" s="40" t="str">
        <f aca="false">IF($B1891="","",IF(AND(OR(KARTU!$K$6="",$F1891=KARTU!$K$6),OR(KARTU!$K$7="",$G1891=KARTU!$K$7),OR(KARTU!$K$8="",$P1891=KARTU!$K$8)),MAX($AE$3:AE1890)+1,""))</f>
        <v/>
      </c>
    </row>
    <row r="1892" customFormat="false" ht="15" hidden="false" customHeight="false" outlineLevel="0" collapsed="false">
      <c r="A1892" s="35" t="str">
        <f aca="false">IF($B1892="","",COUNTA($B$4:$B1892))</f>
        <v/>
      </c>
      <c r="B1892" s="36"/>
      <c r="C1892" s="37"/>
      <c r="D1892" s="37"/>
      <c r="E1892" s="38"/>
      <c r="F1892" s="36"/>
      <c r="G1892" s="39"/>
      <c r="H1892" s="39"/>
      <c r="I1892" s="36"/>
      <c r="J1892" s="36"/>
      <c r="K1892" s="36"/>
      <c r="L1892" s="36"/>
      <c r="M1892" s="40" t="str">
        <f aca="false">IF($F1892="","",$F1892&amp;IF($G1892="",""," - RT "&amp;$G1892&amp;IF($H1892="","","/"&amp;$H1892)))</f>
        <v/>
      </c>
      <c r="N1892" s="36"/>
      <c r="O1892" s="37"/>
      <c r="P1892" s="39"/>
      <c r="Q1892" s="41"/>
      <c r="R1892" s="35" t="str">
        <f aca="true">IF(OR($B1892="",$Q1892=""),"",DATEDIF($Q1892,TODAY(),"Y"))</f>
        <v/>
      </c>
      <c r="S1892" s="40" t="str">
        <f aca="false">IF($R1892="","",INDEX(usia_label,MATCH($R1892,usia_min,1)))</f>
        <v/>
      </c>
      <c r="T1892" s="36"/>
      <c r="U1892" s="41"/>
      <c r="V1892" s="36"/>
      <c r="W1892" s="36"/>
      <c r="X1892" s="40" t="str">
        <f aca="false">IF($M1892="","",$M1892&amp;"#"&amp;COUNTIF($M$4:$M1892,$M1892))</f>
        <v/>
      </c>
      <c r="Y1892" s="40" t="str">
        <f aca="false">IF($B1892="","",IF($C1892="","NIK kosong",IF(LEN($C1892)&lt;&gt;16,"NIK bukan 16 digit",IF(COUNTIF($C$4:$C$2003,$C1892&amp;"*")&gt;1,"NIK ganda",IF(AND($D1892&lt;&gt;"",LEN($D1892)&lt;&gt;16),"No. KK bukan 16 digit",IF(AND($F1892="",$I1892=""),"Alamat kosong",IF($N1892="","Jabatan kosong",IF($O1892="","No. HP kosong",IF(AND($R1892&lt;&gt;"",$R1892&lt;17),"Usia di bawah 17","")))))))))</f>
        <v/>
      </c>
      <c r="Z1892" s="40" t="str">
        <f aca="false">IF($B1892="","",IF(AND(OR(CARI!$C$5="",ISNUMBER(SEARCH(CARI!$C$5,$B1892&amp;" "&amp;$C1892&amp;" "&amp;$D1892&amp;" "&amp;$O1892&amp;" "&amp;$I1892&amp;" "&amp;$F1892&amp;" "&amp;$J1892&amp;" "&amp;$K1892&amp;" "&amp;$L1892&amp;" "&amp;$V1892))),OR(CARI!$C$6="",$F1892=CARI!$C$6),OR(CARI!$C$7="",$G1892=CARI!$C$7),OR(CARI!$C$8="",$T1892=CARI!$C$8)),MAX($Z$3:Z1891)+1,""))</f>
        <v/>
      </c>
      <c r="AA1892" s="40" t="str">
        <f aca="false">IF($Y1892="","",MAX($AA$3:AA1891)+1)</f>
        <v/>
      </c>
      <c r="AB1892" s="40" t="str">
        <f aca="false">IF($F1892="","",$F1892&amp;"#"&amp;COUNTIF($F$4:$F1892,$F1892))</f>
        <v/>
      </c>
      <c r="AC1892" s="40" t="str">
        <f aca="false">IF($B1892="","",IF(AND(OR(CETAK!$J$10="",$F1892=CETAK!$J$10),OR(CETAK!$J$11="",$G1892=CETAK!$J$11),OR(CETAK!$J$12="",$P1892=CETAK!$J$12),OR(CETAK!$J$13="",$N1892=CETAK!$J$13),OR(CETAK!$J$14="",$T1892=CETAK!$J$14)),MAX($AC$3:AC1891)+1,""))</f>
        <v/>
      </c>
      <c r="AD1892" s="40" t="str">
        <f aca="false">IF($B1892="","",IF(AND(OR(ABSENSI!$H$10="",$F1892=ABSENSI!$H$10),OR(ABSENSI!$H$11="",$G1892=ABSENSI!$H$11),OR(ABSENSI!$H$12="",$P1892=ABSENSI!$H$12)),MAX($AD$3:AD1891)+1,""))</f>
        <v/>
      </c>
      <c r="AE1892" s="40" t="str">
        <f aca="false">IF($B1892="","",IF(AND(OR(KARTU!$K$6="",$F1892=KARTU!$K$6),OR(KARTU!$K$7="",$G1892=KARTU!$K$7),OR(KARTU!$K$8="",$P1892=KARTU!$K$8)),MAX($AE$3:AE1891)+1,""))</f>
        <v/>
      </c>
    </row>
    <row r="1893" customFormat="false" ht="15" hidden="false" customHeight="false" outlineLevel="0" collapsed="false">
      <c r="A1893" s="35" t="str">
        <f aca="false">IF($B1893="","",COUNTA($B$4:$B1893))</f>
        <v/>
      </c>
      <c r="B1893" s="36"/>
      <c r="C1893" s="37"/>
      <c r="D1893" s="37"/>
      <c r="E1893" s="38"/>
      <c r="F1893" s="36"/>
      <c r="G1893" s="39"/>
      <c r="H1893" s="39"/>
      <c r="I1893" s="36"/>
      <c r="J1893" s="36"/>
      <c r="K1893" s="36"/>
      <c r="L1893" s="36"/>
      <c r="M1893" s="40" t="str">
        <f aca="false">IF($F1893="","",$F1893&amp;IF($G1893="",""," - RT "&amp;$G1893&amp;IF($H1893="","","/"&amp;$H1893)))</f>
        <v/>
      </c>
      <c r="N1893" s="36"/>
      <c r="O1893" s="37"/>
      <c r="P1893" s="39"/>
      <c r="Q1893" s="41"/>
      <c r="R1893" s="35" t="str">
        <f aca="true">IF(OR($B1893="",$Q1893=""),"",DATEDIF($Q1893,TODAY(),"Y"))</f>
        <v/>
      </c>
      <c r="S1893" s="40" t="str">
        <f aca="false">IF($R1893="","",INDEX(usia_label,MATCH($R1893,usia_min,1)))</f>
        <v/>
      </c>
      <c r="T1893" s="36"/>
      <c r="U1893" s="41"/>
      <c r="V1893" s="36"/>
      <c r="W1893" s="36"/>
      <c r="X1893" s="40" t="str">
        <f aca="false">IF($M1893="","",$M1893&amp;"#"&amp;COUNTIF($M$4:$M1893,$M1893))</f>
        <v/>
      </c>
      <c r="Y1893" s="40" t="str">
        <f aca="false">IF($B1893="","",IF($C1893="","NIK kosong",IF(LEN($C1893)&lt;&gt;16,"NIK bukan 16 digit",IF(COUNTIF($C$4:$C$2003,$C1893&amp;"*")&gt;1,"NIK ganda",IF(AND($D1893&lt;&gt;"",LEN($D1893)&lt;&gt;16),"No. KK bukan 16 digit",IF(AND($F1893="",$I1893=""),"Alamat kosong",IF($N1893="","Jabatan kosong",IF($O1893="","No. HP kosong",IF(AND($R1893&lt;&gt;"",$R1893&lt;17),"Usia di bawah 17","")))))))))</f>
        <v/>
      </c>
      <c r="Z1893" s="40" t="str">
        <f aca="false">IF($B1893="","",IF(AND(OR(CARI!$C$5="",ISNUMBER(SEARCH(CARI!$C$5,$B1893&amp;" "&amp;$C1893&amp;" "&amp;$D1893&amp;" "&amp;$O1893&amp;" "&amp;$I1893&amp;" "&amp;$F1893&amp;" "&amp;$J1893&amp;" "&amp;$K1893&amp;" "&amp;$L1893&amp;" "&amp;$V1893))),OR(CARI!$C$6="",$F1893=CARI!$C$6),OR(CARI!$C$7="",$G1893=CARI!$C$7),OR(CARI!$C$8="",$T1893=CARI!$C$8)),MAX($Z$3:Z1892)+1,""))</f>
        <v/>
      </c>
      <c r="AA1893" s="40" t="str">
        <f aca="false">IF($Y1893="","",MAX($AA$3:AA1892)+1)</f>
        <v/>
      </c>
      <c r="AB1893" s="40" t="str">
        <f aca="false">IF($F1893="","",$F1893&amp;"#"&amp;COUNTIF($F$4:$F1893,$F1893))</f>
        <v/>
      </c>
      <c r="AC1893" s="40" t="str">
        <f aca="false">IF($B1893="","",IF(AND(OR(CETAK!$J$10="",$F1893=CETAK!$J$10),OR(CETAK!$J$11="",$G1893=CETAK!$J$11),OR(CETAK!$J$12="",$P1893=CETAK!$J$12),OR(CETAK!$J$13="",$N1893=CETAK!$J$13),OR(CETAK!$J$14="",$T1893=CETAK!$J$14)),MAX($AC$3:AC1892)+1,""))</f>
        <v/>
      </c>
      <c r="AD1893" s="40" t="str">
        <f aca="false">IF($B1893="","",IF(AND(OR(ABSENSI!$H$10="",$F1893=ABSENSI!$H$10),OR(ABSENSI!$H$11="",$G1893=ABSENSI!$H$11),OR(ABSENSI!$H$12="",$P1893=ABSENSI!$H$12)),MAX($AD$3:AD1892)+1,""))</f>
        <v/>
      </c>
      <c r="AE1893" s="40" t="str">
        <f aca="false">IF($B1893="","",IF(AND(OR(KARTU!$K$6="",$F1893=KARTU!$K$6),OR(KARTU!$K$7="",$G1893=KARTU!$K$7),OR(KARTU!$K$8="",$P1893=KARTU!$K$8)),MAX($AE$3:AE1892)+1,""))</f>
        <v/>
      </c>
    </row>
    <row r="1894" customFormat="false" ht="15" hidden="false" customHeight="false" outlineLevel="0" collapsed="false">
      <c r="A1894" s="35" t="str">
        <f aca="false">IF($B1894="","",COUNTA($B$4:$B1894))</f>
        <v/>
      </c>
      <c r="B1894" s="36"/>
      <c r="C1894" s="37"/>
      <c r="D1894" s="37"/>
      <c r="E1894" s="38"/>
      <c r="F1894" s="36"/>
      <c r="G1894" s="39"/>
      <c r="H1894" s="39"/>
      <c r="I1894" s="36"/>
      <c r="J1894" s="36"/>
      <c r="K1894" s="36"/>
      <c r="L1894" s="36"/>
      <c r="M1894" s="40" t="str">
        <f aca="false">IF($F1894="","",$F1894&amp;IF($G1894="",""," - RT "&amp;$G1894&amp;IF($H1894="","","/"&amp;$H1894)))</f>
        <v/>
      </c>
      <c r="N1894" s="36"/>
      <c r="O1894" s="37"/>
      <c r="P1894" s="39"/>
      <c r="Q1894" s="41"/>
      <c r="R1894" s="35" t="str">
        <f aca="true">IF(OR($B1894="",$Q1894=""),"",DATEDIF($Q1894,TODAY(),"Y"))</f>
        <v/>
      </c>
      <c r="S1894" s="40" t="str">
        <f aca="false">IF($R1894="","",INDEX(usia_label,MATCH($R1894,usia_min,1)))</f>
        <v/>
      </c>
      <c r="T1894" s="36"/>
      <c r="U1894" s="41"/>
      <c r="V1894" s="36"/>
      <c r="W1894" s="36"/>
      <c r="X1894" s="40" t="str">
        <f aca="false">IF($M1894="","",$M1894&amp;"#"&amp;COUNTIF($M$4:$M1894,$M1894))</f>
        <v/>
      </c>
      <c r="Y1894" s="40" t="str">
        <f aca="false">IF($B1894="","",IF($C1894="","NIK kosong",IF(LEN($C1894)&lt;&gt;16,"NIK bukan 16 digit",IF(COUNTIF($C$4:$C$2003,$C1894&amp;"*")&gt;1,"NIK ganda",IF(AND($D1894&lt;&gt;"",LEN($D1894)&lt;&gt;16),"No. KK bukan 16 digit",IF(AND($F1894="",$I1894=""),"Alamat kosong",IF($N1894="","Jabatan kosong",IF($O1894="","No. HP kosong",IF(AND($R1894&lt;&gt;"",$R1894&lt;17),"Usia di bawah 17","")))))))))</f>
        <v/>
      </c>
      <c r="Z1894" s="40" t="str">
        <f aca="false">IF($B1894="","",IF(AND(OR(CARI!$C$5="",ISNUMBER(SEARCH(CARI!$C$5,$B1894&amp;" "&amp;$C1894&amp;" "&amp;$D1894&amp;" "&amp;$O1894&amp;" "&amp;$I1894&amp;" "&amp;$F1894&amp;" "&amp;$J1894&amp;" "&amp;$K1894&amp;" "&amp;$L1894&amp;" "&amp;$V1894))),OR(CARI!$C$6="",$F1894=CARI!$C$6),OR(CARI!$C$7="",$G1894=CARI!$C$7),OR(CARI!$C$8="",$T1894=CARI!$C$8)),MAX($Z$3:Z1893)+1,""))</f>
        <v/>
      </c>
      <c r="AA1894" s="40" t="str">
        <f aca="false">IF($Y1894="","",MAX($AA$3:AA1893)+1)</f>
        <v/>
      </c>
      <c r="AB1894" s="40" t="str">
        <f aca="false">IF($F1894="","",$F1894&amp;"#"&amp;COUNTIF($F$4:$F1894,$F1894))</f>
        <v/>
      </c>
      <c r="AC1894" s="40" t="str">
        <f aca="false">IF($B1894="","",IF(AND(OR(CETAK!$J$10="",$F1894=CETAK!$J$10),OR(CETAK!$J$11="",$G1894=CETAK!$J$11),OR(CETAK!$J$12="",$P1894=CETAK!$J$12),OR(CETAK!$J$13="",$N1894=CETAK!$J$13),OR(CETAK!$J$14="",$T1894=CETAK!$J$14)),MAX($AC$3:AC1893)+1,""))</f>
        <v/>
      </c>
      <c r="AD1894" s="40" t="str">
        <f aca="false">IF($B1894="","",IF(AND(OR(ABSENSI!$H$10="",$F1894=ABSENSI!$H$10),OR(ABSENSI!$H$11="",$G1894=ABSENSI!$H$11),OR(ABSENSI!$H$12="",$P1894=ABSENSI!$H$12)),MAX($AD$3:AD1893)+1,""))</f>
        <v/>
      </c>
      <c r="AE1894" s="40" t="str">
        <f aca="false">IF($B1894="","",IF(AND(OR(KARTU!$K$6="",$F1894=KARTU!$K$6),OR(KARTU!$K$7="",$G1894=KARTU!$K$7),OR(KARTU!$K$8="",$P1894=KARTU!$K$8)),MAX($AE$3:AE1893)+1,""))</f>
        <v/>
      </c>
    </row>
    <row r="1895" customFormat="false" ht="15" hidden="false" customHeight="false" outlineLevel="0" collapsed="false">
      <c r="A1895" s="35" t="str">
        <f aca="false">IF($B1895="","",COUNTA($B$4:$B1895))</f>
        <v/>
      </c>
      <c r="B1895" s="36"/>
      <c r="C1895" s="37"/>
      <c r="D1895" s="37"/>
      <c r="E1895" s="38"/>
      <c r="F1895" s="36"/>
      <c r="G1895" s="39"/>
      <c r="H1895" s="39"/>
      <c r="I1895" s="36"/>
      <c r="J1895" s="36"/>
      <c r="K1895" s="36"/>
      <c r="L1895" s="36"/>
      <c r="M1895" s="40" t="str">
        <f aca="false">IF($F1895="","",$F1895&amp;IF($G1895="",""," - RT "&amp;$G1895&amp;IF($H1895="","","/"&amp;$H1895)))</f>
        <v/>
      </c>
      <c r="N1895" s="36"/>
      <c r="O1895" s="37"/>
      <c r="P1895" s="39"/>
      <c r="Q1895" s="41"/>
      <c r="R1895" s="35" t="str">
        <f aca="true">IF(OR($B1895="",$Q1895=""),"",DATEDIF($Q1895,TODAY(),"Y"))</f>
        <v/>
      </c>
      <c r="S1895" s="40" t="str">
        <f aca="false">IF($R1895="","",INDEX(usia_label,MATCH($R1895,usia_min,1)))</f>
        <v/>
      </c>
      <c r="T1895" s="36"/>
      <c r="U1895" s="41"/>
      <c r="V1895" s="36"/>
      <c r="W1895" s="36"/>
      <c r="X1895" s="40" t="str">
        <f aca="false">IF($M1895="","",$M1895&amp;"#"&amp;COUNTIF($M$4:$M1895,$M1895))</f>
        <v/>
      </c>
      <c r="Y1895" s="40" t="str">
        <f aca="false">IF($B1895="","",IF($C1895="","NIK kosong",IF(LEN($C1895)&lt;&gt;16,"NIK bukan 16 digit",IF(COUNTIF($C$4:$C$2003,$C1895&amp;"*")&gt;1,"NIK ganda",IF(AND($D1895&lt;&gt;"",LEN($D1895)&lt;&gt;16),"No. KK bukan 16 digit",IF(AND($F1895="",$I1895=""),"Alamat kosong",IF($N1895="","Jabatan kosong",IF($O1895="","No. HP kosong",IF(AND($R1895&lt;&gt;"",$R1895&lt;17),"Usia di bawah 17","")))))))))</f>
        <v/>
      </c>
      <c r="Z1895" s="40" t="str">
        <f aca="false">IF($B1895="","",IF(AND(OR(CARI!$C$5="",ISNUMBER(SEARCH(CARI!$C$5,$B1895&amp;" "&amp;$C1895&amp;" "&amp;$D1895&amp;" "&amp;$O1895&amp;" "&amp;$I1895&amp;" "&amp;$F1895&amp;" "&amp;$J1895&amp;" "&amp;$K1895&amp;" "&amp;$L1895&amp;" "&amp;$V1895))),OR(CARI!$C$6="",$F1895=CARI!$C$6),OR(CARI!$C$7="",$G1895=CARI!$C$7),OR(CARI!$C$8="",$T1895=CARI!$C$8)),MAX($Z$3:Z1894)+1,""))</f>
        <v/>
      </c>
      <c r="AA1895" s="40" t="str">
        <f aca="false">IF($Y1895="","",MAX($AA$3:AA1894)+1)</f>
        <v/>
      </c>
      <c r="AB1895" s="40" t="str">
        <f aca="false">IF($F1895="","",$F1895&amp;"#"&amp;COUNTIF($F$4:$F1895,$F1895))</f>
        <v/>
      </c>
      <c r="AC1895" s="40" t="str">
        <f aca="false">IF($B1895="","",IF(AND(OR(CETAK!$J$10="",$F1895=CETAK!$J$10),OR(CETAK!$J$11="",$G1895=CETAK!$J$11),OR(CETAK!$J$12="",$P1895=CETAK!$J$12),OR(CETAK!$J$13="",$N1895=CETAK!$J$13),OR(CETAK!$J$14="",$T1895=CETAK!$J$14)),MAX($AC$3:AC1894)+1,""))</f>
        <v/>
      </c>
      <c r="AD1895" s="40" t="str">
        <f aca="false">IF($B1895="","",IF(AND(OR(ABSENSI!$H$10="",$F1895=ABSENSI!$H$10),OR(ABSENSI!$H$11="",$G1895=ABSENSI!$H$11),OR(ABSENSI!$H$12="",$P1895=ABSENSI!$H$12)),MAX($AD$3:AD1894)+1,""))</f>
        <v/>
      </c>
      <c r="AE1895" s="40" t="str">
        <f aca="false">IF($B1895="","",IF(AND(OR(KARTU!$K$6="",$F1895=KARTU!$K$6),OR(KARTU!$K$7="",$G1895=KARTU!$K$7),OR(KARTU!$K$8="",$P1895=KARTU!$K$8)),MAX($AE$3:AE1894)+1,""))</f>
        <v/>
      </c>
    </row>
    <row r="1896" customFormat="false" ht="15" hidden="false" customHeight="false" outlineLevel="0" collapsed="false">
      <c r="A1896" s="35" t="str">
        <f aca="false">IF($B1896="","",COUNTA($B$4:$B1896))</f>
        <v/>
      </c>
      <c r="B1896" s="36"/>
      <c r="C1896" s="37"/>
      <c r="D1896" s="37"/>
      <c r="E1896" s="38"/>
      <c r="F1896" s="36"/>
      <c r="G1896" s="39"/>
      <c r="H1896" s="39"/>
      <c r="I1896" s="36"/>
      <c r="J1896" s="36"/>
      <c r="K1896" s="36"/>
      <c r="L1896" s="36"/>
      <c r="M1896" s="40" t="str">
        <f aca="false">IF($F1896="","",$F1896&amp;IF($G1896="",""," - RT "&amp;$G1896&amp;IF($H1896="","","/"&amp;$H1896)))</f>
        <v/>
      </c>
      <c r="N1896" s="36"/>
      <c r="O1896" s="37"/>
      <c r="P1896" s="39"/>
      <c r="Q1896" s="41"/>
      <c r="R1896" s="35" t="str">
        <f aca="true">IF(OR($B1896="",$Q1896=""),"",DATEDIF($Q1896,TODAY(),"Y"))</f>
        <v/>
      </c>
      <c r="S1896" s="40" t="str">
        <f aca="false">IF($R1896="","",INDEX(usia_label,MATCH($R1896,usia_min,1)))</f>
        <v/>
      </c>
      <c r="T1896" s="36"/>
      <c r="U1896" s="41"/>
      <c r="V1896" s="36"/>
      <c r="W1896" s="36"/>
      <c r="X1896" s="40" t="str">
        <f aca="false">IF($M1896="","",$M1896&amp;"#"&amp;COUNTIF($M$4:$M1896,$M1896))</f>
        <v/>
      </c>
      <c r="Y1896" s="40" t="str">
        <f aca="false">IF($B1896="","",IF($C1896="","NIK kosong",IF(LEN($C1896)&lt;&gt;16,"NIK bukan 16 digit",IF(COUNTIF($C$4:$C$2003,$C1896&amp;"*")&gt;1,"NIK ganda",IF(AND($D1896&lt;&gt;"",LEN($D1896)&lt;&gt;16),"No. KK bukan 16 digit",IF(AND($F1896="",$I1896=""),"Alamat kosong",IF($N1896="","Jabatan kosong",IF($O1896="","No. HP kosong",IF(AND($R1896&lt;&gt;"",$R1896&lt;17),"Usia di bawah 17","")))))))))</f>
        <v/>
      </c>
      <c r="Z1896" s="40" t="str">
        <f aca="false">IF($B1896="","",IF(AND(OR(CARI!$C$5="",ISNUMBER(SEARCH(CARI!$C$5,$B1896&amp;" "&amp;$C1896&amp;" "&amp;$D1896&amp;" "&amp;$O1896&amp;" "&amp;$I1896&amp;" "&amp;$F1896&amp;" "&amp;$J1896&amp;" "&amp;$K1896&amp;" "&amp;$L1896&amp;" "&amp;$V1896))),OR(CARI!$C$6="",$F1896=CARI!$C$6),OR(CARI!$C$7="",$G1896=CARI!$C$7),OR(CARI!$C$8="",$T1896=CARI!$C$8)),MAX($Z$3:Z1895)+1,""))</f>
        <v/>
      </c>
      <c r="AA1896" s="40" t="str">
        <f aca="false">IF($Y1896="","",MAX($AA$3:AA1895)+1)</f>
        <v/>
      </c>
      <c r="AB1896" s="40" t="str">
        <f aca="false">IF($F1896="","",$F1896&amp;"#"&amp;COUNTIF($F$4:$F1896,$F1896))</f>
        <v/>
      </c>
      <c r="AC1896" s="40" t="str">
        <f aca="false">IF($B1896="","",IF(AND(OR(CETAK!$J$10="",$F1896=CETAK!$J$10),OR(CETAK!$J$11="",$G1896=CETAK!$J$11),OR(CETAK!$J$12="",$P1896=CETAK!$J$12),OR(CETAK!$J$13="",$N1896=CETAK!$J$13),OR(CETAK!$J$14="",$T1896=CETAK!$J$14)),MAX($AC$3:AC1895)+1,""))</f>
        <v/>
      </c>
      <c r="AD1896" s="40" t="str">
        <f aca="false">IF($B1896="","",IF(AND(OR(ABSENSI!$H$10="",$F1896=ABSENSI!$H$10),OR(ABSENSI!$H$11="",$G1896=ABSENSI!$H$11),OR(ABSENSI!$H$12="",$P1896=ABSENSI!$H$12)),MAX($AD$3:AD1895)+1,""))</f>
        <v/>
      </c>
      <c r="AE1896" s="40" t="str">
        <f aca="false">IF($B1896="","",IF(AND(OR(KARTU!$K$6="",$F1896=KARTU!$K$6),OR(KARTU!$K$7="",$G1896=KARTU!$K$7),OR(KARTU!$K$8="",$P1896=KARTU!$K$8)),MAX($AE$3:AE1895)+1,""))</f>
        <v/>
      </c>
    </row>
    <row r="1897" customFormat="false" ht="15" hidden="false" customHeight="false" outlineLevel="0" collapsed="false">
      <c r="A1897" s="35" t="str">
        <f aca="false">IF($B1897="","",COUNTA($B$4:$B1897))</f>
        <v/>
      </c>
      <c r="B1897" s="36"/>
      <c r="C1897" s="37"/>
      <c r="D1897" s="37"/>
      <c r="E1897" s="38"/>
      <c r="F1897" s="36"/>
      <c r="G1897" s="39"/>
      <c r="H1897" s="39"/>
      <c r="I1897" s="36"/>
      <c r="J1897" s="36"/>
      <c r="K1897" s="36"/>
      <c r="L1897" s="36"/>
      <c r="M1897" s="40" t="str">
        <f aca="false">IF($F1897="","",$F1897&amp;IF($G1897="",""," - RT "&amp;$G1897&amp;IF($H1897="","","/"&amp;$H1897)))</f>
        <v/>
      </c>
      <c r="N1897" s="36"/>
      <c r="O1897" s="37"/>
      <c r="P1897" s="39"/>
      <c r="Q1897" s="41"/>
      <c r="R1897" s="35" t="str">
        <f aca="true">IF(OR($B1897="",$Q1897=""),"",DATEDIF($Q1897,TODAY(),"Y"))</f>
        <v/>
      </c>
      <c r="S1897" s="40" t="str">
        <f aca="false">IF($R1897="","",INDEX(usia_label,MATCH($R1897,usia_min,1)))</f>
        <v/>
      </c>
      <c r="T1897" s="36"/>
      <c r="U1897" s="41"/>
      <c r="V1897" s="36"/>
      <c r="W1897" s="36"/>
      <c r="X1897" s="40" t="str">
        <f aca="false">IF($M1897="","",$M1897&amp;"#"&amp;COUNTIF($M$4:$M1897,$M1897))</f>
        <v/>
      </c>
      <c r="Y1897" s="40" t="str">
        <f aca="false">IF($B1897="","",IF($C1897="","NIK kosong",IF(LEN($C1897)&lt;&gt;16,"NIK bukan 16 digit",IF(COUNTIF($C$4:$C$2003,$C1897&amp;"*")&gt;1,"NIK ganda",IF(AND($D1897&lt;&gt;"",LEN($D1897)&lt;&gt;16),"No. KK bukan 16 digit",IF(AND($F1897="",$I1897=""),"Alamat kosong",IF($N1897="","Jabatan kosong",IF($O1897="","No. HP kosong",IF(AND($R1897&lt;&gt;"",$R1897&lt;17),"Usia di bawah 17","")))))))))</f>
        <v/>
      </c>
      <c r="Z1897" s="40" t="str">
        <f aca="false">IF($B1897="","",IF(AND(OR(CARI!$C$5="",ISNUMBER(SEARCH(CARI!$C$5,$B1897&amp;" "&amp;$C1897&amp;" "&amp;$D1897&amp;" "&amp;$O1897&amp;" "&amp;$I1897&amp;" "&amp;$F1897&amp;" "&amp;$J1897&amp;" "&amp;$K1897&amp;" "&amp;$L1897&amp;" "&amp;$V1897))),OR(CARI!$C$6="",$F1897=CARI!$C$6),OR(CARI!$C$7="",$G1897=CARI!$C$7),OR(CARI!$C$8="",$T1897=CARI!$C$8)),MAX($Z$3:Z1896)+1,""))</f>
        <v/>
      </c>
      <c r="AA1897" s="40" t="str">
        <f aca="false">IF($Y1897="","",MAX($AA$3:AA1896)+1)</f>
        <v/>
      </c>
      <c r="AB1897" s="40" t="str">
        <f aca="false">IF($F1897="","",$F1897&amp;"#"&amp;COUNTIF($F$4:$F1897,$F1897))</f>
        <v/>
      </c>
      <c r="AC1897" s="40" t="str">
        <f aca="false">IF($B1897="","",IF(AND(OR(CETAK!$J$10="",$F1897=CETAK!$J$10),OR(CETAK!$J$11="",$G1897=CETAK!$J$11),OR(CETAK!$J$12="",$P1897=CETAK!$J$12),OR(CETAK!$J$13="",$N1897=CETAK!$J$13),OR(CETAK!$J$14="",$T1897=CETAK!$J$14)),MAX($AC$3:AC1896)+1,""))</f>
        <v/>
      </c>
      <c r="AD1897" s="40" t="str">
        <f aca="false">IF($B1897="","",IF(AND(OR(ABSENSI!$H$10="",$F1897=ABSENSI!$H$10),OR(ABSENSI!$H$11="",$G1897=ABSENSI!$H$11),OR(ABSENSI!$H$12="",$P1897=ABSENSI!$H$12)),MAX($AD$3:AD1896)+1,""))</f>
        <v/>
      </c>
      <c r="AE1897" s="40" t="str">
        <f aca="false">IF($B1897="","",IF(AND(OR(KARTU!$K$6="",$F1897=KARTU!$K$6),OR(KARTU!$K$7="",$G1897=KARTU!$K$7),OR(KARTU!$K$8="",$P1897=KARTU!$K$8)),MAX($AE$3:AE1896)+1,""))</f>
        <v/>
      </c>
    </row>
    <row r="1898" customFormat="false" ht="15" hidden="false" customHeight="false" outlineLevel="0" collapsed="false">
      <c r="A1898" s="35" t="str">
        <f aca="false">IF($B1898="","",COUNTA($B$4:$B1898))</f>
        <v/>
      </c>
      <c r="B1898" s="36"/>
      <c r="C1898" s="37"/>
      <c r="D1898" s="37"/>
      <c r="E1898" s="38"/>
      <c r="F1898" s="36"/>
      <c r="G1898" s="39"/>
      <c r="H1898" s="39"/>
      <c r="I1898" s="36"/>
      <c r="J1898" s="36"/>
      <c r="K1898" s="36"/>
      <c r="L1898" s="36"/>
      <c r="M1898" s="40" t="str">
        <f aca="false">IF($F1898="","",$F1898&amp;IF($G1898="",""," - RT "&amp;$G1898&amp;IF($H1898="","","/"&amp;$H1898)))</f>
        <v/>
      </c>
      <c r="N1898" s="36"/>
      <c r="O1898" s="37"/>
      <c r="P1898" s="39"/>
      <c r="Q1898" s="41"/>
      <c r="R1898" s="35" t="str">
        <f aca="true">IF(OR($B1898="",$Q1898=""),"",DATEDIF($Q1898,TODAY(),"Y"))</f>
        <v/>
      </c>
      <c r="S1898" s="40" t="str">
        <f aca="false">IF($R1898="","",INDEX(usia_label,MATCH($R1898,usia_min,1)))</f>
        <v/>
      </c>
      <c r="T1898" s="36"/>
      <c r="U1898" s="41"/>
      <c r="V1898" s="36"/>
      <c r="W1898" s="36"/>
      <c r="X1898" s="40" t="str">
        <f aca="false">IF($M1898="","",$M1898&amp;"#"&amp;COUNTIF($M$4:$M1898,$M1898))</f>
        <v/>
      </c>
      <c r="Y1898" s="40" t="str">
        <f aca="false">IF($B1898="","",IF($C1898="","NIK kosong",IF(LEN($C1898)&lt;&gt;16,"NIK bukan 16 digit",IF(COUNTIF($C$4:$C$2003,$C1898&amp;"*")&gt;1,"NIK ganda",IF(AND($D1898&lt;&gt;"",LEN($D1898)&lt;&gt;16),"No. KK bukan 16 digit",IF(AND($F1898="",$I1898=""),"Alamat kosong",IF($N1898="","Jabatan kosong",IF($O1898="","No. HP kosong",IF(AND($R1898&lt;&gt;"",$R1898&lt;17),"Usia di bawah 17","")))))))))</f>
        <v/>
      </c>
      <c r="Z1898" s="40" t="str">
        <f aca="false">IF($B1898="","",IF(AND(OR(CARI!$C$5="",ISNUMBER(SEARCH(CARI!$C$5,$B1898&amp;" "&amp;$C1898&amp;" "&amp;$D1898&amp;" "&amp;$O1898&amp;" "&amp;$I1898&amp;" "&amp;$F1898&amp;" "&amp;$J1898&amp;" "&amp;$K1898&amp;" "&amp;$L1898&amp;" "&amp;$V1898))),OR(CARI!$C$6="",$F1898=CARI!$C$6),OR(CARI!$C$7="",$G1898=CARI!$C$7),OR(CARI!$C$8="",$T1898=CARI!$C$8)),MAX($Z$3:Z1897)+1,""))</f>
        <v/>
      </c>
      <c r="AA1898" s="40" t="str">
        <f aca="false">IF($Y1898="","",MAX($AA$3:AA1897)+1)</f>
        <v/>
      </c>
      <c r="AB1898" s="40" t="str">
        <f aca="false">IF($F1898="","",$F1898&amp;"#"&amp;COUNTIF($F$4:$F1898,$F1898))</f>
        <v/>
      </c>
      <c r="AC1898" s="40" t="str">
        <f aca="false">IF($B1898="","",IF(AND(OR(CETAK!$J$10="",$F1898=CETAK!$J$10),OR(CETAK!$J$11="",$G1898=CETAK!$J$11),OR(CETAK!$J$12="",$P1898=CETAK!$J$12),OR(CETAK!$J$13="",$N1898=CETAK!$J$13),OR(CETAK!$J$14="",$T1898=CETAK!$J$14)),MAX($AC$3:AC1897)+1,""))</f>
        <v/>
      </c>
      <c r="AD1898" s="40" t="str">
        <f aca="false">IF($B1898="","",IF(AND(OR(ABSENSI!$H$10="",$F1898=ABSENSI!$H$10),OR(ABSENSI!$H$11="",$G1898=ABSENSI!$H$11),OR(ABSENSI!$H$12="",$P1898=ABSENSI!$H$12)),MAX($AD$3:AD1897)+1,""))</f>
        <v/>
      </c>
      <c r="AE1898" s="40" t="str">
        <f aca="false">IF($B1898="","",IF(AND(OR(KARTU!$K$6="",$F1898=KARTU!$K$6),OR(KARTU!$K$7="",$G1898=KARTU!$K$7),OR(KARTU!$K$8="",$P1898=KARTU!$K$8)),MAX($AE$3:AE1897)+1,""))</f>
        <v/>
      </c>
    </row>
    <row r="1899" customFormat="false" ht="15" hidden="false" customHeight="false" outlineLevel="0" collapsed="false">
      <c r="A1899" s="35" t="str">
        <f aca="false">IF($B1899="","",COUNTA($B$4:$B1899))</f>
        <v/>
      </c>
      <c r="B1899" s="36"/>
      <c r="C1899" s="37"/>
      <c r="D1899" s="37"/>
      <c r="E1899" s="38"/>
      <c r="F1899" s="36"/>
      <c r="G1899" s="39"/>
      <c r="H1899" s="39"/>
      <c r="I1899" s="36"/>
      <c r="J1899" s="36"/>
      <c r="K1899" s="36"/>
      <c r="L1899" s="36"/>
      <c r="M1899" s="40" t="str">
        <f aca="false">IF($F1899="","",$F1899&amp;IF($G1899="",""," - RT "&amp;$G1899&amp;IF($H1899="","","/"&amp;$H1899)))</f>
        <v/>
      </c>
      <c r="N1899" s="36"/>
      <c r="O1899" s="37"/>
      <c r="P1899" s="39"/>
      <c r="Q1899" s="41"/>
      <c r="R1899" s="35" t="str">
        <f aca="true">IF(OR($B1899="",$Q1899=""),"",DATEDIF($Q1899,TODAY(),"Y"))</f>
        <v/>
      </c>
      <c r="S1899" s="40" t="str">
        <f aca="false">IF($R1899="","",INDEX(usia_label,MATCH($R1899,usia_min,1)))</f>
        <v/>
      </c>
      <c r="T1899" s="36"/>
      <c r="U1899" s="41"/>
      <c r="V1899" s="36"/>
      <c r="W1899" s="36"/>
      <c r="X1899" s="40" t="str">
        <f aca="false">IF($M1899="","",$M1899&amp;"#"&amp;COUNTIF($M$4:$M1899,$M1899))</f>
        <v/>
      </c>
      <c r="Y1899" s="40" t="str">
        <f aca="false">IF($B1899="","",IF($C1899="","NIK kosong",IF(LEN($C1899)&lt;&gt;16,"NIK bukan 16 digit",IF(COUNTIF($C$4:$C$2003,$C1899&amp;"*")&gt;1,"NIK ganda",IF(AND($D1899&lt;&gt;"",LEN($D1899)&lt;&gt;16),"No. KK bukan 16 digit",IF(AND($F1899="",$I1899=""),"Alamat kosong",IF($N1899="","Jabatan kosong",IF($O1899="","No. HP kosong",IF(AND($R1899&lt;&gt;"",$R1899&lt;17),"Usia di bawah 17","")))))))))</f>
        <v/>
      </c>
      <c r="Z1899" s="40" t="str">
        <f aca="false">IF($B1899="","",IF(AND(OR(CARI!$C$5="",ISNUMBER(SEARCH(CARI!$C$5,$B1899&amp;" "&amp;$C1899&amp;" "&amp;$D1899&amp;" "&amp;$O1899&amp;" "&amp;$I1899&amp;" "&amp;$F1899&amp;" "&amp;$J1899&amp;" "&amp;$K1899&amp;" "&amp;$L1899&amp;" "&amp;$V1899))),OR(CARI!$C$6="",$F1899=CARI!$C$6),OR(CARI!$C$7="",$G1899=CARI!$C$7),OR(CARI!$C$8="",$T1899=CARI!$C$8)),MAX($Z$3:Z1898)+1,""))</f>
        <v/>
      </c>
      <c r="AA1899" s="40" t="str">
        <f aca="false">IF($Y1899="","",MAX($AA$3:AA1898)+1)</f>
        <v/>
      </c>
      <c r="AB1899" s="40" t="str">
        <f aca="false">IF($F1899="","",$F1899&amp;"#"&amp;COUNTIF($F$4:$F1899,$F1899))</f>
        <v/>
      </c>
      <c r="AC1899" s="40" t="str">
        <f aca="false">IF($B1899="","",IF(AND(OR(CETAK!$J$10="",$F1899=CETAK!$J$10),OR(CETAK!$J$11="",$G1899=CETAK!$J$11),OR(CETAK!$J$12="",$P1899=CETAK!$J$12),OR(CETAK!$J$13="",$N1899=CETAK!$J$13),OR(CETAK!$J$14="",$T1899=CETAK!$J$14)),MAX($AC$3:AC1898)+1,""))</f>
        <v/>
      </c>
      <c r="AD1899" s="40" t="str">
        <f aca="false">IF($B1899="","",IF(AND(OR(ABSENSI!$H$10="",$F1899=ABSENSI!$H$10),OR(ABSENSI!$H$11="",$G1899=ABSENSI!$H$11),OR(ABSENSI!$H$12="",$P1899=ABSENSI!$H$12)),MAX($AD$3:AD1898)+1,""))</f>
        <v/>
      </c>
      <c r="AE1899" s="40" t="str">
        <f aca="false">IF($B1899="","",IF(AND(OR(KARTU!$K$6="",$F1899=KARTU!$K$6),OR(KARTU!$K$7="",$G1899=KARTU!$K$7),OR(KARTU!$K$8="",$P1899=KARTU!$K$8)),MAX($AE$3:AE1898)+1,""))</f>
        <v/>
      </c>
    </row>
    <row r="1900" customFormat="false" ht="15" hidden="false" customHeight="false" outlineLevel="0" collapsed="false">
      <c r="A1900" s="35" t="str">
        <f aca="false">IF($B1900="","",COUNTA($B$4:$B1900))</f>
        <v/>
      </c>
      <c r="B1900" s="36"/>
      <c r="C1900" s="37"/>
      <c r="D1900" s="37"/>
      <c r="E1900" s="38"/>
      <c r="F1900" s="36"/>
      <c r="G1900" s="39"/>
      <c r="H1900" s="39"/>
      <c r="I1900" s="36"/>
      <c r="J1900" s="36"/>
      <c r="K1900" s="36"/>
      <c r="L1900" s="36"/>
      <c r="M1900" s="40" t="str">
        <f aca="false">IF($F1900="","",$F1900&amp;IF($G1900="",""," - RT "&amp;$G1900&amp;IF($H1900="","","/"&amp;$H1900)))</f>
        <v/>
      </c>
      <c r="N1900" s="36"/>
      <c r="O1900" s="37"/>
      <c r="P1900" s="39"/>
      <c r="Q1900" s="41"/>
      <c r="R1900" s="35" t="str">
        <f aca="true">IF(OR($B1900="",$Q1900=""),"",DATEDIF($Q1900,TODAY(),"Y"))</f>
        <v/>
      </c>
      <c r="S1900" s="40" t="str">
        <f aca="false">IF($R1900="","",INDEX(usia_label,MATCH($R1900,usia_min,1)))</f>
        <v/>
      </c>
      <c r="T1900" s="36"/>
      <c r="U1900" s="41"/>
      <c r="V1900" s="36"/>
      <c r="W1900" s="36"/>
      <c r="X1900" s="40" t="str">
        <f aca="false">IF($M1900="","",$M1900&amp;"#"&amp;COUNTIF($M$4:$M1900,$M1900))</f>
        <v/>
      </c>
      <c r="Y1900" s="40" t="str">
        <f aca="false">IF($B1900="","",IF($C1900="","NIK kosong",IF(LEN($C1900)&lt;&gt;16,"NIK bukan 16 digit",IF(COUNTIF($C$4:$C$2003,$C1900&amp;"*")&gt;1,"NIK ganda",IF(AND($D1900&lt;&gt;"",LEN($D1900)&lt;&gt;16),"No. KK bukan 16 digit",IF(AND($F1900="",$I1900=""),"Alamat kosong",IF($N1900="","Jabatan kosong",IF($O1900="","No. HP kosong",IF(AND($R1900&lt;&gt;"",$R1900&lt;17),"Usia di bawah 17","")))))))))</f>
        <v/>
      </c>
      <c r="Z1900" s="40" t="str">
        <f aca="false">IF($B1900="","",IF(AND(OR(CARI!$C$5="",ISNUMBER(SEARCH(CARI!$C$5,$B1900&amp;" "&amp;$C1900&amp;" "&amp;$D1900&amp;" "&amp;$O1900&amp;" "&amp;$I1900&amp;" "&amp;$F1900&amp;" "&amp;$J1900&amp;" "&amp;$K1900&amp;" "&amp;$L1900&amp;" "&amp;$V1900))),OR(CARI!$C$6="",$F1900=CARI!$C$6),OR(CARI!$C$7="",$G1900=CARI!$C$7),OR(CARI!$C$8="",$T1900=CARI!$C$8)),MAX($Z$3:Z1899)+1,""))</f>
        <v/>
      </c>
      <c r="AA1900" s="40" t="str">
        <f aca="false">IF($Y1900="","",MAX($AA$3:AA1899)+1)</f>
        <v/>
      </c>
      <c r="AB1900" s="40" t="str">
        <f aca="false">IF($F1900="","",$F1900&amp;"#"&amp;COUNTIF($F$4:$F1900,$F1900))</f>
        <v/>
      </c>
      <c r="AC1900" s="40" t="str">
        <f aca="false">IF($B1900="","",IF(AND(OR(CETAK!$J$10="",$F1900=CETAK!$J$10),OR(CETAK!$J$11="",$G1900=CETAK!$J$11),OR(CETAK!$J$12="",$P1900=CETAK!$J$12),OR(CETAK!$J$13="",$N1900=CETAK!$J$13),OR(CETAK!$J$14="",$T1900=CETAK!$J$14)),MAX($AC$3:AC1899)+1,""))</f>
        <v/>
      </c>
      <c r="AD1900" s="40" t="str">
        <f aca="false">IF($B1900="","",IF(AND(OR(ABSENSI!$H$10="",$F1900=ABSENSI!$H$10),OR(ABSENSI!$H$11="",$G1900=ABSENSI!$H$11),OR(ABSENSI!$H$12="",$P1900=ABSENSI!$H$12)),MAX($AD$3:AD1899)+1,""))</f>
        <v/>
      </c>
      <c r="AE1900" s="40" t="str">
        <f aca="false">IF($B1900="","",IF(AND(OR(KARTU!$K$6="",$F1900=KARTU!$K$6),OR(KARTU!$K$7="",$G1900=KARTU!$K$7),OR(KARTU!$K$8="",$P1900=KARTU!$K$8)),MAX($AE$3:AE1899)+1,""))</f>
        <v/>
      </c>
    </row>
    <row r="1901" customFormat="false" ht="15" hidden="false" customHeight="false" outlineLevel="0" collapsed="false">
      <c r="A1901" s="35" t="str">
        <f aca="false">IF($B1901="","",COUNTA($B$4:$B1901))</f>
        <v/>
      </c>
      <c r="B1901" s="36"/>
      <c r="C1901" s="37"/>
      <c r="D1901" s="37"/>
      <c r="E1901" s="38"/>
      <c r="F1901" s="36"/>
      <c r="G1901" s="39"/>
      <c r="H1901" s="39"/>
      <c r="I1901" s="36"/>
      <c r="J1901" s="36"/>
      <c r="K1901" s="36"/>
      <c r="L1901" s="36"/>
      <c r="M1901" s="40" t="str">
        <f aca="false">IF($F1901="","",$F1901&amp;IF($G1901="",""," - RT "&amp;$G1901&amp;IF($H1901="","","/"&amp;$H1901)))</f>
        <v/>
      </c>
      <c r="N1901" s="36"/>
      <c r="O1901" s="37"/>
      <c r="P1901" s="39"/>
      <c r="Q1901" s="41"/>
      <c r="R1901" s="35" t="str">
        <f aca="true">IF(OR($B1901="",$Q1901=""),"",DATEDIF($Q1901,TODAY(),"Y"))</f>
        <v/>
      </c>
      <c r="S1901" s="40" t="str">
        <f aca="false">IF($R1901="","",INDEX(usia_label,MATCH($R1901,usia_min,1)))</f>
        <v/>
      </c>
      <c r="T1901" s="36"/>
      <c r="U1901" s="41"/>
      <c r="V1901" s="36"/>
      <c r="W1901" s="36"/>
      <c r="X1901" s="40" t="str">
        <f aca="false">IF($M1901="","",$M1901&amp;"#"&amp;COUNTIF($M$4:$M1901,$M1901))</f>
        <v/>
      </c>
      <c r="Y1901" s="40" t="str">
        <f aca="false">IF($B1901="","",IF($C1901="","NIK kosong",IF(LEN($C1901)&lt;&gt;16,"NIK bukan 16 digit",IF(COUNTIF($C$4:$C$2003,$C1901&amp;"*")&gt;1,"NIK ganda",IF(AND($D1901&lt;&gt;"",LEN($D1901)&lt;&gt;16),"No. KK bukan 16 digit",IF(AND($F1901="",$I1901=""),"Alamat kosong",IF($N1901="","Jabatan kosong",IF($O1901="","No. HP kosong",IF(AND($R1901&lt;&gt;"",$R1901&lt;17),"Usia di bawah 17","")))))))))</f>
        <v/>
      </c>
      <c r="Z1901" s="40" t="str">
        <f aca="false">IF($B1901="","",IF(AND(OR(CARI!$C$5="",ISNUMBER(SEARCH(CARI!$C$5,$B1901&amp;" "&amp;$C1901&amp;" "&amp;$D1901&amp;" "&amp;$O1901&amp;" "&amp;$I1901&amp;" "&amp;$F1901&amp;" "&amp;$J1901&amp;" "&amp;$K1901&amp;" "&amp;$L1901&amp;" "&amp;$V1901))),OR(CARI!$C$6="",$F1901=CARI!$C$6),OR(CARI!$C$7="",$G1901=CARI!$C$7),OR(CARI!$C$8="",$T1901=CARI!$C$8)),MAX($Z$3:Z1900)+1,""))</f>
        <v/>
      </c>
      <c r="AA1901" s="40" t="str">
        <f aca="false">IF($Y1901="","",MAX($AA$3:AA1900)+1)</f>
        <v/>
      </c>
      <c r="AB1901" s="40" t="str">
        <f aca="false">IF($F1901="","",$F1901&amp;"#"&amp;COUNTIF($F$4:$F1901,$F1901))</f>
        <v/>
      </c>
      <c r="AC1901" s="40" t="str">
        <f aca="false">IF($B1901="","",IF(AND(OR(CETAK!$J$10="",$F1901=CETAK!$J$10),OR(CETAK!$J$11="",$G1901=CETAK!$J$11),OR(CETAK!$J$12="",$P1901=CETAK!$J$12),OR(CETAK!$J$13="",$N1901=CETAK!$J$13),OR(CETAK!$J$14="",$T1901=CETAK!$J$14)),MAX($AC$3:AC1900)+1,""))</f>
        <v/>
      </c>
      <c r="AD1901" s="40" t="str">
        <f aca="false">IF($B1901="","",IF(AND(OR(ABSENSI!$H$10="",$F1901=ABSENSI!$H$10),OR(ABSENSI!$H$11="",$G1901=ABSENSI!$H$11),OR(ABSENSI!$H$12="",$P1901=ABSENSI!$H$12)),MAX($AD$3:AD1900)+1,""))</f>
        <v/>
      </c>
      <c r="AE1901" s="40" t="str">
        <f aca="false">IF($B1901="","",IF(AND(OR(KARTU!$K$6="",$F1901=KARTU!$K$6),OR(KARTU!$K$7="",$G1901=KARTU!$K$7),OR(KARTU!$K$8="",$P1901=KARTU!$K$8)),MAX($AE$3:AE1900)+1,""))</f>
        <v/>
      </c>
    </row>
    <row r="1902" customFormat="false" ht="15" hidden="false" customHeight="false" outlineLevel="0" collapsed="false">
      <c r="A1902" s="35" t="str">
        <f aca="false">IF($B1902="","",COUNTA($B$4:$B1902))</f>
        <v/>
      </c>
      <c r="B1902" s="36"/>
      <c r="C1902" s="37"/>
      <c r="D1902" s="37"/>
      <c r="E1902" s="38"/>
      <c r="F1902" s="36"/>
      <c r="G1902" s="39"/>
      <c r="H1902" s="39"/>
      <c r="I1902" s="36"/>
      <c r="J1902" s="36"/>
      <c r="K1902" s="36"/>
      <c r="L1902" s="36"/>
      <c r="M1902" s="40" t="str">
        <f aca="false">IF($F1902="","",$F1902&amp;IF($G1902="",""," - RT "&amp;$G1902&amp;IF($H1902="","","/"&amp;$H1902)))</f>
        <v/>
      </c>
      <c r="N1902" s="36"/>
      <c r="O1902" s="37"/>
      <c r="P1902" s="39"/>
      <c r="Q1902" s="41"/>
      <c r="R1902" s="35" t="str">
        <f aca="true">IF(OR($B1902="",$Q1902=""),"",DATEDIF($Q1902,TODAY(),"Y"))</f>
        <v/>
      </c>
      <c r="S1902" s="40" t="str">
        <f aca="false">IF($R1902="","",INDEX(usia_label,MATCH($R1902,usia_min,1)))</f>
        <v/>
      </c>
      <c r="T1902" s="36"/>
      <c r="U1902" s="41"/>
      <c r="V1902" s="36"/>
      <c r="W1902" s="36"/>
      <c r="X1902" s="40" t="str">
        <f aca="false">IF($M1902="","",$M1902&amp;"#"&amp;COUNTIF($M$4:$M1902,$M1902))</f>
        <v/>
      </c>
      <c r="Y1902" s="40" t="str">
        <f aca="false">IF($B1902="","",IF($C1902="","NIK kosong",IF(LEN($C1902)&lt;&gt;16,"NIK bukan 16 digit",IF(COUNTIF($C$4:$C$2003,$C1902&amp;"*")&gt;1,"NIK ganda",IF(AND($D1902&lt;&gt;"",LEN($D1902)&lt;&gt;16),"No. KK bukan 16 digit",IF(AND($F1902="",$I1902=""),"Alamat kosong",IF($N1902="","Jabatan kosong",IF($O1902="","No. HP kosong",IF(AND($R1902&lt;&gt;"",$R1902&lt;17),"Usia di bawah 17","")))))))))</f>
        <v/>
      </c>
      <c r="Z1902" s="40" t="str">
        <f aca="false">IF($B1902="","",IF(AND(OR(CARI!$C$5="",ISNUMBER(SEARCH(CARI!$C$5,$B1902&amp;" "&amp;$C1902&amp;" "&amp;$D1902&amp;" "&amp;$O1902&amp;" "&amp;$I1902&amp;" "&amp;$F1902&amp;" "&amp;$J1902&amp;" "&amp;$K1902&amp;" "&amp;$L1902&amp;" "&amp;$V1902))),OR(CARI!$C$6="",$F1902=CARI!$C$6),OR(CARI!$C$7="",$G1902=CARI!$C$7),OR(CARI!$C$8="",$T1902=CARI!$C$8)),MAX($Z$3:Z1901)+1,""))</f>
        <v/>
      </c>
      <c r="AA1902" s="40" t="str">
        <f aca="false">IF($Y1902="","",MAX($AA$3:AA1901)+1)</f>
        <v/>
      </c>
      <c r="AB1902" s="40" t="str">
        <f aca="false">IF($F1902="","",$F1902&amp;"#"&amp;COUNTIF($F$4:$F1902,$F1902))</f>
        <v/>
      </c>
      <c r="AC1902" s="40" t="str">
        <f aca="false">IF($B1902="","",IF(AND(OR(CETAK!$J$10="",$F1902=CETAK!$J$10),OR(CETAK!$J$11="",$G1902=CETAK!$J$11),OR(CETAK!$J$12="",$P1902=CETAK!$J$12),OR(CETAK!$J$13="",$N1902=CETAK!$J$13),OR(CETAK!$J$14="",$T1902=CETAK!$J$14)),MAX($AC$3:AC1901)+1,""))</f>
        <v/>
      </c>
      <c r="AD1902" s="40" t="str">
        <f aca="false">IF($B1902="","",IF(AND(OR(ABSENSI!$H$10="",$F1902=ABSENSI!$H$10),OR(ABSENSI!$H$11="",$G1902=ABSENSI!$H$11),OR(ABSENSI!$H$12="",$P1902=ABSENSI!$H$12)),MAX($AD$3:AD1901)+1,""))</f>
        <v/>
      </c>
      <c r="AE1902" s="40" t="str">
        <f aca="false">IF($B1902="","",IF(AND(OR(KARTU!$K$6="",$F1902=KARTU!$K$6),OR(KARTU!$K$7="",$G1902=KARTU!$K$7),OR(KARTU!$K$8="",$P1902=KARTU!$K$8)),MAX($AE$3:AE1901)+1,""))</f>
        <v/>
      </c>
    </row>
    <row r="1903" customFormat="false" ht="15" hidden="false" customHeight="false" outlineLevel="0" collapsed="false">
      <c r="A1903" s="35" t="str">
        <f aca="false">IF($B1903="","",COUNTA($B$4:$B1903))</f>
        <v/>
      </c>
      <c r="B1903" s="36"/>
      <c r="C1903" s="37"/>
      <c r="D1903" s="37"/>
      <c r="E1903" s="38"/>
      <c r="F1903" s="36"/>
      <c r="G1903" s="39"/>
      <c r="H1903" s="39"/>
      <c r="I1903" s="36"/>
      <c r="J1903" s="36"/>
      <c r="K1903" s="36"/>
      <c r="L1903" s="36"/>
      <c r="M1903" s="40" t="str">
        <f aca="false">IF($F1903="","",$F1903&amp;IF($G1903="",""," - RT "&amp;$G1903&amp;IF($H1903="","","/"&amp;$H1903)))</f>
        <v/>
      </c>
      <c r="N1903" s="36"/>
      <c r="O1903" s="37"/>
      <c r="P1903" s="39"/>
      <c r="Q1903" s="41"/>
      <c r="R1903" s="35" t="str">
        <f aca="true">IF(OR($B1903="",$Q1903=""),"",DATEDIF($Q1903,TODAY(),"Y"))</f>
        <v/>
      </c>
      <c r="S1903" s="40" t="str">
        <f aca="false">IF($R1903="","",INDEX(usia_label,MATCH($R1903,usia_min,1)))</f>
        <v/>
      </c>
      <c r="T1903" s="36"/>
      <c r="U1903" s="41"/>
      <c r="V1903" s="36"/>
      <c r="W1903" s="36"/>
      <c r="X1903" s="40" t="str">
        <f aca="false">IF($M1903="","",$M1903&amp;"#"&amp;COUNTIF($M$4:$M1903,$M1903))</f>
        <v/>
      </c>
      <c r="Y1903" s="40" t="str">
        <f aca="false">IF($B1903="","",IF($C1903="","NIK kosong",IF(LEN($C1903)&lt;&gt;16,"NIK bukan 16 digit",IF(COUNTIF($C$4:$C$2003,$C1903&amp;"*")&gt;1,"NIK ganda",IF(AND($D1903&lt;&gt;"",LEN($D1903)&lt;&gt;16),"No. KK bukan 16 digit",IF(AND($F1903="",$I1903=""),"Alamat kosong",IF($N1903="","Jabatan kosong",IF($O1903="","No. HP kosong",IF(AND($R1903&lt;&gt;"",$R1903&lt;17),"Usia di bawah 17","")))))))))</f>
        <v/>
      </c>
      <c r="Z1903" s="40" t="str">
        <f aca="false">IF($B1903="","",IF(AND(OR(CARI!$C$5="",ISNUMBER(SEARCH(CARI!$C$5,$B1903&amp;" "&amp;$C1903&amp;" "&amp;$D1903&amp;" "&amp;$O1903&amp;" "&amp;$I1903&amp;" "&amp;$F1903&amp;" "&amp;$J1903&amp;" "&amp;$K1903&amp;" "&amp;$L1903&amp;" "&amp;$V1903))),OR(CARI!$C$6="",$F1903=CARI!$C$6),OR(CARI!$C$7="",$G1903=CARI!$C$7),OR(CARI!$C$8="",$T1903=CARI!$C$8)),MAX($Z$3:Z1902)+1,""))</f>
        <v/>
      </c>
      <c r="AA1903" s="40" t="str">
        <f aca="false">IF($Y1903="","",MAX($AA$3:AA1902)+1)</f>
        <v/>
      </c>
      <c r="AB1903" s="40" t="str">
        <f aca="false">IF($F1903="","",$F1903&amp;"#"&amp;COUNTIF($F$4:$F1903,$F1903))</f>
        <v/>
      </c>
      <c r="AC1903" s="40" t="str">
        <f aca="false">IF($B1903="","",IF(AND(OR(CETAK!$J$10="",$F1903=CETAK!$J$10),OR(CETAK!$J$11="",$G1903=CETAK!$J$11),OR(CETAK!$J$12="",$P1903=CETAK!$J$12),OR(CETAK!$J$13="",$N1903=CETAK!$J$13),OR(CETAK!$J$14="",$T1903=CETAK!$J$14)),MAX($AC$3:AC1902)+1,""))</f>
        <v/>
      </c>
      <c r="AD1903" s="40" t="str">
        <f aca="false">IF($B1903="","",IF(AND(OR(ABSENSI!$H$10="",$F1903=ABSENSI!$H$10),OR(ABSENSI!$H$11="",$G1903=ABSENSI!$H$11),OR(ABSENSI!$H$12="",$P1903=ABSENSI!$H$12)),MAX($AD$3:AD1902)+1,""))</f>
        <v/>
      </c>
      <c r="AE1903" s="40" t="str">
        <f aca="false">IF($B1903="","",IF(AND(OR(KARTU!$K$6="",$F1903=KARTU!$K$6),OR(KARTU!$K$7="",$G1903=KARTU!$K$7),OR(KARTU!$K$8="",$P1903=KARTU!$K$8)),MAX($AE$3:AE1902)+1,""))</f>
        <v/>
      </c>
    </row>
    <row r="1904" customFormat="false" ht="15" hidden="false" customHeight="false" outlineLevel="0" collapsed="false">
      <c r="A1904" s="35" t="str">
        <f aca="false">IF($B1904="","",COUNTA($B$4:$B1904))</f>
        <v/>
      </c>
      <c r="B1904" s="36"/>
      <c r="C1904" s="37"/>
      <c r="D1904" s="37"/>
      <c r="E1904" s="38"/>
      <c r="F1904" s="36"/>
      <c r="G1904" s="39"/>
      <c r="H1904" s="39"/>
      <c r="I1904" s="36"/>
      <c r="J1904" s="36"/>
      <c r="K1904" s="36"/>
      <c r="L1904" s="36"/>
      <c r="M1904" s="40" t="str">
        <f aca="false">IF($F1904="","",$F1904&amp;IF($G1904="",""," - RT "&amp;$G1904&amp;IF($H1904="","","/"&amp;$H1904)))</f>
        <v/>
      </c>
      <c r="N1904" s="36"/>
      <c r="O1904" s="37"/>
      <c r="P1904" s="39"/>
      <c r="Q1904" s="41"/>
      <c r="R1904" s="35" t="str">
        <f aca="true">IF(OR($B1904="",$Q1904=""),"",DATEDIF($Q1904,TODAY(),"Y"))</f>
        <v/>
      </c>
      <c r="S1904" s="40" t="str">
        <f aca="false">IF($R1904="","",INDEX(usia_label,MATCH($R1904,usia_min,1)))</f>
        <v/>
      </c>
      <c r="T1904" s="36"/>
      <c r="U1904" s="41"/>
      <c r="V1904" s="36"/>
      <c r="W1904" s="36"/>
      <c r="X1904" s="40" t="str">
        <f aca="false">IF($M1904="","",$M1904&amp;"#"&amp;COUNTIF($M$4:$M1904,$M1904))</f>
        <v/>
      </c>
      <c r="Y1904" s="40" t="str">
        <f aca="false">IF($B1904="","",IF($C1904="","NIK kosong",IF(LEN($C1904)&lt;&gt;16,"NIK bukan 16 digit",IF(COUNTIF($C$4:$C$2003,$C1904&amp;"*")&gt;1,"NIK ganda",IF(AND($D1904&lt;&gt;"",LEN($D1904)&lt;&gt;16),"No. KK bukan 16 digit",IF(AND($F1904="",$I1904=""),"Alamat kosong",IF($N1904="","Jabatan kosong",IF($O1904="","No. HP kosong",IF(AND($R1904&lt;&gt;"",$R1904&lt;17),"Usia di bawah 17","")))))))))</f>
        <v/>
      </c>
      <c r="Z1904" s="40" t="str">
        <f aca="false">IF($B1904="","",IF(AND(OR(CARI!$C$5="",ISNUMBER(SEARCH(CARI!$C$5,$B1904&amp;" "&amp;$C1904&amp;" "&amp;$D1904&amp;" "&amp;$O1904&amp;" "&amp;$I1904&amp;" "&amp;$F1904&amp;" "&amp;$J1904&amp;" "&amp;$K1904&amp;" "&amp;$L1904&amp;" "&amp;$V1904))),OR(CARI!$C$6="",$F1904=CARI!$C$6),OR(CARI!$C$7="",$G1904=CARI!$C$7),OR(CARI!$C$8="",$T1904=CARI!$C$8)),MAX($Z$3:Z1903)+1,""))</f>
        <v/>
      </c>
      <c r="AA1904" s="40" t="str">
        <f aca="false">IF($Y1904="","",MAX($AA$3:AA1903)+1)</f>
        <v/>
      </c>
      <c r="AB1904" s="40" t="str">
        <f aca="false">IF($F1904="","",$F1904&amp;"#"&amp;COUNTIF($F$4:$F1904,$F1904))</f>
        <v/>
      </c>
      <c r="AC1904" s="40" t="str">
        <f aca="false">IF($B1904="","",IF(AND(OR(CETAK!$J$10="",$F1904=CETAK!$J$10),OR(CETAK!$J$11="",$G1904=CETAK!$J$11),OR(CETAK!$J$12="",$P1904=CETAK!$J$12),OR(CETAK!$J$13="",$N1904=CETAK!$J$13),OR(CETAK!$J$14="",$T1904=CETAK!$J$14)),MAX($AC$3:AC1903)+1,""))</f>
        <v/>
      </c>
      <c r="AD1904" s="40" t="str">
        <f aca="false">IF($B1904="","",IF(AND(OR(ABSENSI!$H$10="",$F1904=ABSENSI!$H$10),OR(ABSENSI!$H$11="",$G1904=ABSENSI!$H$11),OR(ABSENSI!$H$12="",$P1904=ABSENSI!$H$12)),MAX($AD$3:AD1903)+1,""))</f>
        <v/>
      </c>
      <c r="AE1904" s="40" t="str">
        <f aca="false">IF($B1904="","",IF(AND(OR(KARTU!$K$6="",$F1904=KARTU!$K$6),OR(KARTU!$K$7="",$G1904=KARTU!$K$7),OR(KARTU!$K$8="",$P1904=KARTU!$K$8)),MAX($AE$3:AE1903)+1,""))</f>
        <v/>
      </c>
    </row>
    <row r="1905" customFormat="false" ht="15" hidden="false" customHeight="false" outlineLevel="0" collapsed="false">
      <c r="A1905" s="35" t="str">
        <f aca="false">IF($B1905="","",COUNTA($B$4:$B1905))</f>
        <v/>
      </c>
      <c r="B1905" s="36"/>
      <c r="C1905" s="37"/>
      <c r="D1905" s="37"/>
      <c r="E1905" s="38"/>
      <c r="F1905" s="36"/>
      <c r="G1905" s="39"/>
      <c r="H1905" s="39"/>
      <c r="I1905" s="36"/>
      <c r="J1905" s="36"/>
      <c r="K1905" s="36"/>
      <c r="L1905" s="36"/>
      <c r="M1905" s="40" t="str">
        <f aca="false">IF($F1905="","",$F1905&amp;IF($G1905="",""," - RT "&amp;$G1905&amp;IF($H1905="","","/"&amp;$H1905)))</f>
        <v/>
      </c>
      <c r="N1905" s="36"/>
      <c r="O1905" s="37"/>
      <c r="P1905" s="39"/>
      <c r="Q1905" s="41"/>
      <c r="R1905" s="35" t="str">
        <f aca="true">IF(OR($B1905="",$Q1905=""),"",DATEDIF($Q1905,TODAY(),"Y"))</f>
        <v/>
      </c>
      <c r="S1905" s="40" t="str">
        <f aca="false">IF($R1905="","",INDEX(usia_label,MATCH($R1905,usia_min,1)))</f>
        <v/>
      </c>
      <c r="T1905" s="36"/>
      <c r="U1905" s="41"/>
      <c r="V1905" s="36"/>
      <c r="W1905" s="36"/>
      <c r="X1905" s="40" t="str">
        <f aca="false">IF($M1905="","",$M1905&amp;"#"&amp;COUNTIF($M$4:$M1905,$M1905))</f>
        <v/>
      </c>
      <c r="Y1905" s="40" t="str">
        <f aca="false">IF($B1905="","",IF($C1905="","NIK kosong",IF(LEN($C1905)&lt;&gt;16,"NIK bukan 16 digit",IF(COUNTIF($C$4:$C$2003,$C1905&amp;"*")&gt;1,"NIK ganda",IF(AND($D1905&lt;&gt;"",LEN($D1905)&lt;&gt;16),"No. KK bukan 16 digit",IF(AND($F1905="",$I1905=""),"Alamat kosong",IF($N1905="","Jabatan kosong",IF($O1905="","No. HP kosong",IF(AND($R1905&lt;&gt;"",$R1905&lt;17),"Usia di bawah 17","")))))))))</f>
        <v/>
      </c>
      <c r="Z1905" s="40" t="str">
        <f aca="false">IF($B1905="","",IF(AND(OR(CARI!$C$5="",ISNUMBER(SEARCH(CARI!$C$5,$B1905&amp;" "&amp;$C1905&amp;" "&amp;$D1905&amp;" "&amp;$O1905&amp;" "&amp;$I1905&amp;" "&amp;$F1905&amp;" "&amp;$J1905&amp;" "&amp;$K1905&amp;" "&amp;$L1905&amp;" "&amp;$V1905))),OR(CARI!$C$6="",$F1905=CARI!$C$6),OR(CARI!$C$7="",$G1905=CARI!$C$7),OR(CARI!$C$8="",$T1905=CARI!$C$8)),MAX($Z$3:Z1904)+1,""))</f>
        <v/>
      </c>
      <c r="AA1905" s="40" t="str">
        <f aca="false">IF($Y1905="","",MAX($AA$3:AA1904)+1)</f>
        <v/>
      </c>
      <c r="AB1905" s="40" t="str">
        <f aca="false">IF($F1905="","",$F1905&amp;"#"&amp;COUNTIF($F$4:$F1905,$F1905))</f>
        <v/>
      </c>
      <c r="AC1905" s="40" t="str">
        <f aca="false">IF($B1905="","",IF(AND(OR(CETAK!$J$10="",$F1905=CETAK!$J$10),OR(CETAK!$J$11="",$G1905=CETAK!$J$11),OR(CETAK!$J$12="",$P1905=CETAK!$J$12),OR(CETAK!$J$13="",$N1905=CETAK!$J$13),OR(CETAK!$J$14="",$T1905=CETAK!$J$14)),MAX($AC$3:AC1904)+1,""))</f>
        <v/>
      </c>
      <c r="AD1905" s="40" t="str">
        <f aca="false">IF($B1905="","",IF(AND(OR(ABSENSI!$H$10="",$F1905=ABSENSI!$H$10),OR(ABSENSI!$H$11="",$G1905=ABSENSI!$H$11),OR(ABSENSI!$H$12="",$P1905=ABSENSI!$H$12)),MAX($AD$3:AD1904)+1,""))</f>
        <v/>
      </c>
      <c r="AE1905" s="40" t="str">
        <f aca="false">IF($B1905="","",IF(AND(OR(KARTU!$K$6="",$F1905=KARTU!$K$6),OR(KARTU!$K$7="",$G1905=KARTU!$K$7),OR(KARTU!$K$8="",$P1905=KARTU!$K$8)),MAX($AE$3:AE1904)+1,""))</f>
        <v/>
      </c>
    </row>
    <row r="1906" customFormat="false" ht="15" hidden="false" customHeight="false" outlineLevel="0" collapsed="false">
      <c r="A1906" s="35" t="str">
        <f aca="false">IF($B1906="","",COUNTA($B$4:$B1906))</f>
        <v/>
      </c>
      <c r="B1906" s="36"/>
      <c r="C1906" s="37"/>
      <c r="D1906" s="37"/>
      <c r="E1906" s="38"/>
      <c r="F1906" s="36"/>
      <c r="G1906" s="39"/>
      <c r="H1906" s="39"/>
      <c r="I1906" s="36"/>
      <c r="J1906" s="36"/>
      <c r="K1906" s="36"/>
      <c r="L1906" s="36"/>
      <c r="M1906" s="40" t="str">
        <f aca="false">IF($F1906="","",$F1906&amp;IF($G1906="",""," - RT "&amp;$G1906&amp;IF($H1906="","","/"&amp;$H1906)))</f>
        <v/>
      </c>
      <c r="N1906" s="36"/>
      <c r="O1906" s="37"/>
      <c r="P1906" s="39"/>
      <c r="Q1906" s="41"/>
      <c r="R1906" s="35" t="str">
        <f aca="true">IF(OR($B1906="",$Q1906=""),"",DATEDIF($Q1906,TODAY(),"Y"))</f>
        <v/>
      </c>
      <c r="S1906" s="40" t="str">
        <f aca="false">IF($R1906="","",INDEX(usia_label,MATCH($R1906,usia_min,1)))</f>
        <v/>
      </c>
      <c r="T1906" s="36"/>
      <c r="U1906" s="41"/>
      <c r="V1906" s="36"/>
      <c r="W1906" s="36"/>
      <c r="X1906" s="40" t="str">
        <f aca="false">IF($M1906="","",$M1906&amp;"#"&amp;COUNTIF($M$4:$M1906,$M1906))</f>
        <v/>
      </c>
      <c r="Y1906" s="40" t="str">
        <f aca="false">IF($B1906="","",IF($C1906="","NIK kosong",IF(LEN($C1906)&lt;&gt;16,"NIK bukan 16 digit",IF(COUNTIF($C$4:$C$2003,$C1906&amp;"*")&gt;1,"NIK ganda",IF(AND($D1906&lt;&gt;"",LEN($D1906)&lt;&gt;16),"No. KK bukan 16 digit",IF(AND($F1906="",$I1906=""),"Alamat kosong",IF($N1906="","Jabatan kosong",IF($O1906="","No. HP kosong",IF(AND($R1906&lt;&gt;"",$R1906&lt;17),"Usia di bawah 17","")))))))))</f>
        <v/>
      </c>
      <c r="Z1906" s="40" t="str">
        <f aca="false">IF($B1906="","",IF(AND(OR(CARI!$C$5="",ISNUMBER(SEARCH(CARI!$C$5,$B1906&amp;" "&amp;$C1906&amp;" "&amp;$D1906&amp;" "&amp;$O1906&amp;" "&amp;$I1906&amp;" "&amp;$F1906&amp;" "&amp;$J1906&amp;" "&amp;$K1906&amp;" "&amp;$L1906&amp;" "&amp;$V1906))),OR(CARI!$C$6="",$F1906=CARI!$C$6),OR(CARI!$C$7="",$G1906=CARI!$C$7),OR(CARI!$C$8="",$T1906=CARI!$C$8)),MAX($Z$3:Z1905)+1,""))</f>
        <v/>
      </c>
      <c r="AA1906" s="40" t="str">
        <f aca="false">IF($Y1906="","",MAX($AA$3:AA1905)+1)</f>
        <v/>
      </c>
      <c r="AB1906" s="40" t="str">
        <f aca="false">IF($F1906="","",$F1906&amp;"#"&amp;COUNTIF($F$4:$F1906,$F1906))</f>
        <v/>
      </c>
      <c r="AC1906" s="40" t="str">
        <f aca="false">IF($B1906="","",IF(AND(OR(CETAK!$J$10="",$F1906=CETAK!$J$10),OR(CETAK!$J$11="",$G1906=CETAK!$J$11),OR(CETAK!$J$12="",$P1906=CETAK!$J$12),OR(CETAK!$J$13="",$N1906=CETAK!$J$13),OR(CETAK!$J$14="",$T1906=CETAK!$J$14)),MAX($AC$3:AC1905)+1,""))</f>
        <v/>
      </c>
      <c r="AD1906" s="40" t="str">
        <f aca="false">IF($B1906="","",IF(AND(OR(ABSENSI!$H$10="",$F1906=ABSENSI!$H$10),OR(ABSENSI!$H$11="",$G1906=ABSENSI!$H$11),OR(ABSENSI!$H$12="",$P1906=ABSENSI!$H$12)),MAX($AD$3:AD1905)+1,""))</f>
        <v/>
      </c>
      <c r="AE1906" s="40" t="str">
        <f aca="false">IF($B1906="","",IF(AND(OR(KARTU!$K$6="",$F1906=KARTU!$K$6),OR(KARTU!$K$7="",$G1906=KARTU!$K$7),OR(KARTU!$K$8="",$P1906=KARTU!$K$8)),MAX($AE$3:AE1905)+1,""))</f>
        <v/>
      </c>
    </row>
    <row r="1907" customFormat="false" ht="15" hidden="false" customHeight="false" outlineLevel="0" collapsed="false">
      <c r="A1907" s="35" t="str">
        <f aca="false">IF($B1907="","",COUNTA($B$4:$B1907))</f>
        <v/>
      </c>
      <c r="B1907" s="36"/>
      <c r="C1907" s="37"/>
      <c r="D1907" s="37"/>
      <c r="E1907" s="38"/>
      <c r="F1907" s="36"/>
      <c r="G1907" s="39"/>
      <c r="H1907" s="39"/>
      <c r="I1907" s="36"/>
      <c r="J1907" s="36"/>
      <c r="K1907" s="36"/>
      <c r="L1907" s="36"/>
      <c r="M1907" s="40" t="str">
        <f aca="false">IF($F1907="","",$F1907&amp;IF($G1907="",""," - RT "&amp;$G1907&amp;IF($H1907="","","/"&amp;$H1907)))</f>
        <v/>
      </c>
      <c r="N1907" s="36"/>
      <c r="O1907" s="37"/>
      <c r="P1907" s="39"/>
      <c r="Q1907" s="41"/>
      <c r="R1907" s="35" t="str">
        <f aca="true">IF(OR($B1907="",$Q1907=""),"",DATEDIF($Q1907,TODAY(),"Y"))</f>
        <v/>
      </c>
      <c r="S1907" s="40" t="str">
        <f aca="false">IF($R1907="","",INDEX(usia_label,MATCH($R1907,usia_min,1)))</f>
        <v/>
      </c>
      <c r="T1907" s="36"/>
      <c r="U1907" s="41"/>
      <c r="V1907" s="36"/>
      <c r="W1907" s="36"/>
      <c r="X1907" s="40" t="str">
        <f aca="false">IF($M1907="","",$M1907&amp;"#"&amp;COUNTIF($M$4:$M1907,$M1907))</f>
        <v/>
      </c>
      <c r="Y1907" s="40" t="str">
        <f aca="false">IF($B1907="","",IF($C1907="","NIK kosong",IF(LEN($C1907)&lt;&gt;16,"NIK bukan 16 digit",IF(COUNTIF($C$4:$C$2003,$C1907&amp;"*")&gt;1,"NIK ganda",IF(AND($D1907&lt;&gt;"",LEN($D1907)&lt;&gt;16),"No. KK bukan 16 digit",IF(AND($F1907="",$I1907=""),"Alamat kosong",IF($N1907="","Jabatan kosong",IF($O1907="","No. HP kosong",IF(AND($R1907&lt;&gt;"",$R1907&lt;17),"Usia di bawah 17","")))))))))</f>
        <v/>
      </c>
      <c r="Z1907" s="40" t="str">
        <f aca="false">IF($B1907="","",IF(AND(OR(CARI!$C$5="",ISNUMBER(SEARCH(CARI!$C$5,$B1907&amp;" "&amp;$C1907&amp;" "&amp;$D1907&amp;" "&amp;$O1907&amp;" "&amp;$I1907&amp;" "&amp;$F1907&amp;" "&amp;$J1907&amp;" "&amp;$K1907&amp;" "&amp;$L1907&amp;" "&amp;$V1907))),OR(CARI!$C$6="",$F1907=CARI!$C$6),OR(CARI!$C$7="",$G1907=CARI!$C$7),OR(CARI!$C$8="",$T1907=CARI!$C$8)),MAX($Z$3:Z1906)+1,""))</f>
        <v/>
      </c>
      <c r="AA1907" s="40" t="str">
        <f aca="false">IF($Y1907="","",MAX($AA$3:AA1906)+1)</f>
        <v/>
      </c>
      <c r="AB1907" s="40" t="str">
        <f aca="false">IF($F1907="","",$F1907&amp;"#"&amp;COUNTIF($F$4:$F1907,$F1907))</f>
        <v/>
      </c>
      <c r="AC1907" s="40" t="str">
        <f aca="false">IF($B1907="","",IF(AND(OR(CETAK!$J$10="",$F1907=CETAK!$J$10),OR(CETAK!$J$11="",$G1907=CETAK!$J$11),OR(CETAK!$J$12="",$P1907=CETAK!$J$12),OR(CETAK!$J$13="",$N1907=CETAK!$J$13),OR(CETAK!$J$14="",$T1907=CETAK!$J$14)),MAX($AC$3:AC1906)+1,""))</f>
        <v/>
      </c>
      <c r="AD1907" s="40" t="str">
        <f aca="false">IF($B1907="","",IF(AND(OR(ABSENSI!$H$10="",$F1907=ABSENSI!$H$10),OR(ABSENSI!$H$11="",$G1907=ABSENSI!$H$11),OR(ABSENSI!$H$12="",$P1907=ABSENSI!$H$12)),MAX($AD$3:AD1906)+1,""))</f>
        <v/>
      </c>
      <c r="AE1907" s="40" t="str">
        <f aca="false">IF($B1907="","",IF(AND(OR(KARTU!$K$6="",$F1907=KARTU!$K$6),OR(KARTU!$K$7="",$G1907=KARTU!$K$7),OR(KARTU!$K$8="",$P1907=KARTU!$K$8)),MAX($AE$3:AE1906)+1,""))</f>
        <v/>
      </c>
    </row>
    <row r="1908" customFormat="false" ht="15" hidden="false" customHeight="false" outlineLevel="0" collapsed="false">
      <c r="A1908" s="35" t="str">
        <f aca="false">IF($B1908="","",COUNTA($B$4:$B1908))</f>
        <v/>
      </c>
      <c r="B1908" s="36"/>
      <c r="C1908" s="37"/>
      <c r="D1908" s="37"/>
      <c r="E1908" s="38"/>
      <c r="F1908" s="36"/>
      <c r="G1908" s="39"/>
      <c r="H1908" s="39"/>
      <c r="I1908" s="36"/>
      <c r="J1908" s="36"/>
      <c r="K1908" s="36"/>
      <c r="L1908" s="36"/>
      <c r="M1908" s="40" t="str">
        <f aca="false">IF($F1908="","",$F1908&amp;IF($G1908="",""," - RT "&amp;$G1908&amp;IF($H1908="","","/"&amp;$H1908)))</f>
        <v/>
      </c>
      <c r="N1908" s="36"/>
      <c r="O1908" s="37"/>
      <c r="P1908" s="39"/>
      <c r="Q1908" s="41"/>
      <c r="R1908" s="35" t="str">
        <f aca="true">IF(OR($B1908="",$Q1908=""),"",DATEDIF($Q1908,TODAY(),"Y"))</f>
        <v/>
      </c>
      <c r="S1908" s="40" t="str">
        <f aca="false">IF($R1908="","",INDEX(usia_label,MATCH($R1908,usia_min,1)))</f>
        <v/>
      </c>
      <c r="T1908" s="36"/>
      <c r="U1908" s="41"/>
      <c r="V1908" s="36"/>
      <c r="W1908" s="36"/>
      <c r="X1908" s="40" t="str">
        <f aca="false">IF($M1908="","",$M1908&amp;"#"&amp;COUNTIF($M$4:$M1908,$M1908))</f>
        <v/>
      </c>
      <c r="Y1908" s="40" t="str">
        <f aca="false">IF($B1908="","",IF($C1908="","NIK kosong",IF(LEN($C1908)&lt;&gt;16,"NIK bukan 16 digit",IF(COUNTIF($C$4:$C$2003,$C1908&amp;"*")&gt;1,"NIK ganda",IF(AND($D1908&lt;&gt;"",LEN($D1908)&lt;&gt;16),"No. KK bukan 16 digit",IF(AND($F1908="",$I1908=""),"Alamat kosong",IF($N1908="","Jabatan kosong",IF($O1908="","No. HP kosong",IF(AND($R1908&lt;&gt;"",$R1908&lt;17),"Usia di bawah 17","")))))))))</f>
        <v/>
      </c>
      <c r="Z1908" s="40" t="str">
        <f aca="false">IF($B1908="","",IF(AND(OR(CARI!$C$5="",ISNUMBER(SEARCH(CARI!$C$5,$B1908&amp;" "&amp;$C1908&amp;" "&amp;$D1908&amp;" "&amp;$O1908&amp;" "&amp;$I1908&amp;" "&amp;$F1908&amp;" "&amp;$J1908&amp;" "&amp;$K1908&amp;" "&amp;$L1908&amp;" "&amp;$V1908))),OR(CARI!$C$6="",$F1908=CARI!$C$6),OR(CARI!$C$7="",$G1908=CARI!$C$7),OR(CARI!$C$8="",$T1908=CARI!$C$8)),MAX($Z$3:Z1907)+1,""))</f>
        <v/>
      </c>
      <c r="AA1908" s="40" t="str">
        <f aca="false">IF($Y1908="","",MAX($AA$3:AA1907)+1)</f>
        <v/>
      </c>
      <c r="AB1908" s="40" t="str">
        <f aca="false">IF($F1908="","",$F1908&amp;"#"&amp;COUNTIF($F$4:$F1908,$F1908))</f>
        <v/>
      </c>
      <c r="AC1908" s="40" t="str">
        <f aca="false">IF($B1908="","",IF(AND(OR(CETAK!$J$10="",$F1908=CETAK!$J$10),OR(CETAK!$J$11="",$G1908=CETAK!$J$11),OR(CETAK!$J$12="",$P1908=CETAK!$J$12),OR(CETAK!$J$13="",$N1908=CETAK!$J$13),OR(CETAK!$J$14="",$T1908=CETAK!$J$14)),MAX($AC$3:AC1907)+1,""))</f>
        <v/>
      </c>
      <c r="AD1908" s="40" t="str">
        <f aca="false">IF($B1908="","",IF(AND(OR(ABSENSI!$H$10="",$F1908=ABSENSI!$H$10),OR(ABSENSI!$H$11="",$G1908=ABSENSI!$H$11),OR(ABSENSI!$H$12="",$P1908=ABSENSI!$H$12)),MAX($AD$3:AD1907)+1,""))</f>
        <v/>
      </c>
      <c r="AE1908" s="40" t="str">
        <f aca="false">IF($B1908="","",IF(AND(OR(KARTU!$K$6="",$F1908=KARTU!$K$6),OR(KARTU!$K$7="",$G1908=KARTU!$K$7),OR(KARTU!$K$8="",$P1908=KARTU!$K$8)),MAX($AE$3:AE1907)+1,""))</f>
        <v/>
      </c>
    </row>
    <row r="1909" customFormat="false" ht="15" hidden="false" customHeight="false" outlineLevel="0" collapsed="false">
      <c r="A1909" s="35" t="str">
        <f aca="false">IF($B1909="","",COUNTA($B$4:$B1909))</f>
        <v/>
      </c>
      <c r="B1909" s="36"/>
      <c r="C1909" s="37"/>
      <c r="D1909" s="37"/>
      <c r="E1909" s="38"/>
      <c r="F1909" s="36"/>
      <c r="G1909" s="39"/>
      <c r="H1909" s="39"/>
      <c r="I1909" s="36"/>
      <c r="J1909" s="36"/>
      <c r="K1909" s="36"/>
      <c r="L1909" s="36"/>
      <c r="M1909" s="40" t="str">
        <f aca="false">IF($F1909="","",$F1909&amp;IF($G1909="",""," - RT "&amp;$G1909&amp;IF($H1909="","","/"&amp;$H1909)))</f>
        <v/>
      </c>
      <c r="N1909" s="36"/>
      <c r="O1909" s="37"/>
      <c r="P1909" s="39"/>
      <c r="Q1909" s="41"/>
      <c r="R1909" s="35" t="str">
        <f aca="true">IF(OR($B1909="",$Q1909=""),"",DATEDIF($Q1909,TODAY(),"Y"))</f>
        <v/>
      </c>
      <c r="S1909" s="40" t="str">
        <f aca="false">IF($R1909="","",INDEX(usia_label,MATCH($R1909,usia_min,1)))</f>
        <v/>
      </c>
      <c r="T1909" s="36"/>
      <c r="U1909" s="41"/>
      <c r="V1909" s="36"/>
      <c r="W1909" s="36"/>
      <c r="X1909" s="40" t="str">
        <f aca="false">IF($M1909="","",$M1909&amp;"#"&amp;COUNTIF($M$4:$M1909,$M1909))</f>
        <v/>
      </c>
      <c r="Y1909" s="40" t="str">
        <f aca="false">IF($B1909="","",IF($C1909="","NIK kosong",IF(LEN($C1909)&lt;&gt;16,"NIK bukan 16 digit",IF(COUNTIF($C$4:$C$2003,$C1909&amp;"*")&gt;1,"NIK ganda",IF(AND($D1909&lt;&gt;"",LEN($D1909)&lt;&gt;16),"No. KK bukan 16 digit",IF(AND($F1909="",$I1909=""),"Alamat kosong",IF($N1909="","Jabatan kosong",IF($O1909="","No. HP kosong",IF(AND($R1909&lt;&gt;"",$R1909&lt;17),"Usia di bawah 17","")))))))))</f>
        <v/>
      </c>
      <c r="Z1909" s="40" t="str">
        <f aca="false">IF($B1909="","",IF(AND(OR(CARI!$C$5="",ISNUMBER(SEARCH(CARI!$C$5,$B1909&amp;" "&amp;$C1909&amp;" "&amp;$D1909&amp;" "&amp;$O1909&amp;" "&amp;$I1909&amp;" "&amp;$F1909&amp;" "&amp;$J1909&amp;" "&amp;$K1909&amp;" "&amp;$L1909&amp;" "&amp;$V1909))),OR(CARI!$C$6="",$F1909=CARI!$C$6),OR(CARI!$C$7="",$G1909=CARI!$C$7),OR(CARI!$C$8="",$T1909=CARI!$C$8)),MAX($Z$3:Z1908)+1,""))</f>
        <v/>
      </c>
      <c r="AA1909" s="40" t="str">
        <f aca="false">IF($Y1909="","",MAX($AA$3:AA1908)+1)</f>
        <v/>
      </c>
      <c r="AB1909" s="40" t="str">
        <f aca="false">IF($F1909="","",$F1909&amp;"#"&amp;COUNTIF($F$4:$F1909,$F1909))</f>
        <v/>
      </c>
      <c r="AC1909" s="40" t="str">
        <f aca="false">IF($B1909="","",IF(AND(OR(CETAK!$J$10="",$F1909=CETAK!$J$10),OR(CETAK!$J$11="",$G1909=CETAK!$J$11),OR(CETAK!$J$12="",$P1909=CETAK!$J$12),OR(CETAK!$J$13="",$N1909=CETAK!$J$13),OR(CETAK!$J$14="",$T1909=CETAK!$J$14)),MAX($AC$3:AC1908)+1,""))</f>
        <v/>
      </c>
      <c r="AD1909" s="40" t="str">
        <f aca="false">IF($B1909="","",IF(AND(OR(ABSENSI!$H$10="",$F1909=ABSENSI!$H$10),OR(ABSENSI!$H$11="",$G1909=ABSENSI!$H$11),OR(ABSENSI!$H$12="",$P1909=ABSENSI!$H$12)),MAX($AD$3:AD1908)+1,""))</f>
        <v/>
      </c>
      <c r="AE1909" s="40" t="str">
        <f aca="false">IF($B1909="","",IF(AND(OR(KARTU!$K$6="",$F1909=KARTU!$K$6),OR(KARTU!$K$7="",$G1909=KARTU!$K$7),OR(KARTU!$K$8="",$P1909=KARTU!$K$8)),MAX($AE$3:AE1908)+1,""))</f>
        <v/>
      </c>
    </row>
    <row r="1910" customFormat="false" ht="15" hidden="false" customHeight="false" outlineLevel="0" collapsed="false">
      <c r="A1910" s="35" t="str">
        <f aca="false">IF($B1910="","",COUNTA($B$4:$B1910))</f>
        <v/>
      </c>
      <c r="B1910" s="36"/>
      <c r="C1910" s="37"/>
      <c r="D1910" s="37"/>
      <c r="E1910" s="38"/>
      <c r="F1910" s="36"/>
      <c r="G1910" s="39"/>
      <c r="H1910" s="39"/>
      <c r="I1910" s="36"/>
      <c r="J1910" s="36"/>
      <c r="K1910" s="36"/>
      <c r="L1910" s="36"/>
      <c r="M1910" s="40" t="str">
        <f aca="false">IF($F1910="","",$F1910&amp;IF($G1910="",""," - RT "&amp;$G1910&amp;IF($H1910="","","/"&amp;$H1910)))</f>
        <v/>
      </c>
      <c r="N1910" s="36"/>
      <c r="O1910" s="37"/>
      <c r="P1910" s="39"/>
      <c r="Q1910" s="41"/>
      <c r="R1910" s="35" t="str">
        <f aca="true">IF(OR($B1910="",$Q1910=""),"",DATEDIF($Q1910,TODAY(),"Y"))</f>
        <v/>
      </c>
      <c r="S1910" s="40" t="str">
        <f aca="false">IF($R1910="","",INDEX(usia_label,MATCH($R1910,usia_min,1)))</f>
        <v/>
      </c>
      <c r="T1910" s="36"/>
      <c r="U1910" s="41"/>
      <c r="V1910" s="36"/>
      <c r="W1910" s="36"/>
      <c r="X1910" s="40" t="str">
        <f aca="false">IF($M1910="","",$M1910&amp;"#"&amp;COUNTIF($M$4:$M1910,$M1910))</f>
        <v/>
      </c>
      <c r="Y1910" s="40" t="str">
        <f aca="false">IF($B1910="","",IF($C1910="","NIK kosong",IF(LEN($C1910)&lt;&gt;16,"NIK bukan 16 digit",IF(COUNTIF($C$4:$C$2003,$C1910&amp;"*")&gt;1,"NIK ganda",IF(AND($D1910&lt;&gt;"",LEN($D1910)&lt;&gt;16),"No. KK bukan 16 digit",IF(AND($F1910="",$I1910=""),"Alamat kosong",IF($N1910="","Jabatan kosong",IF($O1910="","No. HP kosong",IF(AND($R1910&lt;&gt;"",$R1910&lt;17),"Usia di bawah 17","")))))))))</f>
        <v/>
      </c>
      <c r="Z1910" s="40" t="str">
        <f aca="false">IF($B1910="","",IF(AND(OR(CARI!$C$5="",ISNUMBER(SEARCH(CARI!$C$5,$B1910&amp;" "&amp;$C1910&amp;" "&amp;$D1910&amp;" "&amp;$O1910&amp;" "&amp;$I1910&amp;" "&amp;$F1910&amp;" "&amp;$J1910&amp;" "&amp;$K1910&amp;" "&amp;$L1910&amp;" "&amp;$V1910))),OR(CARI!$C$6="",$F1910=CARI!$C$6),OR(CARI!$C$7="",$G1910=CARI!$C$7),OR(CARI!$C$8="",$T1910=CARI!$C$8)),MAX($Z$3:Z1909)+1,""))</f>
        <v/>
      </c>
      <c r="AA1910" s="40" t="str">
        <f aca="false">IF($Y1910="","",MAX($AA$3:AA1909)+1)</f>
        <v/>
      </c>
      <c r="AB1910" s="40" t="str">
        <f aca="false">IF($F1910="","",$F1910&amp;"#"&amp;COUNTIF($F$4:$F1910,$F1910))</f>
        <v/>
      </c>
      <c r="AC1910" s="40" t="str">
        <f aca="false">IF($B1910="","",IF(AND(OR(CETAK!$J$10="",$F1910=CETAK!$J$10),OR(CETAK!$J$11="",$G1910=CETAK!$J$11),OR(CETAK!$J$12="",$P1910=CETAK!$J$12),OR(CETAK!$J$13="",$N1910=CETAK!$J$13),OR(CETAK!$J$14="",$T1910=CETAK!$J$14)),MAX($AC$3:AC1909)+1,""))</f>
        <v/>
      </c>
      <c r="AD1910" s="40" t="str">
        <f aca="false">IF($B1910="","",IF(AND(OR(ABSENSI!$H$10="",$F1910=ABSENSI!$H$10),OR(ABSENSI!$H$11="",$G1910=ABSENSI!$H$11),OR(ABSENSI!$H$12="",$P1910=ABSENSI!$H$12)),MAX($AD$3:AD1909)+1,""))</f>
        <v/>
      </c>
      <c r="AE1910" s="40" t="str">
        <f aca="false">IF($B1910="","",IF(AND(OR(KARTU!$K$6="",$F1910=KARTU!$K$6),OR(KARTU!$K$7="",$G1910=KARTU!$K$7),OR(KARTU!$K$8="",$P1910=KARTU!$K$8)),MAX($AE$3:AE1909)+1,""))</f>
        <v/>
      </c>
    </row>
    <row r="1911" customFormat="false" ht="15" hidden="false" customHeight="false" outlineLevel="0" collapsed="false">
      <c r="A1911" s="35" t="str">
        <f aca="false">IF($B1911="","",COUNTA($B$4:$B1911))</f>
        <v/>
      </c>
      <c r="B1911" s="36"/>
      <c r="C1911" s="37"/>
      <c r="D1911" s="37"/>
      <c r="E1911" s="38"/>
      <c r="F1911" s="36"/>
      <c r="G1911" s="39"/>
      <c r="H1911" s="39"/>
      <c r="I1911" s="36"/>
      <c r="J1911" s="36"/>
      <c r="K1911" s="36"/>
      <c r="L1911" s="36"/>
      <c r="M1911" s="40" t="str">
        <f aca="false">IF($F1911="","",$F1911&amp;IF($G1911="",""," - RT "&amp;$G1911&amp;IF($H1911="","","/"&amp;$H1911)))</f>
        <v/>
      </c>
      <c r="N1911" s="36"/>
      <c r="O1911" s="37"/>
      <c r="P1911" s="39"/>
      <c r="Q1911" s="41"/>
      <c r="R1911" s="35" t="str">
        <f aca="true">IF(OR($B1911="",$Q1911=""),"",DATEDIF($Q1911,TODAY(),"Y"))</f>
        <v/>
      </c>
      <c r="S1911" s="40" t="str">
        <f aca="false">IF($R1911="","",INDEX(usia_label,MATCH($R1911,usia_min,1)))</f>
        <v/>
      </c>
      <c r="T1911" s="36"/>
      <c r="U1911" s="41"/>
      <c r="V1911" s="36"/>
      <c r="W1911" s="36"/>
      <c r="X1911" s="40" t="str">
        <f aca="false">IF($M1911="","",$M1911&amp;"#"&amp;COUNTIF($M$4:$M1911,$M1911))</f>
        <v/>
      </c>
      <c r="Y1911" s="40" t="str">
        <f aca="false">IF($B1911="","",IF($C1911="","NIK kosong",IF(LEN($C1911)&lt;&gt;16,"NIK bukan 16 digit",IF(COUNTIF($C$4:$C$2003,$C1911&amp;"*")&gt;1,"NIK ganda",IF(AND($D1911&lt;&gt;"",LEN($D1911)&lt;&gt;16),"No. KK bukan 16 digit",IF(AND($F1911="",$I1911=""),"Alamat kosong",IF($N1911="","Jabatan kosong",IF($O1911="","No. HP kosong",IF(AND($R1911&lt;&gt;"",$R1911&lt;17),"Usia di bawah 17","")))))))))</f>
        <v/>
      </c>
      <c r="Z1911" s="40" t="str">
        <f aca="false">IF($B1911="","",IF(AND(OR(CARI!$C$5="",ISNUMBER(SEARCH(CARI!$C$5,$B1911&amp;" "&amp;$C1911&amp;" "&amp;$D1911&amp;" "&amp;$O1911&amp;" "&amp;$I1911&amp;" "&amp;$F1911&amp;" "&amp;$J1911&amp;" "&amp;$K1911&amp;" "&amp;$L1911&amp;" "&amp;$V1911))),OR(CARI!$C$6="",$F1911=CARI!$C$6),OR(CARI!$C$7="",$G1911=CARI!$C$7),OR(CARI!$C$8="",$T1911=CARI!$C$8)),MAX($Z$3:Z1910)+1,""))</f>
        <v/>
      </c>
      <c r="AA1911" s="40" t="str">
        <f aca="false">IF($Y1911="","",MAX($AA$3:AA1910)+1)</f>
        <v/>
      </c>
      <c r="AB1911" s="40" t="str">
        <f aca="false">IF($F1911="","",$F1911&amp;"#"&amp;COUNTIF($F$4:$F1911,$F1911))</f>
        <v/>
      </c>
      <c r="AC1911" s="40" t="str">
        <f aca="false">IF($B1911="","",IF(AND(OR(CETAK!$J$10="",$F1911=CETAK!$J$10),OR(CETAK!$J$11="",$G1911=CETAK!$J$11),OR(CETAK!$J$12="",$P1911=CETAK!$J$12),OR(CETAK!$J$13="",$N1911=CETAK!$J$13),OR(CETAK!$J$14="",$T1911=CETAK!$J$14)),MAX($AC$3:AC1910)+1,""))</f>
        <v/>
      </c>
      <c r="AD1911" s="40" t="str">
        <f aca="false">IF($B1911="","",IF(AND(OR(ABSENSI!$H$10="",$F1911=ABSENSI!$H$10),OR(ABSENSI!$H$11="",$G1911=ABSENSI!$H$11),OR(ABSENSI!$H$12="",$P1911=ABSENSI!$H$12)),MAX($AD$3:AD1910)+1,""))</f>
        <v/>
      </c>
      <c r="AE1911" s="40" t="str">
        <f aca="false">IF($B1911="","",IF(AND(OR(KARTU!$K$6="",$F1911=KARTU!$K$6),OR(KARTU!$K$7="",$G1911=KARTU!$K$7),OR(KARTU!$K$8="",$P1911=KARTU!$K$8)),MAX($AE$3:AE1910)+1,""))</f>
        <v/>
      </c>
    </row>
    <row r="1912" customFormat="false" ht="15" hidden="false" customHeight="false" outlineLevel="0" collapsed="false">
      <c r="A1912" s="35" t="str">
        <f aca="false">IF($B1912="","",COUNTA($B$4:$B1912))</f>
        <v/>
      </c>
      <c r="B1912" s="36"/>
      <c r="C1912" s="37"/>
      <c r="D1912" s="37"/>
      <c r="E1912" s="38"/>
      <c r="F1912" s="36"/>
      <c r="G1912" s="39"/>
      <c r="H1912" s="39"/>
      <c r="I1912" s="36"/>
      <c r="J1912" s="36"/>
      <c r="K1912" s="36"/>
      <c r="L1912" s="36"/>
      <c r="M1912" s="40" t="str">
        <f aca="false">IF($F1912="","",$F1912&amp;IF($G1912="",""," - RT "&amp;$G1912&amp;IF($H1912="","","/"&amp;$H1912)))</f>
        <v/>
      </c>
      <c r="N1912" s="36"/>
      <c r="O1912" s="37"/>
      <c r="P1912" s="39"/>
      <c r="Q1912" s="41"/>
      <c r="R1912" s="35" t="str">
        <f aca="true">IF(OR($B1912="",$Q1912=""),"",DATEDIF($Q1912,TODAY(),"Y"))</f>
        <v/>
      </c>
      <c r="S1912" s="40" t="str">
        <f aca="false">IF($R1912="","",INDEX(usia_label,MATCH($R1912,usia_min,1)))</f>
        <v/>
      </c>
      <c r="T1912" s="36"/>
      <c r="U1912" s="41"/>
      <c r="V1912" s="36"/>
      <c r="W1912" s="36"/>
      <c r="X1912" s="40" t="str">
        <f aca="false">IF($M1912="","",$M1912&amp;"#"&amp;COUNTIF($M$4:$M1912,$M1912))</f>
        <v/>
      </c>
      <c r="Y1912" s="40" t="str">
        <f aca="false">IF($B1912="","",IF($C1912="","NIK kosong",IF(LEN($C1912)&lt;&gt;16,"NIK bukan 16 digit",IF(COUNTIF($C$4:$C$2003,$C1912&amp;"*")&gt;1,"NIK ganda",IF(AND($D1912&lt;&gt;"",LEN($D1912)&lt;&gt;16),"No. KK bukan 16 digit",IF(AND($F1912="",$I1912=""),"Alamat kosong",IF($N1912="","Jabatan kosong",IF($O1912="","No. HP kosong",IF(AND($R1912&lt;&gt;"",$R1912&lt;17),"Usia di bawah 17","")))))))))</f>
        <v/>
      </c>
      <c r="Z1912" s="40" t="str">
        <f aca="false">IF($B1912="","",IF(AND(OR(CARI!$C$5="",ISNUMBER(SEARCH(CARI!$C$5,$B1912&amp;" "&amp;$C1912&amp;" "&amp;$D1912&amp;" "&amp;$O1912&amp;" "&amp;$I1912&amp;" "&amp;$F1912&amp;" "&amp;$J1912&amp;" "&amp;$K1912&amp;" "&amp;$L1912&amp;" "&amp;$V1912))),OR(CARI!$C$6="",$F1912=CARI!$C$6),OR(CARI!$C$7="",$G1912=CARI!$C$7),OR(CARI!$C$8="",$T1912=CARI!$C$8)),MAX($Z$3:Z1911)+1,""))</f>
        <v/>
      </c>
      <c r="AA1912" s="40" t="str">
        <f aca="false">IF($Y1912="","",MAX($AA$3:AA1911)+1)</f>
        <v/>
      </c>
      <c r="AB1912" s="40" t="str">
        <f aca="false">IF($F1912="","",$F1912&amp;"#"&amp;COUNTIF($F$4:$F1912,$F1912))</f>
        <v/>
      </c>
      <c r="AC1912" s="40" t="str">
        <f aca="false">IF($B1912="","",IF(AND(OR(CETAK!$J$10="",$F1912=CETAK!$J$10),OR(CETAK!$J$11="",$G1912=CETAK!$J$11),OR(CETAK!$J$12="",$P1912=CETAK!$J$12),OR(CETAK!$J$13="",$N1912=CETAK!$J$13),OR(CETAK!$J$14="",$T1912=CETAK!$J$14)),MAX($AC$3:AC1911)+1,""))</f>
        <v/>
      </c>
      <c r="AD1912" s="40" t="str">
        <f aca="false">IF($B1912="","",IF(AND(OR(ABSENSI!$H$10="",$F1912=ABSENSI!$H$10),OR(ABSENSI!$H$11="",$G1912=ABSENSI!$H$11),OR(ABSENSI!$H$12="",$P1912=ABSENSI!$H$12)),MAX($AD$3:AD1911)+1,""))</f>
        <v/>
      </c>
      <c r="AE1912" s="40" t="str">
        <f aca="false">IF($B1912="","",IF(AND(OR(KARTU!$K$6="",$F1912=KARTU!$K$6),OR(KARTU!$K$7="",$G1912=KARTU!$K$7),OR(KARTU!$K$8="",$P1912=KARTU!$K$8)),MAX($AE$3:AE1911)+1,""))</f>
        <v/>
      </c>
    </row>
    <row r="1913" customFormat="false" ht="15" hidden="false" customHeight="false" outlineLevel="0" collapsed="false">
      <c r="A1913" s="35" t="str">
        <f aca="false">IF($B1913="","",COUNTA($B$4:$B1913))</f>
        <v/>
      </c>
      <c r="B1913" s="36"/>
      <c r="C1913" s="37"/>
      <c r="D1913" s="37"/>
      <c r="E1913" s="38"/>
      <c r="F1913" s="36"/>
      <c r="G1913" s="39"/>
      <c r="H1913" s="39"/>
      <c r="I1913" s="36"/>
      <c r="J1913" s="36"/>
      <c r="K1913" s="36"/>
      <c r="L1913" s="36"/>
      <c r="M1913" s="40" t="str">
        <f aca="false">IF($F1913="","",$F1913&amp;IF($G1913="",""," - RT "&amp;$G1913&amp;IF($H1913="","","/"&amp;$H1913)))</f>
        <v/>
      </c>
      <c r="N1913" s="36"/>
      <c r="O1913" s="37"/>
      <c r="P1913" s="39"/>
      <c r="Q1913" s="41"/>
      <c r="R1913" s="35" t="str">
        <f aca="true">IF(OR($B1913="",$Q1913=""),"",DATEDIF($Q1913,TODAY(),"Y"))</f>
        <v/>
      </c>
      <c r="S1913" s="40" t="str">
        <f aca="false">IF($R1913="","",INDEX(usia_label,MATCH($R1913,usia_min,1)))</f>
        <v/>
      </c>
      <c r="T1913" s="36"/>
      <c r="U1913" s="41"/>
      <c r="V1913" s="36"/>
      <c r="W1913" s="36"/>
      <c r="X1913" s="40" t="str">
        <f aca="false">IF($M1913="","",$M1913&amp;"#"&amp;COUNTIF($M$4:$M1913,$M1913))</f>
        <v/>
      </c>
      <c r="Y1913" s="40" t="str">
        <f aca="false">IF($B1913="","",IF($C1913="","NIK kosong",IF(LEN($C1913)&lt;&gt;16,"NIK bukan 16 digit",IF(COUNTIF($C$4:$C$2003,$C1913&amp;"*")&gt;1,"NIK ganda",IF(AND($D1913&lt;&gt;"",LEN($D1913)&lt;&gt;16),"No. KK bukan 16 digit",IF(AND($F1913="",$I1913=""),"Alamat kosong",IF($N1913="","Jabatan kosong",IF($O1913="","No. HP kosong",IF(AND($R1913&lt;&gt;"",$R1913&lt;17),"Usia di bawah 17","")))))))))</f>
        <v/>
      </c>
      <c r="Z1913" s="40" t="str">
        <f aca="false">IF($B1913="","",IF(AND(OR(CARI!$C$5="",ISNUMBER(SEARCH(CARI!$C$5,$B1913&amp;" "&amp;$C1913&amp;" "&amp;$D1913&amp;" "&amp;$O1913&amp;" "&amp;$I1913&amp;" "&amp;$F1913&amp;" "&amp;$J1913&amp;" "&amp;$K1913&amp;" "&amp;$L1913&amp;" "&amp;$V1913))),OR(CARI!$C$6="",$F1913=CARI!$C$6),OR(CARI!$C$7="",$G1913=CARI!$C$7),OR(CARI!$C$8="",$T1913=CARI!$C$8)),MAX($Z$3:Z1912)+1,""))</f>
        <v/>
      </c>
      <c r="AA1913" s="40" t="str">
        <f aca="false">IF($Y1913="","",MAX($AA$3:AA1912)+1)</f>
        <v/>
      </c>
      <c r="AB1913" s="40" t="str">
        <f aca="false">IF($F1913="","",$F1913&amp;"#"&amp;COUNTIF($F$4:$F1913,$F1913))</f>
        <v/>
      </c>
      <c r="AC1913" s="40" t="str">
        <f aca="false">IF($B1913="","",IF(AND(OR(CETAK!$J$10="",$F1913=CETAK!$J$10),OR(CETAK!$J$11="",$G1913=CETAK!$J$11),OR(CETAK!$J$12="",$P1913=CETAK!$J$12),OR(CETAK!$J$13="",$N1913=CETAK!$J$13),OR(CETAK!$J$14="",$T1913=CETAK!$J$14)),MAX($AC$3:AC1912)+1,""))</f>
        <v/>
      </c>
      <c r="AD1913" s="40" t="str">
        <f aca="false">IF($B1913="","",IF(AND(OR(ABSENSI!$H$10="",$F1913=ABSENSI!$H$10),OR(ABSENSI!$H$11="",$G1913=ABSENSI!$H$11),OR(ABSENSI!$H$12="",$P1913=ABSENSI!$H$12)),MAX($AD$3:AD1912)+1,""))</f>
        <v/>
      </c>
      <c r="AE1913" s="40" t="str">
        <f aca="false">IF($B1913="","",IF(AND(OR(KARTU!$K$6="",$F1913=KARTU!$K$6),OR(KARTU!$K$7="",$G1913=KARTU!$K$7),OR(KARTU!$K$8="",$P1913=KARTU!$K$8)),MAX($AE$3:AE1912)+1,""))</f>
        <v/>
      </c>
    </row>
    <row r="1914" customFormat="false" ht="15" hidden="false" customHeight="false" outlineLevel="0" collapsed="false">
      <c r="A1914" s="35" t="str">
        <f aca="false">IF($B1914="","",COUNTA($B$4:$B1914))</f>
        <v/>
      </c>
      <c r="B1914" s="36"/>
      <c r="C1914" s="37"/>
      <c r="D1914" s="37"/>
      <c r="E1914" s="38"/>
      <c r="F1914" s="36"/>
      <c r="G1914" s="39"/>
      <c r="H1914" s="39"/>
      <c r="I1914" s="36"/>
      <c r="J1914" s="36"/>
      <c r="K1914" s="36"/>
      <c r="L1914" s="36"/>
      <c r="M1914" s="40" t="str">
        <f aca="false">IF($F1914="","",$F1914&amp;IF($G1914="",""," - RT "&amp;$G1914&amp;IF($H1914="","","/"&amp;$H1914)))</f>
        <v/>
      </c>
      <c r="N1914" s="36"/>
      <c r="O1914" s="37"/>
      <c r="P1914" s="39"/>
      <c r="Q1914" s="41"/>
      <c r="R1914" s="35" t="str">
        <f aca="true">IF(OR($B1914="",$Q1914=""),"",DATEDIF($Q1914,TODAY(),"Y"))</f>
        <v/>
      </c>
      <c r="S1914" s="40" t="str">
        <f aca="false">IF($R1914="","",INDEX(usia_label,MATCH($R1914,usia_min,1)))</f>
        <v/>
      </c>
      <c r="T1914" s="36"/>
      <c r="U1914" s="41"/>
      <c r="V1914" s="36"/>
      <c r="W1914" s="36"/>
      <c r="X1914" s="40" t="str">
        <f aca="false">IF($M1914="","",$M1914&amp;"#"&amp;COUNTIF($M$4:$M1914,$M1914))</f>
        <v/>
      </c>
      <c r="Y1914" s="40" t="str">
        <f aca="false">IF($B1914="","",IF($C1914="","NIK kosong",IF(LEN($C1914)&lt;&gt;16,"NIK bukan 16 digit",IF(COUNTIF($C$4:$C$2003,$C1914&amp;"*")&gt;1,"NIK ganda",IF(AND($D1914&lt;&gt;"",LEN($D1914)&lt;&gt;16),"No. KK bukan 16 digit",IF(AND($F1914="",$I1914=""),"Alamat kosong",IF($N1914="","Jabatan kosong",IF($O1914="","No. HP kosong",IF(AND($R1914&lt;&gt;"",$R1914&lt;17),"Usia di bawah 17","")))))))))</f>
        <v/>
      </c>
      <c r="Z1914" s="40" t="str">
        <f aca="false">IF($B1914="","",IF(AND(OR(CARI!$C$5="",ISNUMBER(SEARCH(CARI!$C$5,$B1914&amp;" "&amp;$C1914&amp;" "&amp;$D1914&amp;" "&amp;$O1914&amp;" "&amp;$I1914&amp;" "&amp;$F1914&amp;" "&amp;$J1914&amp;" "&amp;$K1914&amp;" "&amp;$L1914&amp;" "&amp;$V1914))),OR(CARI!$C$6="",$F1914=CARI!$C$6),OR(CARI!$C$7="",$G1914=CARI!$C$7),OR(CARI!$C$8="",$T1914=CARI!$C$8)),MAX($Z$3:Z1913)+1,""))</f>
        <v/>
      </c>
      <c r="AA1914" s="40" t="str">
        <f aca="false">IF($Y1914="","",MAX($AA$3:AA1913)+1)</f>
        <v/>
      </c>
      <c r="AB1914" s="40" t="str">
        <f aca="false">IF($F1914="","",$F1914&amp;"#"&amp;COUNTIF($F$4:$F1914,$F1914))</f>
        <v/>
      </c>
      <c r="AC1914" s="40" t="str">
        <f aca="false">IF($B1914="","",IF(AND(OR(CETAK!$J$10="",$F1914=CETAK!$J$10),OR(CETAK!$J$11="",$G1914=CETAK!$J$11),OR(CETAK!$J$12="",$P1914=CETAK!$J$12),OR(CETAK!$J$13="",$N1914=CETAK!$J$13),OR(CETAK!$J$14="",$T1914=CETAK!$J$14)),MAX($AC$3:AC1913)+1,""))</f>
        <v/>
      </c>
      <c r="AD1914" s="40" t="str">
        <f aca="false">IF($B1914="","",IF(AND(OR(ABSENSI!$H$10="",$F1914=ABSENSI!$H$10),OR(ABSENSI!$H$11="",$G1914=ABSENSI!$H$11),OR(ABSENSI!$H$12="",$P1914=ABSENSI!$H$12)),MAX($AD$3:AD1913)+1,""))</f>
        <v/>
      </c>
      <c r="AE1914" s="40" t="str">
        <f aca="false">IF($B1914="","",IF(AND(OR(KARTU!$K$6="",$F1914=KARTU!$K$6),OR(KARTU!$K$7="",$G1914=KARTU!$K$7),OR(KARTU!$K$8="",$P1914=KARTU!$K$8)),MAX($AE$3:AE1913)+1,""))</f>
        <v/>
      </c>
    </row>
    <row r="1915" customFormat="false" ht="15" hidden="false" customHeight="false" outlineLevel="0" collapsed="false">
      <c r="A1915" s="35" t="str">
        <f aca="false">IF($B1915="","",COUNTA($B$4:$B1915))</f>
        <v/>
      </c>
      <c r="B1915" s="36"/>
      <c r="C1915" s="37"/>
      <c r="D1915" s="37"/>
      <c r="E1915" s="38"/>
      <c r="F1915" s="36"/>
      <c r="G1915" s="39"/>
      <c r="H1915" s="39"/>
      <c r="I1915" s="36"/>
      <c r="J1915" s="36"/>
      <c r="K1915" s="36"/>
      <c r="L1915" s="36"/>
      <c r="M1915" s="40" t="str">
        <f aca="false">IF($F1915="","",$F1915&amp;IF($G1915="",""," - RT "&amp;$G1915&amp;IF($H1915="","","/"&amp;$H1915)))</f>
        <v/>
      </c>
      <c r="N1915" s="36"/>
      <c r="O1915" s="37"/>
      <c r="P1915" s="39"/>
      <c r="Q1915" s="41"/>
      <c r="R1915" s="35" t="str">
        <f aca="true">IF(OR($B1915="",$Q1915=""),"",DATEDIF($Q1915,TODAY(),"Y"))</f>
        <v/>
      </c>
      <c r="S1915" s="40" t="str">
        <f aca="false">IF($R1915="","",INDEX(usia_label,MATCH($R1915,usia_min,1)))</f>
        <v/>
      </c>
      <c r="T1915" s="36"/>
      <c r="U1915" s="41"/>
      <c r="V1915" s="36"/>
      <c r="W1915" s="36"/>
      <c r="X1915" s="40" t="str">
        <f aca="false">IF($M1915="","",$M1915&amp;"#"&amp;COUNTIF($M$4:$M1915,$M1915))</f>
        <v/>
      </c>
      <c r="Y1915" s="40" t="str">
        <f aca="false">IF($B1915="","",IF($C1915="","NIK kosong",IF(LEN($C1915)&lt;&gt;16,"NIK bukan 16 digit",IF(COUNTIF($C$4:$C$2003,$C1915&amp;"*")&gt;1,"NIK ganda",IF(AND($D1915&lt;&gt;"",LEN($D1915)&lt;&gt;16),"No. KK bukan 16 digit",IF(AND($F1915="",$I1915=""),"Alamat kosong",IF($N1915="","Jabatan kosong",IF($O1915="","No. HP kosong",IF(AND($R1915&lt;&gt;"",$R1915&lt;17),"Usia di bawah 17","")))))))))</f>
        <v/>
      </c>
      <c r="Z1915" s="40" t="str">
        <f aca="false">IF($B1915="","",IF(AND(OR(CARI!$C$5="",ISNUMBER(SEARCH(CARI!$C$5,$B1915&amp;" "&amp;$C1915&amp;" "&amp;$D1915&amp;" "&amp;$O1915&amp;" "&amp;$I1915&amp;" "&amp;$F1915&amp;" "&amp;$J1915&amp;" "&amp;$K1915&amp;" "&amp;$L1915&amp;" "&amp;$V1915))),OR(CARI!$C$6="",$F1915=CARI!$C$6),OR(CARI!$C$7="",$G1915=CARI!$C$7),OR(CARI!$C$8="",$T1915=CARI!$C$8)),MAX($Z$3:Z1914)+1,""))</f>
        <v/>
      </c>
      <c r="AA1915" s="40" t="str">
        <f aca="false">IF($Y1915="","",MAX($AA$3:AA1914)+1)</f>
        <v/>
      </c>
      <c r="AB1915" s="40" t="str">
        <f aca="false">IF($F1915="","",$F1915&amp;"#"&amp;COUNTIF($F$4:$F1915,$F1915))</f>
        <v/>
      </c>
      <c r="AC1915" s="40" t="str">
        <f aca="false">IF($B1915="","",IF(AND(OR(CETAK!$J$10="",$F1915=CETAK!$J$10),OR(CETAK!$J$11="",$G1915=CETAK!$J$11),OR(CETAK!$J$12="",$P1915=CETAK!$J$12),OR(CETAK!$J$13="",$N1915=CETAK!$J$13),OR(CETAK!$J$14="",$T1915=CETAK!$J$14)),MAX($AC$3:AC1914)+1,""))</f>
        <v/>
      </c>
      <c r="AD1915" s="40" t="str">
        <f aca="false">IF($B1915="","",IF(AND(OR(ABSENSI!$H$10="",$F1915=ABSENSI!$H$10),OR(ABSENSI!$H$11="",$G1915=ABSENSI!$H$11),OR(ABSENSI!$H$12="",$P1915=ABSENSI!$H$12)),MAX($AD$3:AD1914)+1,""))</f>
        <v/>
      </c>
      <c r="AE1915" s="40" t="str">
        <f aca="false">IF($B1915="","",IF(AND(OR(KARTU!$K$6="",$F1915=KARTU!$K$6),OR(KARTU!$K$7="",$G1915=KARTU!$K$7),OR(KARTU!$K$8="",$P1915=KARTU!$K$8)),MAX($AE$3:AE1914)+1,""))</f>
        <v/>
      </c>
    </row>
    <row r="1916" customFormat="false" ht="15" hidden="false" customHeight="false" outlineLevel="0" collapsed="false">
      <c r="A1916" s="35" t="str">
        <f aca="false">IF($B1916="","",COUNTA($B$4:$B1916))</f>
        <v/>
      </c>
      <c r="B1916" s="36"/>
      <c r="C1916" s="37"/>
      <c r="D1916" s="37"/>
      <c r="E1916" s="38"/>
      <c r="F1916" s="36"/>
      <c r="G1916" s="39"/>
      <c r="H1916" s="39"/>
      <c r="I1916" s="36"/>
      <c r="J1916" s="36"/>
      <c r="K1916" s="36"/>
      <c r="L1916" s="36"/>
      <c r="M1916" s="40" t="str">
        <f aca="false">IF($F1916="","",$F1916&amp;IF($G1916="",""," - RT "&amp;$G1916&amp;IF($H1916="","","/"&amp;$H1916)))</f>
        <v/>
      </c>
      <c r="N1916" s="36"/>
      <c r="O1916" s="37"/>
      <c r="P1916" s="39"/>
      <c r="Q1916" s="41"/>
      <c r="R1916" s="35" t="str">
        <f aca="true">IF(OR($B1916="",$Q1916=""),"",DATEDIF($Q1916,TODAY(),"Y"))</f>
        <v/>
      </c>
      <c r="S1916" s="40" t="str">
        <f aca="false">IF($R1916="","",INDEX(usia_label,MATCH($R1916,usia_min,1)))</f>
        <v/>
      </c>
      <c r="T1916" s="36"/>
      <c r="U1916" s="41"/>
      <c r="V1916" s="36"/>
      <c r="W1916" s="36"/>
      <c r="X1916" s="40" t="str">
        <f aca="false">IF($M1916="","",$M1916&amp;"#"&amp;COUNTIF($M$4:$M1916,$M1916))</f>
        <v/>
      </c>
      <c r="Y1916" s="40" t="str">
        <f aca="false">IF($B1916="","",IF($C1916="","NIK kosong",IF(LEN($C1916)&lt;&gt;16,"NIK bukan 16 digit",IF(COUNTIF($C$4:$C$2003,$C1916&amp;"*")&gt;1,"NIK ganda",IF(AND($D1916&lt;&gt;"",LEN($D1916)&lt;&gt;16),"No. KK bukan 16 digit",IF(AND($F1916="",$I1916=""),"Alamat kosong",IF($N1916="","Jabatan kosong",IF($O1916="","No. HP kosong",IF(AND($R1916&lt;&gt;"",$R1916&lt;17),"Usia di bawah 17","")))))))))</f>
        <v/>
      </c>
      <c r="Z1916" s="40" t="str">
        <f aca="false">IF($B1916="","",IF(AND(OR(CARI!$C$5="",ISNUMBER(SEARCH(CARI!$C$5,$B1916&amp;" "&amp;$C1916&amp;" "&amp;$D1916&amp;" "&amp;$O1916&amp;" "&amp;$I1916&amp;" "&amp;$F1916&amp;" "&amp;$J1916&amp;" "&amp;$K1916&amp;" "&amp;$L1916&amp;" "&amp;$V1916))),OR(CARI!$C$6="",$F1916=CARI!$C$6),OR(CARI!$C$7="",$G1916=CARI!$C$7),OR(CARI!$C$8="",$T1916=CARI!$C$8)),MAX($Z$3:Z1915)+1,""))</f>
        <v/>
      </c>
      <c r="AA1916" s="40" t="str">
        <f aca="false">IF($Y1916="","",MAX($AA$3:AA1915)+1)</f>
        <v/>
      </c>
      <c r="AB1916" s="40" t="str">
        <f aca="false">IF($F1916="","",$F1916&amp;"#"&amp;COUNTIF($F$4:$F1916,$F1916))</f>
        <v/>
      </c>
      <c r="AC1916" s="40" t="str">
        <f aca="false">IF($B1916="","",IF(AND(OR(CETAK!$J$10="",$F1916=CETAK!$J$10),OR(CETAK!$J$11="",$G1916=CETAK!$J$11),OR(CETAK!$J$12="",$P1916=CETAK!$J$12),OR(CETAK!$J$13="",$N1916=CETAK!$J$13),OR(CETAK!$J$14="",$T1916=CETAK!$J$14)),MAX($AC$3:AC1915)+1,""))</f>
        <v/>
      </c>
      <c r="AD1916" s="40" t="str">
        <f aca="false">IF($B1916="","",IF(AND(OR(ABSENSI!$H$10="",$F1916=ABSENSI!$H$10),OR(ABSENSI!$H$11="",$G1916=ABSENSI!$H$11),OR(ABSENSI!$H$12="",$P1916=ABSENSI!$H$12)),MAX($AD$3:AD1915)+1,""))</f>
        <v/>
      </c>
      <c r="AE1916" s="40" t="str">
        <f aca="false">IF($B1916="","",IF(AND(OR(KARTU!$K$6="",$F1916=KARTU!$K$6),OR(KARTU!$K$7="",$G1916=KARTU!$K$7),OR(KARTU!$K$8="",$P1916=KARTU!$K$8)),MAX($AE$3:AE1915)+1,""))</f>
        <v/>
      </c>
    </row>
    <row r="1917" customFormat="false" ht="15" hidden="false" customHeight="false" outlineLevel="0" collapsed="false">
      <c r="A1917" s="35" t="str">
        <f aca="false">IF($B1917="","",COUNTA($B$4:$B1917))</f>
        <v/>
      </c>
      <c r="B1917" s="36"/>
      <c r="C1917" s="37"/>
      <c r="D1917" s="37"/>
      <c r="E1917" s="38"/>
      <c r="F1917" s="36"/>
      <c r="G1917" s="39"/>
      <c r="H1917" s="39"/>
      <c r="I1917" s="36"/>
      <c r="J1917" s="36"/>
      <c r="K1917" s="36"/>
      <c r="L1917" s="36"/>
      <c r="M1917" s="40" t="str">
        <f aca="false">IF($F1917="","",$F1917&amp;IF($G1917="",""," - RT "&amp;$G1917&amp;IF($H1917="","","/"&amp;$H1917)))</f>
        <v/>
      </c>
      <c r="N1917" s="36"/>
      <c r="O1917" s="37"/>
      <c r="P1917" s="39"/>
      <c r="Q1917" s="41"/>
      <c r="R1917" s="35" t="str">
        <f aca="true">IF(OR($B1917="",$Q1917=""),"",DATEDIF($Q1917,TODAY(),"Y"))</f>
        <v/>
      </c>
      <c r="S1917" s="40" t="str">
        <f aca="false">IF($R1917="","",INDEX(usia_label,MATCH($R1917,usia_min,1)))</f>
        <v/>
      </c>
      <c r="T1917" s="36"/>
      <c r="U1917" s="41"/>
      <c r="V1917" s="36"/>
      <c r="W1917" s="36"/>
      <c r="X1917" s="40" t="str">
        <f aca="false">IF($M1917="","",$M1917&amp;"#"&amp;COUNTIF($M$4:$M1917,$M1917))</f>
        <v/>
      </c>
      <c r="Y1917" s="40" t="str">
        <f aca="false">IF($B1917="","",IF($C1917="","NIK kosong",IF(LEN($C1917)&lt;&gt;16,"NIK bukan 16 digit",IF(COUNTIF($C$4:$C$2003,$C1917&amp;"*")&gt;1,"NIK ganda",IF(AND($D1917&lt;&gt;"",LEN($D1917)&lt;&gt;16),"No. KK bukan 16 digit",IF(AND($F1917="",$I1917=""),"Alamat kosong",IF($N1917="","Jabatan kosong",IF($O1917="","No. HP kosong",IF(AND($R1917&lt;&gt;"",$R1917&lt;17),"Usia di bawah 17","")))))))))</f>
        <v/>
      </c>
      <c r="Z1917" s="40" t="str">
        <f aca="false">IF($B1917="","",IF(AND(OR(CARI!$C$5="",ISNUMBER(SEARCH(CARI!$C$5,$B1917&amp;" "&amp;$C1917&amp;" "&amp;$D1917&amp;" "&amp;$O1917&amp;" "&amp;$I1917&amp;" "&amp;$F1917&amp;" "&amp;$J1917&amp;" "&amp;$K1917&amp;" "&amp;$L1917&amp;" "&amp;$V1917))),OR(CARI!$C$6="",$F1917=CARI!$C$6),OR(CARI!$C$7="",$G1917=CARI!$C$7),OR(CARI!$C$8="",$T1917=CARI!$C$8)),MAX($Z$3:Z1916)+1,""))</f>
        <v/>
      </c>
      <c r="AA1917" s="40" t="str">
        <f aca="false">IF($Y1917="","",MAX($AA$3:AA1916)+1)</f>
        <v/>
      </c>
      <c r="AB1917" s="40" t="str">
        <f aca="false">IF($F1917="","",$F1917&amp;"#"&amp;COUNTIF($F$4:$F1917,$F1917))</f>
        <v/>
      </c>
      <c r="AC1917" s="40" t="str">
        <f aca="false">IF($B1917="","",IF(AND(OR(CETAK!$J$10="",$F1917=CETAK!$J$10),OR(CETAK!$J$11="",$G1917=CETAK!$J$11),OR(CETAK!$J$12="",$P1917=CETAK!$J$12),OR(CETAK!$J$13="",$N1917=CETAK!$J$13),OR(CETAK!$J$14="",$T1917=CETAK!$J$14)),MAX($AC$3:AC1916)+1,""))</f>
        <v/>
      </c>
      <c r="AD1917" s="40" t="str">
        <f aca="false">IF($B1917="","",IF(AND(OR(ABSENSI!$H$10="",$F1917=ABSENSI!$H$10),OR(ABSENSI!$H$11="",$G1917=ABSENSI!$H$11),OR(ABSENSI!$H$12="",$P1917=ABSENSI!$H$12)),MAX($AD$3:AD1916)+1,""))</f>
        <v/>
      </c>
      <c r="AE1917" s="40" t="str">
        <f aca="false">IF($B1917="","",IF(AND(OR(KARTU!$K$6="",$F1917=KARTU!$K$6),OR(KARTU!$K$7="",$G1917=KARTU!$K$7),OR(KARTU!$K$8="",$P1917=KARTU!$K$8)),MAX($AE$3:AE1916)+1,""))</f>
        <v/>
      </c>
    </row>
    <row r="1918" customFormat="false" ht="15" hidden="false" customHeight="false" outlineLevel="0" collapsed="false">
      <c r="A1918" s="35" t="str">
        <f aca="false">IF($B1918="","",COUNTA($B$4:$B1918))</f>
        <v/>
      </c>
      <c r="B1918" s="36"/>
      <c r="C1918" s="37"/>
      <c r="D1918" s="37"/>
      <c r="E1918" s="38"/>
      <c r="F1918" s="36"/>
      <c r="G1918" s="39"/>
      <c r="H1918" s="39"/>
      <c r="I1918" s="36"/>
      <c r="J1918" s="36"/>
      <c r="K1918" s="36"/>
      <c r="L1918" s="36"/>
      <c r="M1918" s="40" t="str">
        <f aca="false">IF($F1918="","",$F1918&amp;IF($G1918="",""," - RT "&amp;$G1918&amp;IF($H1918="","","/"&amp;$H1918)))</f>
        <v/>
      </c>
      <c r="N1918" s="36"/>
      <c r="O1918" s="37"/>
      <c r="P1918" s="39"/>
      <c r="Q1918" s="41"/>
      <c r="R1918" s="35" t="str">
        <f aca="true">IF(OR($B1918="",$Q1918=""),"",DATEDIF($Q1918,TODAY(),"Y"))</f>
        <v/>
      </c>
      <c r="S1918" s="40" t="str">
        <f aca="false">IF($R1918="","",INDEX(usia_label,MATCH($R1918,usia_min,1)))</f>
        <v/>
      </c>
      <c r="T1918" s="36"/>
      <c r="U1918" s="41"/>
      <c r="V1918" s="36"/>
      <c r="W1918" s="36"/>
      <c r="X1918" s="40" t="str">
        <f aca="false">IF($M1918="","",$M1918&amp;"#"&amp;COUNTIF($M$4:$M1918,$M1918))</f>
        <v/>
      </c>
      <c r="Y1918" s="40" t="str">
        <f aca="false">IF($B1918="","",IF($C1918="","NIK kosong",IF(LEN($C1918)&lt;&gt;16,"NIK bukan 16 digit",IF(COUNTIF($C$4:$C$2003,$C1918&amp;"*")&gt;1,"NIK ganda",IF(AND($D1918&lt;&gt;"",LEN($D1918)&lt;&gt;16),"No. KK bukan 16 digit",IF(AND($F1918="",$I1918=""),"Alamat kosong",IF($N1918="","Jabatan kosong",IF($O1918="","No. HP kosong",IF(AND($R1918&lt;&gt;"",$R1918&lt;17),"Usia di bawah 17","")))))))))</f>
        <v/>
      </c>
      <c r="Z1918" s="40" t="str">
        <f aca="false">IF($B1918="","",IF(AND(OR(CARI!$C$5="",ISNUMBER(SEARCH(CARI!$C$5,$B1918&amp;" "&amp;$C1918&amp;" "&amp;$D1918&amp;" "&amp;$O1918&amp;" "&amp;$I1918&amp;" "&amp;$F1918&amp;" "&amp;$J1918&amp;" "&amp;$K1918&amp;" "&amp;$L1918&amp;" "&amp;$V1918))),OR(CARI!$C$6="",$F1918=CARI!$C$6),OR(CARI!$C$7="",$G1918=CARI!$C$7),OR(CARI!$C$8="",$T1918=CARI!$C$8)),MAX($Z$3:Z1917)+1,""))</f>
        <v/>
      </c>
      <c r="AA1918" s="40" t="str">
        <f aca="false">IF($Y1918="","",MAX($AA$3:AA1917)+1)</f>
        <v/>
      </c>
      <c r="AB1918" s="40" t="str">
        <f aca="false">IF($F1918="","",$F1918&amp;"#"&amp;COUNTIF($F$4:$F1918,$F1918))</f>
        <v/>
      </c>
      <c r="AC1918" s="40" t="str">
        <f aca="false">IF($B1918="","",IF(AND(OR(CETAK!$J$10="",$F1918=CETAK!$J$10),OR(CETAK!$J$11="",$G1918=CETAK!$J$11),OR(CETAK!$J$12="",$P1918=CETAK!$J$12),OR(CETAK!$J$13="",$N1918=CETAK!$J$13),OR(CETAK!$J$14="",$T1918=CETAK!$J$14)),MAX($AC$3:AC1917)+1,""))</f>
        <v/>
      </c>
      <c r="AD1918" s="40" t="str">
        <f aca="false">IF($B1918="","",IF(AND(OR(ABSENSI!$H$10="",$F1918=ABSENSI!$H$10),OR(ABSENSI!$H$11="",$G1918=ABSENSI!$H$11),OR(ABSENSI!$H$12="",$P1918=ABSENSI!$H$12)),MAX($AD$3:AD1917)+1,""))</f>
        <v/>
      </c>
      <c r="AE1918" s="40" t="str">
        <f aca="false">IF($B1918="","",IF(AND(OR(KARTU!$K$6="",$F1918=KARTU!$K$6),OR(KARTU!$K$7="",$G1918=KARTU!$K$7),OR(KARTU!$K$8="",$P1918=KARTU!$K$8)),MAX($AE$3:AE1917)+1,""))</f>
        <v/>
      </c>
    </row>
    <row r="1919" customFormat="false" ht="15" hidden="false" customHeight="false" outlineLevel="0" collapsed="false">
      <c r="A1919" s="35" t="str">
        <f aca="false">IF($B1919="","",COUNTA($B$4:$B1919))</f>
        <v/>
      </c>
      <c r="B1919" s="36"/>
      <c r="C1919" s="37"/>
      <c r="D1919" s="37"/>
      <c r="E1919" s="38"/>
      <c r="F1919" s="36"/>
      <c r="G1919" s="39"/>
      <c r="H1919" s="39"/>
      <c r="I1919" s="36"/>
      <c r="J1919" s="36"/>
      <c r="K1919" s="36"/>
      <c r="L1919" s="36"/>
      <c r="M1919" s="40" t="str">
        <f aca="false">IF($F1919="","",$F1919&amp;IF($G1919="",""," - RT "&amp;$G1919&amp;IF($H1919="","","/"&amp;$H1919)))</f>
        <v/>
      </c>
      <c r="N1919" s="36"/>
      <c r="O1919" s="37"/>
      <c r="P1919" s="39"/>
      <c r="Q1919" s="41"/>
      <c r="R1919" s="35" t="str">
        <f aca="true">IF(OR($B1919="",$Q1919=""),"",DATEDIF($Q1919,TODAY(),"Y"))</f>
        <v/>
      </c>
      <c r="S1919" s="40" t="str">
        <f aca="false">IF($R1919="","",INDEX(usia_label,MATCH($R1919,usia_min,1)))</f>
        <v/>
      </c>
      <c r="T1919" s="36"/>
      <c r="U1919" s="41"/>
      <c r="V1919" s="36"/>
      <c r="W1919" s="36"/>
      <c r="X1919" s="40" t="str">
        <f aca="false">IF($M1919="","",$M1919&amp;"#"&amp;COUNTIF($M$4:$M1919,$M1919))</f>
        <v/>
      </c>
      <c r="Y1919" s="40" t="str">
        <f aca="false">IF($B1919="","",IF($C1919="","NIK kosong",IF(LEN($C1919)&lt;&gt;16,"NIK bukan 16 digit",IF(COUNTIF($C$4:$C$2003,$C1919&amp;"*")&gt;1,"NIK ganda",IF(AND($D1919&lt;&gt;"",LEN($D1919)&lt;&gt;16),"No. KK bukan 16 digit",IF(AND($F1919="",$I1919=""),"Alamat kosong",IF($N1919="","Jabatan kosong",IF($O1919="","No. HP kosong",IF(AND($R1919&lt;&gt;"",$R1919&lt;17),"Usia di bawah 17","")))))))))</f>
        <v/>
      </c>
      <c r="Z1919" s="40" t="str">
        <f aca="false">IF($B1919="","",IF(AND(OR(CARI!$C$5="",ISNUMBER(SEARCH(CARI!$C$5,$B1919&amp;" "&amp;$C1919&amp;" "&amp;$D1919&amp;" "&amp;$O1919&amp;" "&amp;$I1919&amp;" "&amp;$F1919&amp;" "&amp;$J1919&amp;" "&amp;$K1919&amp;" "&amp;$L1919&amp;" "&amp;$V1919))),OR(CARI!$C$6="",$F1919=CARI!$C$6),OR(CARI!$C$7="",$G1919=CARI!$C$7),OR(CARI!$C$8="",$T1919=CARI!$C$8)),MAX($Z$3:Z1918)+1,""))</f>
        <v/>
      </c>
      <c r="AA1919" s="40" t="str">
        <f aca="false">IF($Y1919="","",MAX($AA$3:AA1918)+1)</f>
        <v/>
      </c>
      <c r="AB1919" s="40" t="str">
        <f aca="false">IF($F1919="","",$F1919&amp;"#"&amp;COUNTIF($F$4:$F1919,$F1919))</f>
        <v/>
      </c>
      <c r="AC1919" s="40" t="str">
        <f aca="false">IF($B1919="","",IF(AND(OR(CETAK!$J$10="",$F1919=CETAK!$J$10),OR(CETAK!$J$11="",$G1919=CETAK!$J$11),OR(CETAK!$J$12="",$P1919=CETAK!$J$12),OR(CETAK!$J$13="",$N1919=CETAK!$J$13),OR(CETAK!$J$14="",$T1919=CETAK!$J$14)),MAX($AC$3:AC1918)+1,""))</f>
        <v/>
      </c>
      <c r="AD1919" s="40" t="str">
        <f aca="false">IF($B1919="","",IF(AND(OR(ABSENSI!$H$10="",$F1919=ABSENSI!$H$10),OR(ABSENSI!$H$11="",$G1919=ABSENSI!$H$11),OR(ABSENSI!$H$12="",$P1919=ABSENSI!$H$12)),MAX($AD$3:AD1918)+1,""))</f>
        <v/>
      </c>
      <c r="AE1919" s="40" t="str">
        <f aca="false">IF($B1919="","",IF(AND(OR(KARTU!$K$6="",$F1919=KARTU!$K$6),OR(KARTU!$K$7="",$G1919=KARTU!$K$7),OR(KARTU!$K$8="",$P1919=KARTU!$K$8)),MAX($AE$3:AE1918)+1,""))</f>
        <v/>
      </c>
    </row>
    <row r="1920" customFormat="false" ht="15" hidden="false" customHeight="false" outlineLevel="0" collapsed="false">
      <c r="A1920" s="35" t="str">
        <f aca="false">IF($B1920="","",COUNTA($B$4:$B1920))</f>
        <v/>
      </c>
      <c r="B1920" s="36"/>
      <c r="C1920" s="37"/>
      <c r="D1920" s="37"/>
      <c r="E1920" s="38"/>
      <c r="F1920" s="36"/>
      <c r="G1920" s="39"/>
      <c r="H1920" s="39"/>
      <c r="I1920" s="36"/>
      <c r="J1920" s="36"/>
      <c r="K1920" s="36"/>
      <c r="L1920" s="36"/>
      <c r="M1920" s="40" t="str">
        <f aca="false">IF($F1920="","",$F1920&amp;IF($G1920="",""," - RT "&amp;$G1920&amp;IF($H1920="","","/"&amp;$H1920)))</f>
        <v/>
      </c>
      <c r="N1920" s="36"/>
      <c r="O1920" s="37"/>
      <c r="P1920" s="39"/>
      <c r="Q1920" s="41"/>
      <c r="R1920" s="35" t="str">
        <f aca="true">IF(OR($B1920="",$Q1920=""),"",DATEDIF($Q1920,TODAY(),"Y"))</f>
        <v/>
      </c>
      <c r="S1920" s="40" t="str">
        <f aca="false">IF($R1920="","",INDEX(usia_label,MATCH($R1920,usia_min,1)))</f>
        <v/>
      </c>
      <c r="T1920" s="36"/>
      <c r="U1920" s="41"/>
      <c r="V1920" s="36"/>
      <c r="W1920" s="36"/>
      <c r="X1920" s="40" t="str">
        <f aca="false">IF($M1920="","",$M1920&amp;"#"&amp;COUNTIF($M$4:$M1920,$M1920))</f>
        <v/>
      </c>
      <c r="Y1920" s="40" t="str">
        <f aca="false">IF($B1920="","",IF($C1920="","NIK kosong",IF(LEN($C1920)&lt;&gt;16,"NIK bukan 16 digit",IF(COUNTIF($C$4:$C$2003,$C1920&amp;"*")&gt;1,"NIK ganda",IF(AND($D1920&lt;&gt;"",LEN($D1920)&lt;&gt;16),"No. KK bukan 16 digit",IF(AND($F1920="",$I1920=""),"Alamat kosong",IF($N1920="","Jabatan kosong",IF($O1920="","No. HP kosong",IF(AND($R1920&lt;&gt;"",$R1920&lt;17),"Usia di bawah 17","")))))))))</f>
        <v/>
      </c>
      <c r="Z1920" s="40" t="str">
        <f aca="false">IF($B1920="","",IF(AND(OR(CARI!$C$5="",ISNUMBER(SEARCH(CARI!$C$5,$B1920&amp;" "&amp;$C1920&amp;" "&amp;$D1920&amp;" "&amp;$O1920&amp;" "&amp;$I1920&amp;" "&amp;$F1920&amp;" "&amp;$J1920&amp;" "&amp;$K1920&amp;" "&amp;$L1920&amp;" "&amp;$V1920))),OR(CARI!$C$6="",$F1920=CARI!$C$6),OR(CARI!$C$7="",$G1920=CARI!$C$7),OR(CARI!$C$8="",$T1920=CARI!$C$8)),MAX($Z$3:Z1919)+1,""))</f>
        <v/>
      </c>
      <c r="AA1920" s="40" t="str">
        <f aca="false">IF($Y1920="","",MAX($AA$3:AA1919)+1)</f>
        <v/>
      </c>
      <c r="AB1920" s="40" t="str">
        <f aca="false">IF($F1920="","",$F1920&amp;"#"&amp;COUNTIF($F$4:$F1920,$F1920))</f>
        <v/>
      </c>
      <c r="AC1920" s="40" t="str">
        <f aca="false">IF($B1920="","",IF(AND(OR(CETAK!$J$10="",$F1920=CETAK!$J$10),OR(CETAK!$J$11="",$G1920=CETAK!$J$11),OR(CETAK!$J$12="",$P1920=CETAK!$J$12),OR(CETAK!$J$13="",$N1920=CETAK!$J$13),OR(CETAK!$J$14="",$T1920=CETAK!$J$14)),MAX($AC$3:AC1919)+1,""))</f>
        <v/>
      </c>
      <c r="AD1920" s="40" t="str">
        <f aca="false">IF($B1920="","",IF(AND(OR(ABSENSI!$H$10="",$F1920=ABSENSI!$H$10),OR(ABSENSI!$H$11="",$G1920=ABSENSI!$H$11),OR(ABSENSI!$H$12="",$P1920=ABSENSI!$H$12)),MAX($AD$3:AD1919)+1,""))</f>
        <v/>
      </c>
      <c r="AE1920" s="40" t="str">
        <f aca="false">IF($B1920="","",IF(AND(OR(KARTU!$K$6="",$F1920=KARTU!$K$6),OR(KARTU!$K$7="",$G1920=KARTU!$K$7),OR(KARTU!$K$8="",$P1920=KARTU!$K$8)),MAX($AE$3:AE1919)+1,""))</f>
        <v/>
      </c>
    </row>
    <row r="1921" customFormat="false" ht="15" hidden="false" customHeight="false" outlineLevel="0" collapsed="false">
      <c r="A1921" s="35" t="str">
        <f aca="false">IF($B1921="","",COUNTA($B$4:$B1921))</f>
        <v/>
      </c>
      <c r="B1921" s="36"/>
      <c r="C1921" s="37"/>
      <c r="D1921" s="37"/>
      <c r="E1921" s="38"/>
      <c r="F1921" s="36"/>
      <c r="G1921" s="39"/>
      <c r="H1921" s="39"/>
      <c r="I1921" s="36"/>
      <c r="J1921" s="36"/>
      <c r="K1921" s="36"/>
      <c r="L1921" s="36"/>
      <c r="M1921" s="40" t="str">
        <f aca="false">IF($F1921="","",$F1921&amp;IF($G1921="",""," - RT "&amp;$G1921&amp;IF($H1921="","","/"&amp;$H1921)))</f>
        <v/>
      </c>
      <c r="N1921" s="36"/>
      <c r="O1921" s="37"/>
      <c r="P1921" s="39"/>
      <c r="Q1921" s="41"/>
      <c r="R1921" s="35" t="str">
        <f aca="true">IF(OR($B1921="",$Q1921=""),"",DATEDIF($Q1921,TODAY(),"Y"))</f>
        <v/>
      </c>
      <c r="S1921" s="40" t="str">
        <f aca="false">IF($R1921="","",INDEX(usia_label,MATCH($R1921,usia_min,1)))</f>
        <v/>
      </c>
      <c r="T1921" s="36"/>
      <c r="U1921" s="41"/>
      <c r="V1921" s="36"/>
      <c r="W1921" s="36"/>
      <c r="X1921" s="40" t="str">
        <f aca="false">IF($M1921="","",$M1921&amp;"#"&amp;COUNTIF($M$4:$M1921,$M1921))</f>
        <v/>
      </c>
      <c r="Y1921" s="40" t="str">
        <f aca="false">IF($B1921="","",IF($C1921="","NIK kosong",IF(LEN($C1921)&lt;&gt;16,"NIK bukan 16 digit",IF(COUNTIF($C$4:$C$2003,$C1921&amp;"*")&gt;1,"NIK ganda",IF(AND($D1921&lt;&gt;"",LEN($D1921)&lt;&gt;16),"No. KK bukan 16 digit",IF(AND($F1921="",$I1921=""),"Alamat kosong",IF($N1921="","Jabatan kosong",IF($O1921="","No. HP kosong",IF(AND($R1921&lt;&gt;"",$R1921&lt;17),"Usia di bawah 17","")))))))))</f>
        <v/>
      </c>
      <c r="Z1921" s="40" t="str">
        <f aca="false">IF($B1921="","",IF(AND(OR(CARI!$C$5="",ISNUMBER(SEARCH(CARI!$C$5,$B1921&amp;" "&amp;$C1921&amp;" "&amp;$D1921&amp;" "&amp;$O1921&amp;" "&amp;$I1921&amp;" "&amp;$F1921&amp;" "&amp;$J1921&amp;" "&amp;$K1921&amp;" "&amp;$L1921&amp;" "&amp;$V1921))),OR(CARI!$C$6="",$F1921=CARI!$C$6),OR(CARI!$C$7="",$G1921=CARI!$C$7),OR(CARI!$C$8="",$T1921=CARI!$C$8)),MAX($Z$3:Z1920)+1,""))</f>
        <v/>
      </c>
      <c r="AA1921" s="40" t="str">
        <f aca="false">IF($Y1921="","",MAX($AA$3:AA1920)+1)</f>
        <v/>
      </c>
      <c r="AB1921" s="40" t="str">
        <f aca="false">IF($F1921="","",$F1921&amp;"#"&amp;COUNTIF($F$4:$F1921,$F1921))</f>
        <v/>
      </c>
      <c r="AC1921" s="40" t="str">
        <f aca="false">IF($B1921="","",IF(AND(OR(CETAK!$J$10="",$F1921=CETAK!$J$10),OR(CETAK!$J$11="",$G1921=CETAK!$J$11),OR(CETAK!$J$12="",$P1921=CETAK!$J$12),OR(CETAK!$J$13="",$N1921=CETAK!$J$13),OR(CETAK!$J$14="",$T1921=CETAK!$J$14)),MAX($AC$3:AC1920)+1,""))</f>
        <v/>
      </c>
      <c r="AD1921" s="40" t="str">
        <f aca="false">IF($B1921="","",IF(AND(OR(ABSENSI!$H$10="",$F1921=ABSENSI!$H$10),OR(ABSENSI!$H$11="",$G1921=ABSENSI!$H$11),OR(ABSENSI!$H$12="",$P1921=ABSENSI!$H$12)),MAX($AD$3:AD1920)+1,""))</f>
        <v/>
      </c>
      <c r="AE1921" s="40" t="str">
        <f aca="false">IF($B1921="","",IF(AND(OR(KARTU!$K$6="",$F1921=KARTU!$K$6),OR(KARTU!$K$7="",$G1921=KARTU!$K$7),OR(KARTU!$K$8="",$P1921=KARTU!$K$8)),MAX($AE$3:AE1920)+1,""))</f>
        <v/>
      </c>
    </row>
    <row r="1922" customFormat="false" ht="15" hidden="false" customHeight="false" outlineLevel="0" collapsed="false">
      <c r="A1922" s="35" t="str">
        <f aca="false">IF($B1922="","",COUNTA($B$4:$B1922))</f>
        <v/>
      </c>
      <c r="B1922" s="36"/>
      <c r="C1922" s="37"/>
      <c r="D1922" s="37"/>
      <c r="E1922" s="38"/>
      <c r="F1922" s="36"/>
      <c r="G1922" s="39"/>
      <c r="H1922" s="39"/>
      <c r="I1922" s="36"/>
      <c r="J1922" s="36"/>
      <c r="K1922" s="36"/>
      <c r="L1922" s="36"/>
      <c r="M1922" s="40" t="str">
        <f aca="false">IF($F1922="","",$F1922&amp;IF($G1922="",""," - RT "&amp;$G1922&amp;IF($H1922="","","/"&amp;$H1922)))</f>
        <v/>
      </c>
      <c r="N1922" s="36"/>
      <c r="O1922" s="37"/>
      <c r="P1922" s="39"/>
      <c r="Q1922" s="41"/>
      <c r="R1922" s="35" t="str">
        <f aca="true">IF(OR($B1922="",$Q1922=""),"",DATEDIF($Q1922,TODAY(),"Y"))</f>
        <v/>
      </c>
      <c r="S1922" s="40" t="str">
        <f aca="false">IF($R1922="","",INDEX(usia_label,MATCH($R1922,usia_min,1)))</f>
        <v/>
      </c>
      <c r="T1922" s="36"/>
      <c r="U1922" s="41"/>
      <c r="V1922" s="36"/>
      <c r="W1922" s="36"/>
      <c r="X1922" s="40" t="str">
        <f aca="false">IF($M1922="","",$M1922&amp;"#"&amp;COUNTIF($M$4:$M1922,$M1922))</f>
        <v/>
      </c>
      <c r="Y1922" s="40" t="str">
        <f aca="false">IF($B1922="","",IF($C1922="","NIK kosong",IF(LEN($C1922)&lt;&gt;16,"NIK bukan 16 digit",IF(COUNTIF($C$4:$C$2003,$C1922&amp;"*")&gt;1,"NIK ganda",IF(AND($D1922&lt;&gt;"",LEN($D1922)&lt;&gt;16),"No. KK bukan 16 digit",IF(AND($F1922="",$I1922=""),"Alamat kosong",IF($N1922="","Jabatan kosong",IF($O1922="","No. HP kosong",IF(AND($R1922&lt;&gt;"",$R1922&lt;17),"Usia di bawah 17","")))))))))</f>
        <v/>
      </c>
      <c r="Z1922" s="40" t="str">
        <f aca="false">IF($B1922="","",IF(AND(OR(CARI!$C$5="",ISNUMBER(SEARCH(CARI!$C$5,$B1922&amp;" "&amp;$C1922&amp;" "&amp;$D1922&amp;" "&amp;$O1922&amp;" "&amp;$I1922&amp;" "&amp;$F1922&amp;" "&amp;$J1922&amp;" "&amp;$K1922&amp;" "&amp;$L1922&amp;" "&amp;$V1922))),OR(CARI!$C$6="",$F1922=CARI!$C$6),OR(CARI!$C$7="",$G1922=CARI!$C$7),OR(CARI!$C$8="",$T1922=CARI!$C$8)),MAX($Z$3:Z1921)+1,""))</f>
        <v/>
      </c>
      <c r="AA1922" s="40" t="str">
        <f aca="false">IF($Y1922="","",MAX($AA$3:AA1921)+1)</f>
        <v/>
      </c>
      <c r="AB1922" s="40" t="str">
        <f aca="false">IF($F1922="","",$F1922&amp;"#"&amp;COUNTIF($F$4:$F1922,$F1922))</f>
        <v/>
      </c>
      <c r="AC1922" s="40" t="str">
        <f aca="false">IF($B1922="","",IF(AND(OR(CETAK!$J$10="",$F1922=CETAK!$J$10),OR(CETAK!$J$11="",$G1922=CETAK!$J$11),OR(CETAK!$J$12="",$P1922=CETAK!$J$12),OR(CETAK!$J$13="",$N1922=CETAK!$J$13),OR(CETAK!$J$14="",$T1922=CETAK!$J$14)),MAX($AC$3:AC1921)+1,""))</f>
        <v/>
      </c>
      <c r="AD1922" s="40" t="str">
        <f aca="false">IF($B1922="","",IF(AND(OR(ABSENSI!$H$10="",$F1922=ABSENSI!$H$10),OR(ABSENSI!$H$11="",$G1922=ABSENSI!$H$11),OR(ABSENSI!$H$12="",$P1922=ABSENSI!$H$12)),MAX($AD$3:AD1921)+1,""))</f>
        <v/>
      </c>
      <c r="AE1922" s="40" t="str">
        <f aca="false">IF($B1922="","",IF(AND(OR(KARTU!$K$6="",$F1922=KARTU!$K$6),OR(KARTU!$K$7="",$G1922=KARTU!$K$7),OR(KARTU!$K$8="",$P1922=KARTU!$K$8)),MAX($AE$3:AE1921)+1,""))</f>
        <v/>
      </c>
    </row>
    <row r="1923" customFormat="false" ht="15" hidden="false" customHeight="false" outlineLevel="0" collapsed="false">
      <c r="A1923" s="35" t="str">
        <f aca="false">IF($B1923="","",COUNTA($B$4:$B1923))</f>
        <v/>
      </c>
      <c r="B1923" s="36"/>
      <c r="C1923" s="37"/>
      <c r="D1923" s="37"/>
      <c r="E1923" s="38"/>
      <c r="F1923" s="36"/>
      <c r="G1923" s="39"/>
      <c r="H1923" s="39"/>
      <c r="I1923" s="36"/>
      <c r="J1923" s="36"/>
      <c r="K1923" s="36"/>
      <c r="L1923" s="36"/>
      <c r="M1923" s="40" t="str">
        <f aca="false">IF($F1923="","",$F1923&amp;IF($G1923="",""," - RT "&amp;$G1923&amp;IF($H1923="","","/"&amp;$H1923)))</f>
        <v/>
      </c>
      <c r="N1923" s="36"/>
      <c r="O1923" s="37"/>
      <c r="P1923" s="39"/>
      <c r="Q1923" s="41"/>
      <c r="R1923" s="35" t="str">
        <f aca="true">IF(OR($B1923="",$Q1923=""),"",DATEDIF($Q1923,TODAY(),"Y"))</f>
        <v/>
      </c>
      <c r="S1923" s="40" t="str">
        <f aca="false">IF($R1923="","",INDEX(usia_label,MATCH($R1923,usia_min,1)))</f>
        <v/>
      </c>
      <c r="T1923" s="36"/>
      <c r="U1923" s="41"/>
      <c r="V1923" s="36"/>
      <c r="W1923" s="36"/>
      <c r="X1923" s="40" t="str">
        <f aca="false">IF($M1923="","",$M1923&amp;"#"&amp;COUNTIF($M$4:$M1923,$M1923))</f>
        <v/>
      </c>
      <c r="Y1923" s="40" t="str">
        <f aca="false">IF($B1923="","",IF($C1923="","NIK kosong",IF(LEN($C1923)&lt;&gt;16,"NIK bukan 16 digit",IF(COUNTIF($C$4:$C$2003,$C1923&amp;"*")&gt;1,"NIK ganda",IF(AND($D1923&lt;&gt;"",LEN($D1923)&lt;&gt;16),"No. KK bukan 16 digit",IF(AND($F1923="",$I1923=""),"Alamat kosong",IF($N1923="","Jabatan kosong",IF($O1923="","No. HP kosong",IF(AND($R1923&lt;&gt;"",$R1923&lt;17),"Usia di bawah 17","")))))))))</f>
        <v/>
      </c>
      <c r="Z1923" s="40" t="str">
        <f aca="false">IF($B1923="","",IF(AND(OR(CARI!$C$5="",ISNUMBER(SEARCH(CARI!$C$5,$B1923&amp;" "&amp;$C1923&amp;" "&amp;$D1923&amp;" "&amp;$O1923&amp;" "&amp;$I1923&amp;" "&amp;$F1923&amp;" "&amp;$J1923&amp;" "&amp;$K1923&amp;" "&amp;$L1923&amp;" "&amp;$V1923))),OR(CARI!$C$6="",$F1923=CARI!$C$6),OR(CARI!$C$7="",$G1923=CARI!$C$7),OR(CARI!$C$8="",$T1923=CARI!$C$8)),MAX($Z$3:Z1922)+1,""))</f>
        <v/>
      </c>
      <c r="AA1923" s="40" t="str">
        <f aca="false">IF($Y1923="","",MAX($AA$3:AA1922)+1)</f>
        <v/>
      </c>
      <c r="AB1923" s="40" t="str">
        <f aca="false">IF($F1923="","",$F1923&amp;"#"&amp;COUNTIF($F$4:$F1923,$F1923))</f>
        <v/>
      </c>
      <c r="AC1923" s="40" t="str">
        <f aca="false">IF($B1923="","",IF(AND(OR(CETAK!$J$10="",$F1923=CETAK!$J$10),OR(CETAK!$J$11="",$G1923=CETAK!$J$11),OR(CETAK!$J$12="",$P1923=CETAK!$J$12),OR(CETAK!$J$13="",$N1923=CETAK!$J$13),OR(CETAK!$J$14="",$T1923=CETAK!$J$14)),MAX($AC$3:AC1922)+1,""))</f>
        <v/>
      </c>
      <c r="AD1923" s="40" t="str">
        <f aca="false">IF($B1923="","",IF(AND(OR(ABSENSI!$H$10="",$F1923=ABSENSI!$H$10),OR(ABSENSI!$H$11="",$G1923=ABSENSI!$H$11),OR(ABSENSI!$H$12="",$P1923=ABSENSI!$H$12)),MAX($AD$3:AD1922)+1,""))</f>
        <v/>
      </c>
      <c r="AE1923" s="40" t="str">
        <f aca="false">IF($B1923="","",IF(AND(OR(KARTU!$K$6="",$F1923=KARTU!$K$6),OR(KARTU!$K$7="",$G1923=KARTU!$K$7),OR(KARTU!$K$8="",$P1923=KARTU!$K$8)),MAX($AE$3:AE1922)+1,""))</f>
        <v/>
      </c>
    </row>
    <row r="1924" customFormat="false" ht="15" hidden="false" customHeight="false" outlineLevel="0" collapsed="false">
      <c r="A1924" s="35" t="str">
        <f aca="false">IF($B1924="","",COUNTA($B$4:$B1924))</f>
        <v/>
      </c>
      <c r="B1924" s="36"/>
      <c r="C1924" s="37"/>
      <c r="D1924" s="37"/>
      <c r="E1924" s="38"/>
      <c r="F1924" s="36"/>
      <c r="G1924" s="39"/>
      <c r="H1924" s="39"/>
      <c r="I1924" s="36"/>
      <c r="J1924" s="36"/>
      <c r="K1924" s="36"/>
      <c r="L1924" s="36"/>
      <c r="M1924" s="40" t="str">
        <f aca="false">IF($F1924="","",$F1924&amp;IF($G1924="",""," - RT "&amp;$G1924&amp;IF($H1924="","","/"&amp;$H1924)))</f>
        <v/>
      </c>
      <c r="N1924" s="36"/>
      <c r="O1924" s="37"/>
      <c r="P1924" s="39"/>
      <c r="Q1924" s="41"/>
      <c r="R1924" s="35" t="str">
        <f aca="true">IF(OR($B1924="",$Q1924=""),"",DATEDIF($Q1924,TODAY(),"Y"))</f>
        <v/>
      </c>
      <c r="S1924" s="40" t="str">
        <f aca="false">IF($R1924="","",INDEX(usia_label,MATCH($R1924,usia_min,1)))</f>
        <v/>
      </c>
      <c r="T1924" s="36"/>
      <c r="U1924" s="41"/>
      <c r="V1924" s="36"/>
      <c r="W1924" s="36"/>
      <c r="X1924" s="40" t="str">
        <f aca="false">IF($M1924="","",$M1924&amp;"#"&amp;COUNTIF($M$4:$M1924,$M1924))</f>
        <v/>
      </c>
      <c r="Y1924" s="40" t="str">
        <f aca="false">IF($B1924="","",IF($C1924="","NIK kosong",IF(LEN($C1924)&lt;&gt;16,"NIK bukan 16 digit",IF(COUNTIF($C$4:$C$2003,$C1924&amp;"*")&gt;1,"NIK ganda",IF(AND($D1924&lt;&gt;"",LEN($D1924)&lt;&gt;16),"No. KK bukan 16 digit",IF(AND($F1924="",$I1924=""),"Alamat kosong",IF($N1924="","Jabatan kosong",IF($O1924="","No. HP kosong",IF(AND($R1924&lt;&gt;"",$R1924&lt;17),"Usia di bawah 17","")))))))))</f>
        <v/>
      </c>
      <c r="Z1924" s="40" t="str">
        <f aca="false">IF($B1924="","",IF(AND(OR(CARI!$C$5="",ISNUMBER(SEARCH(CARI!$C$5,$B1924&amp;" "&amp;$C1924&amp;" "&amp;$D1924&amp;" "&amp;$O1924&amp;" "&amp;$I1924&amp;" "&amp;$F1924&amp;" "&amp;$J1924&amp;" "&amp;$K1924&amp;" "&amp;$L1924&amp;" "&amp;$V1924))),OR(CARI!$C$6="",$F1924=CARI!$C$6),OR(CARI!$C$7="",$G1924=CARI!$C$7),OR(CARI!$C$8="",$T1924=CARI!$C$8)),MAX($Z$3:Z1923)+1,""))</f>
        <v/>
      </c>
      <c r="AA1924" s="40" t="str">
        <f aca="false">IF($Y1924="","",MAX($AA$3:AA1923)+1)</f>
        <v/>
      </c>
      <c r="AB1924" s="40" t="str">
        <f aca="false">IF($F1924="","",$F1924&amp;"#"&amp;COUNTIF($F$4:$F1924,$F1924))</f>
        <v/>
      </c>
      <c r="AC1924" s="40" t="str">
        <f aca="false">IF($B1924="","",IF(AND(OR(CETAK!$J$10="",$F1924=CETAK!$J$10),OR(CETAK!$J$11="",$G1924=CETAK!$J$11),OR(CETAK!$J$12="",$P1924=CETAK!$J$12),OR(CETAK!$J$13="",$N1924=CETAK!$J$13),OR(CETAK!$J$14="",$T1924=CETAK!$J$14)),MAX($AC$3:AC1923)+1,""))</f>
        <v/>
      </c>
      <c r="AD1924" s="40" t="str">
        <f aca="false">IF($B1924="","",IF(AND(OR(ABSENSI!$H$10="",$F1924=ABSENSI!$H$10),OR(ABSENSI!$H$11="",$G1924=ABSENSI!$H$11),OR(ABSENSI!$H$12="",$P1924=ABSENSI!$H$12)),MAX($AD$3:AD1923)+1,""))</f>
        <v/>
      </c>
      <c r="AE1924" s="40" t="str">
        <f aca="false">IF($B1924="","",IF(AND(OR(KARTU!$K$6="",$F1924=KARTU!$K$6),OR(KARTU!$K$7="",$G1924=KARTU!$K$7),OR(KARTU!$K$8="",$P1924=KARTU!$K$8)),MAX($AE$3:AE1923)+1,""))</f>
        <v/>
      </c>
    </row>
    <row r="1925" customFormat="false" ht="15" hidden="false" customHeight="false" outlineLevel="0" collapsed="false">
      <c r="A1925" s="35" t="str">
        <f aca="false">IF($B1925="","",COUNTA($B$4:$B1925))</f>
        <v/>
      </c>
      <c r="B1925" s="36"/>
      <c r="C1925" s="37"/>
      <c r="D1925" s="37"/>
      <c r="E1925" s="38"/>
      <c r="F1925" s="36"/>
      <c r="G1925" s="39"/>
      <c r="H1925" s="39"/>
      <c r="I1925" s="36"/>
      <c r="J1925" s="36"/>
      <c r="K1925" s="36"/>
      <c r="L1925" s="36"/>
      <c r="M1925" s="40" t="str">
        <f aca="false">IF($F1925="","",$F1925&amp;IF($G1925="",""," - RT "&amp;$G1925&amp;IF($H1925="","","/"&amp;$H1925)))</f>
        <v/>
      </c>
      <c r="N1925" s="36"/>
      <c r="O1925" s="37"/>
      <c r="P1925" s="39"/>
      <c r="Q1925" s="41"/>
      <c r="R1925" s="35" t="str">
        <f aca="true">IF(OR($B1925="",$Q1925=""),"",DATEDIF($Q1925,TODAY(),"Y"))</f>
        <v/>
      </c>
      <c r="S1925" s="40" t="str">
        <f aca="false">IF($R1925="","",INDEX(usia_label,MATCH($R1925,usia_min,1)))</f>
        <v/>
      </c>
      <c r="T1925" s="36"/>
      <c r="U1925" s="41"/>
      <c r="V1925" s="36"/>
      <c r="W1925" s="36"/>
      <c r="X1925" s="40" t="str">
        <f aca="false">IF($M1925="","",$M1925&amp;"#"&amp;COUNTIF($M$4:$M1925,$M1925))</f>
        <v/>
      </c>
      <c r="Y1925" s="40" t="str">
        <f aca="false">IF($B1925="","",IF($C1925="","NIK kosong",IF(LEN($C1925)&lt;&gt;16,"NIK bukan 16 digit",IF(COUNTIF($C$4:$C$2003,$C1925&amp;"*")&gt;1,"NIK ganda",IF(AND($D1925&lt;&gt;"",LEN($D1925)&lt;&gt;16),"No. KK bukan 16 digit",IF(AND($F1925="",$I1925=""),"Alamat kosong",IF($N1925="","Jabatan kosong",IF($O1925="","No. HP kosong",IF(AND($R1925&lt;&gt;"",$R1925&lt;17),"Usia di bawah 17","")))))))))</f>
        <v/>
      </c>
      <c r="Z1925" s="40" t="str">
        <f aca="false">IF($B1925="","",IF(AND(OR(CARI!$C$5="",ISNUMBER(SEARCH(CARI!$C$5,$B1925&amp;" "&amp;$C1925&amp;" "&amp;$D1925&amp;" "&amp;$O1925&amp;" "&amp;$I1925&amp;" "&amp;$F1925&amp;" "&amp;$J1925&amp;" "&amp;$K1925&amp;" "&amp;$L1925&amp;" "&amp;$V1925))),OR(CARI!$C$6="",$F1925=CARI!$C$6),OR(CARI!$C$7="",$G1925=CARI!$C$7),OR(CARI!$C$8="",$T1925=CARI!$C$8)),MAX($Z$3:Z1924)+1,""))</f>
        <v/>
      </c>
      <c r="AA1925" s="40" t="str">
        <f aca="false">IF($Y1925="","",MAX($AA$3:AA1924)+1)</f>
        <v/>
      </c>
      <c r="AB1925" s="40" t="str">
        <f aca="false">IF($F1925="","",$F1925&amp;"#"&amp;COUNTIF($F$4:$F1925,$F1925))</f>
        <v/>
      </c>
      <c r="AC1925" s="40" t="str">
        <f aca="false">IF($B1925="","",IF(AND(OR(CETAK!$J$10="",$F1925=CETAK!$J$10),OR(CETAK!$J$11="",$G1925=CETAK!$J$11),OR(CETAK!$J$12="",$P1925=CETAK!$J$12),OR(CETAK!$J$13="",$N1925=CETAK!$J$13),OR(CETAK!$J$14="",$T1925=CETAK!$J$14)),MAX($AC$3:AC1924)+1,""))</f>
        <v/>
      </c>
      <c r="AD1925" s="40" t="str">
        <f aca="false">IF($B1925="","",IF(AND(OR(ABSENSI!$H$10="",$F1925=ABSENSI!$H$10),OR(ABSENSI!$H$11="",$G1925=ABSENSI!$H$11),OR(ABSENSI!$H$12="",$P1925=ABSENSI!$H$12)),MAX($AD$3:AD1924)+1,""))</f>
        <v/>
      </c>
      <c r="AE1925" s="40" t="str">
        <f aca="false">IF($B1925="","",IF(AND(OR(KARTU!$K$6="",$F1925=KARTU!$K$6),OR(KARTU!$K$7="",$G1925=KARTU!$K$7),OR(KARTU!$K$8="",$P1925=KARTU!$K$8)),MAX($AE$3:AE1924)+1,""))</f>
        <v/>
      </c>
    </row>
    <row r="1926" customFormat="false" ht="15" hidden="false" customHeight="false" outlineLevel="0" collapsed="false">
      <c r="A1926" s="35" t="str">
        <f aca="false">IF($B1926="","",COUNTA($B$4:$B1926))</f>
        <v/>
      </c>
      <c r="B1926" s="36"/>
      <c r="C1926" s="37"/>
      <c r="D1926" s="37"/>
      <c r="E1926" s="38"/>
      <c r="F1926" s="36"/>
      <c r="G1926" s="39"/>
      <c r="H1926" s="39"/>
      <c r="I1926" s="36"/>
      <c r="J1926" s="36"/>
      <c r="K1926" s="36"/>
      <c r="L1926" s="36"/>
      <c r="M1926" s="40" t="str">
        <f aca="false">IF($F1926="","",$F1926&amp;IF($G1926="",""," - RT "&amp;$G1926&amp;IF($H1926="","","/"&amp;$H1926)))</f>
        <v/>
      </c>
      <c r="N1926" s="36"/>
      <c r="O1926" s="37"/>
      <c r="P1926" s="39"/>
      <c r="Q1926" s="41"/>
      <c r="R1926" s="35" t="str">
        <f aca="true">IF(OR($B1926="",$Q1926=""),"",DATEDIF($Q1926,TODAY(),"Y"))</f>
        <v/>
      </c>
      <c r="S1926" s="40" t="str">
        <f aca="false">IF($R1926="","",INDEX(usia_label,MATCH($R1926,usia_min,1)))</f>
        <v/>
      </c>
      <c r="T1926" s="36"/>
      <c r="U1926" s="41"/>
      <c r="V1926" s="36"/>
      <c r="W1926" s="36"/>
      <c r="X1926" s="40" t="str">
        <f aca="false">IF($M1926="","",$M1926&amp;"#"&amp;COUNTIF($M$4:$M1926,$M1926))</f>
        <v/>
      </c>
      <c r="Y1926" s="40" t="str">
        <f aca="false">IF($B1926="","",IF($C1926="","NIK kosong",IF(LEN($C1926)&lt;&gt;16,"NIK bukan 16 digit",IF(COUNTIF($C$4:$C$2003,$C1926&amp;"*")&gt;1,"NIK ganda",IF(AND($D1926&lt;&gt;"",LEN($D1926)&lt;&gt;16),"No. KK bukan 16 digit",IF(AND($F1926="",$I1926=""),"Alamat kosong",IF($N1926="","Jabatan kosong",IF($O1926="","No. HP kosong",IF(AND($R1926&lt;&gt;"",$R1926&lt;17),"Usia di bawah 17","")))))))))</f>
        <v/>
      </c>
      <c r="Z1926" s="40" t="str">
        <f aca="false">IF($B1926="","",IF(AND(OR(CARI!$C$5="",ISNUMBER(SEARCH(CARI!$C$5,$B1926&amp;" "&amp;$C1926&amp;" "&amp;$D1926&amp;" "&amp;$O1926&amp;" "&amp;$I1926&amp;" "&amp;$F1926&amp;" "&amp;$J1926&amp;" "&amp;$K1926&amp;" "&amp;$L1926&amp;" "&amp;$V1926))),OR(CARI!$C$6="",$F1926=CARI!$C$6),OR(CARI!$C$7="",$G1926=CARI!$C$7),OR(CARI!$C$8="",$T1926=CARI!$C$8)),MAX($Z$3:Z1925)+1,""))</f>
        <v/>
      </c>
      <c r="AA1926" s="40" t="str">
        <f aca="false">IF($Y1926="","",MAX($AA$3:AA1925)+1)</f>
        <v/>
      </c>
      <c r="AB1926" s="40" t="str">
        <f aca="false">IF($F1926="","",$F1926&amp;"#"&amp;COUNTIF($F$4:$F1926,$F1926))</f>
        <v/>
      </c>
      <c r="AC1926" s="40" t="str">
        <f aca="false">IF($B1926="","",IF(AND(OR(CETAK!$J$10="",$F1926=CETAK!$J$10),OR(CETAK!$J$11="",$G1926=CETAK!$J$11),OR(CETAK!$J$12="",$P1926=CETAK!$J$12),OR(CETAK!$J$13="",$N1926=CETAK!$J$13),OR(CETAK!$J$14="",$T1926=CETAK!$J$14)),MAX($AC$3:AC1925)+1,""))</f>
        <v/>
      </c>
      <c r="AD1926" s="40" t="str">
        <f aca="false">IF($B1926="","",IF(AND(OR(ABSENSI!$H$10="",$F1926=ABSENSI!$H$10),OR(ABSENSI!$H$11="",$G1926=ABSENSI!$H$11),OR(ABSENSI!$H$12="",$P1926=ABSENSI!$H$12)),MAX($AD$3:AD1925)+1,""))</f>
        <v/>
      </c>
      <c r="AE1926" s="40" t="str">
        <f aca="false">IF($B1926="","",IF(AND(OR(KARTU!$K$6="",$F1926=KARTU!$K$6),OR(KARTU!$K$7="",$G1926=KARTU!$K$7),OR(KARTU!$K$8="",$P1926=KARTU!$K$8)),MAX($AE$3:AE1925)+1,""))</f>
        <v/>
      </c>
    </row>
    <row r="1927" customFormat="false" ht="15" hidden="false" customHeight="false" outlineLevel="0" collapsed="false">
      <c r="A1927" s="35" t="str">
        <f aca="false">IF($B1927="","",COUNTA($B$4:$B1927))</f>
        <v/>
      </c>
      <c r="B1927" s="36"/>
      <c r="C1927" s="37"/>
      <c r="D1927" s="37"/>
      <c r="E1927" s="38"/>
      <c r="F1927" s="36"/>
      <c r="G1927" s="39"/>
      <c r="H1927" s="39"/>
      <c r="I1927" s="36"/>
      <c r="J1927" s="36"/>
      <c r="K1927" s="36"/>
      <c r="L1927" s="36"/>
      <c r="M1927" s="40" t="str">
        <f aca="false">IF($F1927="","",$F1927&amp;IF($G1927="",""," - RT "&amp;$G1927&amp;IF($H1927="","","/"&amp;$H1927)))</f>
        <v/>
      </c>
      <c r="N1927" s="36"/>
      <c r="O1927" s="37"/>
      <c r="P1927" s="39"/>
      <c r="Q1927" s="41"/>
      <c r="R1927" s="35" t="str">
        <f aca="true">IF(OR($B1927="",$Q1927=""),"",DATEDIF($Q1927,TODAY(),"Y"))</f>
        <v/>
      </c>
      <c r="S1927" s="40" t="str">
        <f aca="false">IF($R1927="","",INDEX(usia_label,MATCH($R1927,usia_min,1)))</f>
        <v/>
      </c>
      <c r="T1927" s="36"/>
      <c r="U1927" s="41"/>
      <c r="V1927" s="36"/>
      <c r="W1927" s="36"/>
      <c r="X1927" s="40" t="str">
        <f aca="false">IF($M1927="","",$M1927&amp;"#"&amp;COUNTIF($M$4:$M1927,$M1927))</f>
        <v/>
      </c>
      <c r="Y1927" s="40" t="str">
        <f aca="false">IF($B1927="","",IF($C1927="","NIK kosong",IF(LEN($C1927)&lt;&gt;16,"NIK bukan 16 digit",IF(COUNTIF($C$4:$C$2003,$C1927&amp;"*")&gt;1,"NIK ganda",IF(AND($D1927&lt;&gt;"",LEN($D1927)&lt;&gt;16),"No. KK bukan 16 digit",IF(AND($F1927="",$I1927=""),"Alamat kosong",IF($N1927="","Jabatan kosong",IF($O1927="","No. HP kosong",IF(AND($R1927&lt;&gt;"",$R1927&lt;17),"Usia di bawah 17","")))))))))</f>
        <v/>
      </c>
      <c r="Z1927" s="40" t="str">
        <f aca="false">IF($B1927="","",IF(AND(OR(CARI!$C$5="",ISNUMBER(SEARCH(CARI!$C$5,$B1927&amp;" "&amp;$C1927&amp;" "&amp;$D1927&amp;" "&amp;$O1927&amp;" "&amp;$I1927&amp;" "&amp;$F1927&amp;" "&amp;$J1927&amp;" "&amp;$K1927&amp;" "&amp;$L1927&amp;" "&amp;$V1927))),OR(CARI!$C$6="",$F1927=CARI!$C$6),OR(CARI!$C$7="",$G1927=CARI!$C$7),OR(CARI!$C$8="",$T1927=CARI!$C$8)),MAX($Z$3:Z1926)+1,""))</f>
        <v/>
      </c>
      <c r="AA1927" s="40" t="str">
        <f aca="false">IF($Y1927="","",MAX($AA$3:AA1926)+1)</f>
        <v/>
      </c>
      <c r="AB1927" s="40" t="str">
        <f aca="false">IF($F1927="","",$F1927&amp;"#"&amp;COUNTIF($F$4:$F1927,$F1927))</f>
        <v/>
      </c>
      <c r="AC1927" s="40" t="str">
        <f aca="false">IF($B1927="","",IF(AND(OR(CETAK!$J$10="",$F1927=CETAK!$J$10),OR(CETAK!$J$11="",$G1927=CETAK!$J$11),OR(CETAK!$J$12="",$P1927=CETAK!$J$12),OR(CETAK!$J$13="",$N1927=CETAK!$J$13),OR(CETAK!$J$14="",$T1927=CETAK!$J$14)),MAX($AC$3:AC1926)+1,""))</f>
        <v/>
      </c>
      <c r="AD1927" s="40" t="str">
        <f aca="false">IF($B1927="","",IF(AND(OR(ABSENSI!$H$10="",$F1927=ABSENSI!$H$10),OR(ABSENSI!$H$11="",$G1927=ABSENSI!$H$11),OR(ABSENSI!$H$12="",$P1927=ABSENSI!$H$12)),MAX($AD$3:AD1926)+1,""))</f>
        <v/>
      </c>
      <c r="AE1927" s="40" t="str">
        <f aca="false">IF($B1927="","",IF(AND(OR(KARTU!$K$6="",$F1927=KARTU!$K$6),OR(KARTU!$K$7="",$G1927=KARTU!$K$7),OR(KARTU!$K$8="",$P1927=KARTU!$K$8)),MAX($AE$3:AE1926)+1,""))</f>
        <v/>
      </c>
    </row>
    <row r="1928" customFormat="false" ht="15" hidden="false" customHeight="false" outlineLevel="0" collapsed="false">
      <c r="A1928" s="35" t="str">
        <f aca="false">IF($B1928="","",COUNTA($B$4:$B1928))</f>
        <v/>
      </c>
      <c r="B1928" s="36"/>
      <c r="C1928" s="37"/>
      <c r="D1928" s="37"/>
      <c r="E1928" s="38"/>
      <c r="F1928" s="36"/>
      <c r="G1928" s="39"/>
      <c r="H1928" s="39"/>
      <c r="I1928" s="36"/>
      <c r="J1928" s="36"/>
      <c r="K1928" s="36"/>
      <c r="L1928" s="36"/>
      <c r="M1928" s="40" t="str">
        <f aca="false">IF($F1928="","",$F1928&amp;IF($G1928="",""," - RT "&amp;$G1928&amp;IF($H1928="","","/"&amp;$H1928)))</f>
        <v/>
      </c>
      <c r="N1928" s="36"/>
      <c r="O1928" s="37"/>
      <c r="P1928" s="39"/>
      <c r="Q1928" s="41"/>
      <c r="R1928" s="35" t="str">
        <f aca="true">IF(OR($B1928="",$Q1928=""),"",DATEDIF($Q1928,TODAY(),"Y"))</f>
        <v/>
      </c>
      <c r="S1928" s="40" t="str">
        <f aca="false">IF($R1928="","",INDEX(usia_label,MATCH($R1928,usia_min,1)))</f>
        <v/>
      </c>
      <c r="T1928" s="36"/>
      <c r="U1928" s="41"/>
      <c r="V1928" s="36"/>
      <c r="W1928" s="36"/>
      <c r="X1928" s="40" t="str">
        <f aca="false">IF($M1928="","",$M1928&amp;"#"&amp;COUNTIF($M$4:$M1928,$M1928))</f>
        <v/>
      </c>
      <c r="Y1928" s="40" t="str">
        <f aca="false">IF($B1928="","",IF($C1928="","NIK kosong",IF(LEN($C1928)&lt;&gt;16,"NIK bukan 16 digit",IF(COUNTIF($C$4:$C$2003,$C1928&amp;"*")&gt;1,"NIK ganda",IF(AND($D1928&lt;&gt;"",LEN($D1928)&lt;&gt;16),"No. KK bukan 16 digit",IF(AND($F1928="",$I1928=""),"Alamat kosong",IF($N1928="","Jabatan kosong",IF($O1928="","No. HP kosong",IF(AND($R1928&lt;&gt;"",$R1928&lt;17),"Usia di bawah 17","")))))))))</f>
        <v/>
      </c>
      <c r="Z1928" s="40" t="str">
        <f aca="false">IF($B1928="","",IF(AND(OR(CARI!$C$5="",ISNUMBER(SEARCH(CARI!$C$5,$B1928&amp;" "&amp;$C1928&amp;" "&amp;$D1928&amp;" "&amp;$O1928&amp;" "&amp;$I1928&amp;" "&amp;$F1928&amp;" "&amp;$J1928&amp;" "&amp;$K1928&amp;" "&amp;$L1928&amp;" "&amp;$V1928))),OR(CARI!$C$6="",$F1928=CARI!$C$6),OR(CARI!$C$7="",$G1928=CARI!$C$7),OR(CARI!$C$8="",$T1928=CARI!$C$8)),MAX($Z$3:Z1927)+1,""))</f>
        <v/>
      </c>
      <c r="AA1928" s="40" t="str">
        <f aca="false">IF($Y1928="","",MAX($AA$3:AA1927)+1)</f>
        <v/>
      </c>
      <c r="AB1928" s="40" t="str">
        <f aca="false">IF($F1928="","",$F1928&amp;"#"&amp;COUNTIF($F$4:$F1928,$F1928))</f>
        <v/>
      </c>
      <c r="AC1928" s="40" t="str">
        <f aca="false">IF($B1928="","",IF(AND(OR(CETAK!$J$10="",$F1928=CETAK!$J$10),OR(CETAK!$J$11="",$G1928=CETAK!$J$11),OR(CETAK!$J$12="",$P1928=CETAK!$J$12),OR(CETAK!$J$13="",$N1928=CETAK!$J$13),OR(CETAK!$J$14="",$T1928=CETAK!$J$14)),MAX($AC$3:AC1927)+1,""))</f>
        <v/>
      </c>
      <c r="AD1928" s="40" t="str">
        <f aca="false">IF($B1928="","",IF(AND(OR(ABSENSI!$H$10="",$F1928=ABSENSI!$H$10),OR(ABSENSI!$H$11="",$G1928=ABSENSI!$H$11),OR(ABSENSI!$H$12="",$P1928=ABSENSI!$H$12)),MAX($AD$3:AD1927)+1,""))</f>
        <v/>
      </c>
      <c r="AE1928" s="40" t="str">
        <f aca="false">IF($B1928="","",IF(AND(OR(KARTU!$K$6="",$F1928=KARTU!$K$6),OR(KARTU!$K$7="",$G1928=KARTU!$K$7),OR(KARTU!$K$8="",$P1928=KARTU!$K$8)),MAX($AE$3:AE1927)+1,""))</f>
        <v/>
      </c>
    </row>
    <row r="1929" customFormat="false" ht="15" hidden="false" customHeight="false" outlineLevel="0" collapsed="false">
      <c r="A1929" s="35" t="str">
        <f aca="false">IF($B1929="","",COUNTA($B$4:$B1929))</f>
        <v/>
      </c>
      <c r="B1929" s="36"/>
      <c r="C1929" s="37"/>
      <c r="D1929" s="37"/>
      <c r="E1929" s="38"/>
      <c r="F1929" s="36"/>
      <c r="G1929" s="39"/>
      <c r="H1929" s="39"/>
      <c r="I1929" s="36"/>
      <c r="J1929" s="36"/>
      <c r="K1929" s="36"/>
      <c r="L1929" s="36"/>
      <c r="M1929" s="40" t="str">
        <f aca="false">IF($F1929="","",$F1929&amp;IF($G1929="",""," - RT "&amp;$G1929&amp;IF($H1929="","","/"&amp;$H1929)))</f>
        <v/>
      </c>
      <c r="N1929" s="36"/>
      <c r="O1929" s="37"/>
      <c r="P1929" s="39"/>
      <c r="Q1929" s="41"/>
      <c r="R1929" s="35" t="str">
        <f aca="true">IF(OR($B1929="",$Q1929=""),"",DATEDIF($Q1929,TODAY(),"Y"))</f>
        <v/>
      </c>
      <c r="S1929" s="40" t="str">
        <f aca="false">IF($R1929="","",INDEX(usia_label,MATCH($R1929,usia_min,1)))</f>
        <v/>
      </c>
      <c r="T1929" s="36"/>
      <c r="U1929" s="41"/>
      <c r="V1929" s="36"/>
      <c r="W1929" s="36"/>
      <c r="X1929" s="40" t="str">
        <f aca="false">IF($M1929="","",$M1929&amp;"#"&amp;COUNTIF($M$4:$M1929,$M1929))</f>
        <v/>
      </c>
      <c r="Y1929" s="40" t="str">
        <f aca="false">IF($B1929="","",IF($C1929="","NIK kosong",IF(LEN($C1929)&lt;&gt;16,"NIK bukan 16 digit",IF(COUNTIF($C$4:$C$2003,$C1929&amp;"*")&gt;1,"NIK ganda",IF(AND($D1929&lt;&gt;"",LEN($D1929)&lt;&gt;16),"No. KK bukan 16 digit",IF(AND($F1929="",$I1929=""),"Alamat kosong",IF($N1929="","Jabatan kosong",IF($O1929="","No. HP kosong",IF(AND($R1929&lt;&gt;"",$R1929&lt;17),"Usia di bawah 17","")))))))))</f>
        <v/>
      </c>
      <c r="Z1929" s="40" t="str">
        <f aca="false">IF($B1929="","",IF(AND(OR(CARI!$C$5="",ISNUMBER(SEARCH(CARI!$C$5,$B1929&amp;" "&amp;$C1929&amp;" "&amp;$D1929&amp;" "&amp;$O1929&amp;" "&amp;$I1929&amp;" "&amp;$F1929&amp;" "&amp;$J1929&amp;" "&amp;$K1929&amp;" "&amp;$L1929&amp;" "&amp;$V1929))),OR(CARI!$C$6="",$F1929=CARI!$C$6),OR(CARI!$C$7="",$G1929=CARI!$C$7),OR(CARI!$C$8="",$T1929=CARI!$C$8)),MAX($Z$3:Z1928)+1,""))</f>
        <v/>
      </c>
      <c r="AA1929" s="40" t="str">
        <f aca="false">IF($Y1929="","",MAX($AA$3:AA1928)+1)</f>
        <v/>
      </c>
      <c r="AB1929" s="40" t="str">
        <f aca="false">IF($F1929="","",$F1929&amp;"#"&amp;COUNTIF($F$4:$F1929,$F1929))</f>
        <v/>
      </c>
      <c r="AC1929" s="40" t="str">
        <f aca="false">IF($B1929="","",IF(AND(OR(CETAK!$J$10="",$F1929=CETAK!$J$10),OR(CETAK!$J$11="",$G1929=CETAK!$J$11),OR(CETAK!$J$12="",$P1929=CETAK!$J$12),OR(CETAK!$J$13="",$N1929=CETAK!$J$13),OR(CETAK!$J$14="",$T1929=CETAK!$J$14)),MAX($AC$3:AC1928)+1,""))</f>
        <v/>
      </c>
      <c r="AD1929" s="40" t="str">
        <f aca="false">IF($B1929="","",IF(AND(OR(ABSENSI!$H$10="",$F1929=ABSENSI!$H$10),OR(ABSENSI!$H$11="",$G1929=ABSENSI!$H$11),OR(ABSENSI!$H$12="",$P1929=ABSENSI!$H$12)),MAX($AD$3:AD1928)+1,""))</f>
        <v/>
      </c>
      <c r="AE1929" s="40" t="str">
        <f aca="false">IF($B1929="","",IF(AND(OR(KARTU!$K$6="",$F1929=KARTU!$K$6),OR(KARTU!$K$7="",$G1929=KARTU!$K$7),OR(KARTU!$K$8="",$P1929=KARTU!$K$8)),MAX($AE$3:AE1928)+1,""))</f>
        <v/>
      </c>
    </row>
    <row r="1930" customFormat="false" ht="15" hidden="false" customHeight="false" outlineLevel="0" collapsed="false">
      <c r="A1930" s="35" t="str">
        <f aca="false">IF($B1930="","",COUNTA($B$4:$B1930))</f>
        <v/>
      </c>
      <c r="B1930" s="36"/>
      <c r="C1930" s="37"/>
      <c r="D1930" s="37"/>
      <c r="E1930" s="38"/>
      <c r="F1930" s="36"/>
      <c r="G1930" s="39"/>
      <c r="H1930" s="39"/>
      <c r="I1930" s="36"/>
      <c r="J1930" s="36"/>
      <c r="K1930" s="36"/>
      <c r="L1930" s="36"/>
      <c r="M1930" s="40" t="str">
        <f aca="false">IF($F1930="","",$F1930&amp;IF($G1930="",""," - RT "&amp;$G1930&amp;IF($H1930="","","/"&amp;$H1930)))</f>
        <v/>
      </c>
      <c r="N1930" s="36"/>
      <c r="O1930" s="37"/>
      <c r="P1930" s="39"/>
      <c r="Q1930" s="41"/>
      <c r="R1930" s="35" t="str">
        <f aca="true">IF(OR($B1930="",$Q1930=""),"",DATEDIF($Q1930,TODAY(),"Y"))</f>
        <v/>
      </c>
      <c r="S1930" s="40" t="str">
        <f aca="false">IF($R1930="","",INDEX(usia_label,MATCH($R1930,usia_min,1)))</f>
        <v/>
      </c>
      <c r="T1930" s="36"/>
      <c r="U1930" s="41"/>
      <c r="V1930" s="36"/>
      <c r="W1930" s="36"/>
      <c r="X1930" s="40" t="str">
        <f aca="false">IF($M1930="","",$M1930&amp;"#"&amp;COUNTIF($M$4:$M1930,$M1930))</f>
        <v/>
      </c>
      <c r="Y1930" s="40" t="str">
        <f aca="false">IF($B1930="","",IF($C1930="","NIK kosong",IF(LEN($C1930)&lt;&gt;16,"NIK bukan 16 digit",IF(COUNTIF($C$4:$C$2003,$C1930&amp;"*")&gt;1,"NIK ganda",IF(AND($D1930&lt;&gt;"",LEN($D1930)&lt;&gt;16),"No. KK bukan 16 digit",IF(AND($F1930="",$I1930=""),"Alamat kosong",IF($N1930="","Jabatan kosong",IF($O1930="","No. HP kosong",IF(AND($R1930&lt;&gt;"",$R1930&lt;17),"Usia di bawah 17","")))))))))</f>
        <v/>
      </c>
      <c r="Z1930" s="40" t="str">
        <f aca="false">IF($B1930="","",IF(AND(OR(CARI!$C$5="",ISNUMBER(SEARCH(CARI!$C$5,$B1930&amp;" "&amp;$C1930&amp;" "&amp;$D1930&amp;" "&amp;$O1930&amp;" "&amp;$I1930&amp;" "&amp;$F1930&amp;" "&amp;$J1930&amp;" "&amp;$K1930&amp;" "&amp;$L1930&amp;" "&amp;$V1930))),OR(CARI!$C$6="",$F1930=CARI!$C$6),OR(CARI!$C$7="",$G1930=CARI!$C$7),OR(CARI!$C$8="",$T1930=CARI!$C$8)),MAX($Z$3:Z1929)+1,""))</f>
        <v/>
      </c>
      <c r="AA1930" s="40" t="str">
        <f aca="false">IF($Y1930="","",MAX($AA$3:AA1929)+1)</f>
        <v/>
      </c>
      <c r="AB1930" s="40" t="str">
        <f aca="false">IF($F1930="","",$F1930&amp;"#"&amp;COUNTIF($F$4:$F1930,$F1930))</f>
        <v/>
      </c>
      <c r="AC1930" s="40" t="str">
        <f aca="false">IF($B1930="","",IF(AND(OR(CETAK!$J$10="",$F1930=CETAK!$J$10),OR(CETAK!$J$11="",$G1930=CETAK!$J$11),OR(CETAK!$J$12="",$P1930=CETAK!$J$12),OR(CETAK!$J$13="",$N1930=CETAK!$J$13),OR(CETAK!$J$14="",$T1930=CETAK!$J$14)),MAX($AC$3:AC1929)+1,""))</f>
        <v/>
      </c>
      <c r="AD1930" s="40" t="str">
        <f aca="false">IF($B1930="","",IF(AND(OR(ABSENSI!$H$10="",$F1930=ABSENSI!$H$10),OR(ABSENSI!$H$11="",$G1930=ABSENSI!$H$11),OR(ABSENSI!$H$12="",$P1930=ABSENSI!$H$12)),MAX($AD$3:AD1929)+1,""))</f>
        <v/>
      </c>
      <c r="AE1930" s="40" t="str">
        <f aca="false">IF($B1930="","",IF(AND(OR(KARTU!$K$6="",$F1930=KARTU!$K$6),OR(KARTU!$K$7="",$G1930=KARTU!$K$7),OR(KARTU!$K$8="",$P1930=KARTU!$K$8)),MAX($AE$3:AE1929)+1,""))</f>
        <v/>
      </c>
    </row>
    <row r="1931" customFormat="false" ht="15" hidden="false" customHeight="false" outlineLevel="0" collapsed="false">
      <c r="A1931" s="35" t="str">
        <f aca="false">IF($B1931="","",COUNTA($B$4:$B1931))</f>
        <v/>
      </c>
      <c r="B1931" s="36"/>
      <c r="C1931" s="37"/>
      <c r="D1931" s="37"/>
      <c r="E1931" s="38"/>
      <c r="F1931" s="36"/>
      <c r="G1931" s="39"/>
      <c r="H1931" s="39"/>
      <c r="I1931" s="36"/>
      <c r="J1931" s="36"/>
      <c r="K1931" s="36"/>
      <c r="L1931" s="36"/>
      <c r="M1931" s="40" t="str">
        <f aca="false">IF($F1931="","",$F1931&amp;IF($G1931="",""," - RT "&amp;$G1931&amp;IF($H1931="","","/"&amp;$H1931)))</f>
        <v/>
      </c>
      <c r="N1931" s="36"/>
      <c r="O1931" s="37"/>
      <c r="P1931" s="39"/>
      <c r="Q1931" s="41"/>
      <c r="R1931" s="35" t="str">
        <f aca="true">IF(OR($B1931="",$Q1931=""),"",DATEDIF($Q1931,TODAY(),"Y"))</f>
        <v/>
      </c>
      <c r="S1931" s="40" t="str">
        <f aca="false">IF($R1931="","",INDEX(usia_label,MATCH($R1931,usia_min,1)))</f>
        <v/>
      </c>
      <c r="T1931" s="36"/>
      <c r="U1931" s="41"/>
      <c r="V1931" s="36"/>
      <c r="W1931" s="36"/>
      <c r="X1931" s="40" t="str">
        <f aca="false">IF($M1931="","",$M1931&amp;"#"&amp;COUNTIF($M$4:$M1931,$M1931))</f>
        <v/>
      </c>
      <c r="Y1931" s="40" t="str">
        <f aca="false">IF($B1931="","",IF($C1931="","NIK kosong",IF(LEN($C1931)&lt;&gt;16,"NIK bukan 16 digit",IF(COUNTIF($C$4:$C$2003,$C1931&amp;"*")&gt;1,"NIK ganda",IF(AND($D1931&lt;&gt;"",LEN($D1931)&lt;&gt;16),"No. KK bukan 16 digit",IF(AND($F1931="",$I1931=""),"Alamat kosong",IF($N1931="","Jabatan kosong",IF($O1931="","No. HP kosong",IF(AND($R1931&lt;&gt;"",$R1931&lt;17),"Usia di bawah 17","")))))))))</f>
        <v/>
      </c>
      <c r="Z1931" s="40" t="str">
        <f aca="false">IF($B1931="","",IF(AND(OR(CARI!$C$5="",ISNUMBER(SEARCH(CARI!$C$5,$B1931&amp;" "&amp;$C1931&amp;" "&amp;$D1931&amp;" "&amp;$O1931&amp;" "&amp;$I1931&amp;" "&amp;$F1931&amp;" "&amp;$J1931&amp;" "&amp;$K1931&amp;" "&amp;$L1931&amp;" "&amp;$V1931))),OR(CARI!$C$6="",$F1931=CARI!$C$6),OR(CARI!$C$7="",$G1931=CARI!$C$7),OR(CARI!$C$8="",$T1931=CARI!$C$8)),MAX($Z$3:Z1930)+1,""))</f>
        <v/>
      </c>
      <c r="AA1931" s="40" t="str">
        <f aca="false">IF($Y1931="","",MAX($AA$3:AA1930)+1)</f>
        <v/>
      </c>
      <c r="AB1931" s="40" t="str">
        <f aca="false">IF($F1931="","",$F1931&amp;"#"&amp;COUNTIF($F$4:$F1931,$F1931))</f>
        <v/>
      </c>
      <c r="AC1931" s="40" t="str">
        <f aca="false">IF($B1931="","",IF(AND(OR(CETAK!$J$10="",$F1931=CETAK!$J$10),OR(CETAK!$J$11="",$G1931=CETAK!$J$11),OR(CETAK!$J$12="",$P1931=CETAK!$J$12),OR(CETAK!$J$13="",$N1931=CETAK!$J$13),OR(CETAK!$J$14="",$T1931=CETAK!$J$14)),MAX($AC$3:AC1930)+1,""))</f>
        <v/>
      </c>
      <c r="AD1931" s="40" t="str">
        <f aca="false">IF($B1931="","",IF(AND(OR(ABSENSI!$H$10="",$F1931=ABSENSI!$H$10),OR(ABSENSI!$H$11="",$G1931=ABSENSI!$H$11),OR(ABSENSI!$H$12="",$P1931=ABSENSI!$H$12)),MAX($AD$3:AD1930)+1,""))</f>
        <v/>
      </c>
      <c r="AE1931" s="40" t="str">
        <f aca="false">IF($B1931="","",IF(AND(OR(KARTU!$K$6="",$F1931=KARTU!$K$6),OR(KARTU!$K$7="",$G1931=KARTU!$K$7),OR(KARTU!$K$8="",$P1931=KARTU!$K$8)),MAX($AE$3:AE1930)+1,""))</f>
        <v/>
      </c>
    </row>
    <row r="1932" customFormat="false" ht="15" hidden="false" customHeight="false" outlineLevel="0" collapsed="false">
      <c r="A1932" s="35" t="str">
        <f aca="false">IF($B1932="","",COUNTA($B$4:$B1932))</f>
        <v/>
      </c>
      <c r="B1932" s="36"/>
      <c r="C1932" s="37"/>
      <c r="D1932" s="37"/>
      <c r="E1932" s="38"/>
      <c r="F1932" s="36"/>
      <c r="G1932" s="39"/>
      <c r="H1932" s="39"/>
      <c r="I1932" s="36"/>
      <c r="J1932" s="36"/>
      <c r="K1932" s="36"/>
      <c r="L1932" s="36"/>
      <c r="M1932" s="40" t="str">
        <f aca="false">IF($F1932="","",$F1932&amp;IF($G1932="",""," - RT "&amp;$G1932&amp;IF($H1932="","","/"&amp;$H1932)))</f>
        <v/>
      </c>
      <c r="N1932" s="36"/>
      <c r="O1932" s="37"/>
      <c r="P1932" s="39"/>
      <c r="Q1932" s="41"/>
      <c r="R1932" s="35" t="str">
        <f aca="true">IF(OR($B1932="",$Q1932=""),"",DATEDIF($Q1932,TODAY(),"Y"))</f>
        <v/>
      </c>
      <c r="S1932" s="40" t="str">
        <f aca="false">IF($R1932="","",INDEX(usia_label,MATCH($R1932,usia_min,1)))</f>
        <v/>
      </c>
      <c r="T1932" s="36"/>
      <c r="U1932" s="41"/>
      <c r="V1932" s="36"/>
      <c r="W1932" s="36"/>
      <c r="X1932" s="40" t="str">
        <f aca="false">IF($M1932="","",$M1932&amp;"#"&amp;COUNTIF($M$4:$M1932,$M1932))</f>
        <v/>
      </c>
      <c r="Y1932" s="40" t="str">
        <f aca="false">IF($B1932="","",IF($C1932="","NIK kosong",IF(LEN($C1932)&lt;&gt;16,"NIK bukan 16 digit",IF(COUNTIF($C$4:$C$2003,$C1932&amp;"*")&gt;1,"NIK ganda",IF(AND($D1932&lt;&gt;"",LEN($D1932)&lt;&gt;16),"No. KK bukan 16 digit",IF(AND($F1932="",$I1932=""),"Alamat kosong",IF($N1932="","Jabatan kosong",IF($O1932="","No. HP kosong",IF(AND($R1932&lt;&gt;"",$R1932&lt;17),"Usia di bawah 17","")))))))))</f>
        <v/>
      </c>
      <c r="Z1932" s="40" t="str">
        <f aca="false">IF($B1932="","",IF(AND(OR(CARI!$C$5="",ISNUMBER(SEARCH(CARI!$C$5,$B1932&amp;" "&amp;$C1932&amp;" "&amp;$D1932&amp;" "&amp;$O1932&amp;" "&amp;$I1932&amp;" "&amp;$F1932&amp;" "&amp;$J1932&amp;" "&amp;$K1932&amp;" "&amp;$L1932&amp;" "&amp;$V1932))),OR(CARI!$C$6="",$F1932=CARI!$C$6),OR(CARI!$C$7="",$G1932=CARI!$C$7),OR(CARI!$C$8="",$T1932=CARI!$C$8)),MAX($Z$3:Z1931)+1,""))</f>
        <v/>
      </c>
      <c r="AA1932" s="40" t="str">
        <f aca="false">IF($Y1932="","",MAX($AA$3:AA1931)+1)</f>
        <v/>
      </c>
      <c r="AB1932" s="40" t="str">
        <f aca="false">IF($F1932="","",$F1932&amp;"#"&amp;COUNTIF($F$4:$F1932,$F1932))</f>
        <v/>
      </c>
      <c r="AC1932" s="40" t="str">
        <f aca="false">IF($B1932="","",IF(AND(OR(CETAK!$J$10="",$F1932=CETAK!$J$10),OR(CETAK!$J$11="",$G1932=CETAK!$J$11),OR(CETAK!$J$12="",$P1932=CETAK!$J$12),OR(CETAK!$J$13="",$N1932=CETAK!$J$13),OR(CETAK!$J$14="",$T1932=CETAK!$J$14)),MAX($AC$3:AC1931)+1,""))</f>
        <v/>
      </c>
      <c r="AD1932" s="40" t="str">
        <f aca="false">IF($B1932="","",IF(AND(OR(ABSENSI!$H$10="",$F1932=ABSENSI!$H$10),OR(ABSENSI!$H$11="",$G1932=ABSENSI!$H$11),OR(ABSENSI!$H$12="",$P1932=ABSENSI!$H$12)),MAX($AD$3:AD1931)+1,""))</f>
        <v/>
      </c>
      <c r="AE1932" s="40" t="str">
        <f aca="false">IF($B1932="","",IF(AND(OR(KARTU!$K$6="",$F1932=KARTU!$K$6),OR(KARTU!$K$7="",$G1932=KARTU!$K$7),OR(KARTU!$K$8="",$P1932=KARTU!$K$8)),MAX($AE$3:AE1931)+1,""))</f>
        <v/>
      </c>
    </row>
    <row r="1933" customFormat="false" ht="15" hidden="false" customHeight="false" outlineLevel="0" collapsed="false">
      <c r="A1933" s="35" t="str">
        <f aca="false">IF($B1933="","",COUNTA($B$4:$B1933))</f>
        <v/>
      </c>
      <c r="B1933" s="36"/>
      <c r="C1933" s="37"/>
      <c r="D1933" s="37"/>
      <c r="E1933" s="38"/>
      <c r="F1933" s="36"/>
      <c r="G1933" s="39"/>
      <c r="H1933" s="39"/>
      <c r="I1933" s="36"/>
      <c r="J1933" s="36"/>
      <c r="K1933" s="36"/>
      <c r="L1933" s="36"/>
      <c r="M1933" s="40" t="str">
        <f aca="false">IF($F1933="","",$F1933&amp;IF($G1933="",""," - RT "&amp;$G1933&amp;IF($H1933="","","/"&amp;$H1933)))</f>
        <v/>
      </c>
      <c r="N1933" s="36"/>
      <c r="O1933" s="37"/>
      <c r="P1933" s="39"/>
      <c r="Q1933" s="41"/>
      <c r="R1933" s="35" t="str">
        <f aca="true">IF(OR($B1933="",$Q1933=""),"",DATEDIF($Q1933,TODAY(),"Y"))</f>
        <v/>
      </c>
      <c r="S1933" s="40" t="str">
        <f aca="false">IF($R1933="","",INDEX(usia_label,MATCH($R1933,usia_min,1)))</f>
        <v/>
      </c>
      <c r="T1933" s="36"/>
      <c r="U1933" s="41"/>
      <c r="V1933" s="36"/>
      <c r="W1933" s="36"/>
      <c r="X1933" s="40" t="str">
        <f aca="false">IF($M1933="","",$M1933&amp;"#"&amp;COUNTIF($M$4:$M1933,$M1933))</f>
        <v/>
      </c>
      <c r="Y1933" s="40" t="str">
        <f aca="false">IF($B1933="","",IF($C1933="","NIK kosong",IF(LEN($C1933)&lt;&gt;16,"NIK bukan 16 digit",IF(COUNTIF($C$4:$C$2003,$C1933&amp;"*")&gt;1,"NIK ganda",IF(AND($D1933&lt;&gt;"",LEN($D1933)&lt;&gt;16),"No. KK bukan 16 digit",IF(AND($F1933="",$I1933=""),"Alamat kosong",IF($N1933="","Jabatan kosong",IF($O1933="","No. HP kosong",IF(AND($R1933&lt;&gt;"",$R1933&lt;17),"Usia di bawah 17","")))))))))</f>
        <v/>
      </c>
      <c r="Z1933" s="40" t="str">
        <f aca="false">IF($B1933="","",IF(AND(OR(CARI!$C$5="",ISNUMBER(SEARCH(CARI!$C$5,$B1933&amp;" "&amp;$C1933&amp;" "&amp;$D1933&amp;" "&amp;$O1933&amp;" "&amp;$I1933&amp;" "&amp;$F1933&amp;" "&amp;$J1933&amp;" "&amp;$K1933&amp;" "&amp;$L1933&amp;" "&amp;$V1933))),OR(CARI!$C$6="",$F1933=CARI!$C$6),OR(CARI!$C$7="",$G1933=CARI!$C$7),OR(CARI!$C$8="",$T1933=CARI!$C$8)),MAX($Z$3:Z1932)+1,""))</f>
        <v/>
      </c>
      <c r="AA1933" s="40" t="str">
        <f aca="false">IF($Y1933="","",MAX($AA$3:AA1932)+1)</f>
        <v/>
      </c>
      <c r="AB1933" s="40" t="str">
        <f aca="false">IF($F1933="","",$F1933&amp;"#"&amp;COUNTIF($F$4:$F1933,$F1933))</f>
        <v/>
      </c>
      <c r="AC1933" s="40" t="str">
        <f aca="false">IF($B1933="","",IF(AND(OR(CETAK!$J$10="",$F1933=CETAK!$J$10),OR(CETAK!$J$11="",$G1933=CETAK!$J$11),OR(CETAK!$J$12="",$P1933=CETAK!$J$12),OR(CETAK!$J$13="",$N1933=CETAK!$J$13),OR(CETAK!$J$14="",$T1933=CETAK!$J$14)),MAX($AC$3:AC1932)+1,""))</f>
        <v/>
      </c>
      <c r="AD1933" s="40" t="str">
        <f aca="false">IF($B1933="","",IF(AND(OR(ABSENSI!$H$10="",$F1933=ABSENSI!$H$10),OR(ABSENSI!$H$11="",$G1933=ABSENSI!$H$11),OR(ABSENSI!$H$12="",$P1933=ABSENSI!$H$12)),MAX($AD$3:AD1932)+1,""))</f>
        <v/>
      </c>
      <c r="AE1933" s="40" t="str">
        <f aca="false">IF($B1933="","",IF(AND(OR(KARTU!$K$6="",$F1933=KARTU!$K$6),OR(KARTU!$K$7="",$G1933=KARTU!$K$7),OR(KARTU!$K$8="",$P1933=KARTU!$K$8)),MAX($AE$3:AE1932)+1,""))</f>
        <v/>
      </c>
    </row>
    <row r="1934" customFormat="false" ht="15" hidden="false" customHeight="false" outlineLevel="0" collapsed="false">
      <c r="A1934" s="35" t="str">
        <f aca="false">IF($B1934="","",COUNTA($B$4:$B1934))</f>
        <v/>
      </c>
      <c r="B1934" s="36"/>
      <c r="C1934" s="37"/>
      <c r="D1934" s="37"/>
      <c r="E1934" s="38"/>
      <c r="F1934" s="36"/>
      <c r="G1934" s="39"/>
      <c r="H1934" s="39"/>
      <c r="I1934" s="36"/>
      <c r="J1934" s="36"/>
      <c r="K1934" s="36"/>
      <c r="L1934" s="36"/>
      <c r="M1934" s="40" t="str">
        <f aca="false">IF($F1934="","",$F1934&amp;IF($G1934="",""," - RT "&amp;$G1934&amp;IF($H1934="","","/"&amp;$H1934)))</f>
        <v/>
      </c>
      <c r="N1934" s="36"/>
      <c r="O1934" s="37"/>
      <c r="P1934" s="39"/>
      <c r="Q1934" s="41"/>
      <c r="R1934" s="35" t="str">
        <f aca="true">IF(OR($B1934="",$Q1934=""),"",DATEDIF($Q1934,TODAY(),"Y"))</f>
        <v/>
      </c>
      <c r="S1934" s="40" t="str">
        <f aca="false">IF($R1934="","",INDEX(usia_label,MATCH($R1934,usia_min,1)))</f>
        <v/>
      </c>
      <c r="T1934" s="36"/>
      <c r="U1934" s="41"/>
      <c r="V1934" s="36"/>
      <c r="W1934" s="36"/>
      <c r="X1934" s="40" t="str">
        <f aca="false">IF($M1934="","",$M1934&amp;"#"&amp;COUNTIF($M$4:$M1934,$M1934))</f>
        <v/>
      </c>
      <c r="Y1934" s="40" t="str">
        <f aca="false">IF($B1934="","",IF($C1934="","NIK kosong",IF(LEN($C1934)&lt;&gt;16,"NIK bukan 16 digit",IF(COUNTIF($C$4:$C$2003,$C1934&amp;"*")&gt;1,"NIK ganda",IF(AND($D1934&lt;&gt;"",LEN($D1934)&lt;&gt;16),"No. KK bukan 16 digit",IF(AND($F1934="",$I1934=""),"Alamat kosong",IF($N1934="","Jabatan kosong",IF($O1934="","No. HP kosong",IF(AND($R1934&lt;&gt;"",$R1934&lt;17),"Usia di bawah 17","")))))))))</f>
        <v/>
      </c>
      <c r="Z1934" s="40" t="str">
        <f aca="false">IF($B1934="","",IF(AND(OR(CARI!$C$5="",ISNUMBER(SEARCH(CARI!$C$5,$B1934&amp;" "&amp;$C1934&amp;" "&amp;$D1934&amp;" "&amp;$O1934&amp;" "&amp;$I1934&amp;" "&amp;$F1934&amp;" "&amp;$J1934&amp;" "&amp;$K1934&amp;" "&amp;$L1934&amp;" "&amp;$V1934))),OR(CARI!$C$6="",$F1934=CARI!$C$6),OR(CARI!$C$7="",$G1934=CARI!$C$7),OR(CARI!$C$8="",$T1934=CARI!$C$8)),MAX($Z$3:Z1933)+1,""))</f>
        <v/>
      </c>
      <c r="AA1934" s="40" t="str">
        <f aca="false">IF($Y1934="","",MAX($AA$3:AA1933)+1)</f>
        <v/>
      </c>
      <c r="AB1934" s="40" t="str">
        <f aca="false">IF($F1934="","",$F1934&amp;"#"&amp;COUNTIF($F$4:$F1934,$F1934))</f>
        <v/>
      </c>
      <c r="AC1934" s="40" t="str">
        <f aca="false">IF($B1934="","",IF(AND(OR(CETAK!$J$10="",$F1934=CETAK!$J$10),OR(CETAK!$J$11="",$G1934=CETAK!$J$11),OR(CETAK!$J$12="",$P1934=CETAK!$J$12),OR(CETAK!$J$13="",$N1934=CETAK!$J$13),OR(CETAK!$J$14="",$T1934=CETAK!$J$14)),MAX($AC$3:AC1933)+1,""))</f>
        <v/>
      </c>
      <c r="AD1934" s="40" t="str">
        <f aca="false">IF($B1934="","",IF(AND(OR(ABSENSI!$H$10="",$F1934=ABSENSI!$H$10),OR(ABSENSI!$H$11="",$G1934=ABSENSI!$H$11),OR(ABSENSI!$H$12="",$P1934=ABSENSI!$H$12)),MAX($AD$3:AD1933)+1,""))</f>
        <v/>
      </c>
      <c r="AE1934" s="40" t="str">
        <f aca="false">IF($B1934="","",IF(AND(OR(KARTU!$K$6="",$F1934=KARTU!$K$6),OR(KARTU!$K$7="",$G1934=KARTU!$K$7),OR(KARTU!$K$8="",$P1934=KARTU!$K$8)),MAX($AE$3:AE1933)+1,""))</f>
        <v/>
      </c>
    </row>
    <row r="1935" customFormat="false" ht="15" hidden="false" customHeight="false" outlineLevel="0" collapsed="false">
      <c r="A1935" s="35" t="str">
        <f aca="false">IF($B1935="","",COUNTA($B$4:$B1935))</f>
        <v/>
      </c>
      <c r="B1935" s="36"/>
      <c r="C1935" s="37"/>
      <c r="D1935" s="37"/>
      <c r="E1935" s="38"/>
      <c r="F1935" s="36"/>
      <c r="G1935" s="39"/>
      <c r="H1935" s="39"/>
      <c r="I1935" s="36"/>
      <c r="J1935" s="36"/>
      <c r="K1935" s="36"/>
      <c r="L1935" s="36"/>
      <c r="M1935" s="40" t="str">
        <f aca="false">IF($F1935="","",$F1935&amp;IF($G1935="",""," - RT "&amp;$G1935&amp;IF($H1935="","","/"&amp;$H1935)))</f>
        <v/>
      </c>
      <c r="N1935" s="36"/>
      <c r="O1935" s="37"/>
      <c r="P1935" s="39"/>
      <c r="Q1935" s="41"/>
      <c r="R1935" s="35" t="str">
        <f aca="true">IF(OR($B1935="",$Q1935=""),"",DATEDIF($Q1935,TODAY(),"Y"))</f>
        <v/>
      </c>
      <c r="S1935" s="40" t="str">
        <f aca="false">IF($R1935="","",INDEX(usia_label,MATCH($R1935,usia_min,1)))</f>
        <v/>
      </c>
      <c r="T1935" s="36"/>
      <c r="U1935" s="41"/>
      <c r="V1935" s="36"/>
      <c r="W1935" s="36"/>
      <c r="X1935" s="40" t="str">
        <f aca="false">IF($M1935="","",$M1935&amp;"#"&amp;COUNTIF($M$4:$M1935,$M1935))</f>
        <v/>
      </c>
      <c r="Y1935" s="40" t="str">
        <f aca="false">IF($B1935="","",IF($C1935="","NIK kosong",IF(LEN($C1935)&lt;&gt;16,"NIK bukan 16 digit",IF(COUNTIF($C$4:$C$2003,$C1935&amp;"*")&gt;1,"NIK ganda",IF(AND($D1935&lt;&gt;"",LEN($D1935)&lt;&gt;16),"No. KK bukan 16 digit",IF(AND($F1935="",$I1935=""),"Alamat kosong",IF($N1935="","Jabatan kosong",IF($O1935="","No. HP kosong",IF(AND($R1935&lt;&gt;"",$R1935&lt;17),"Usia di bawah 17","")))))))))</f>
        <v/>
      </c>
      <c r="Z1935" s="40" t="str">
        <f aca="false">IF($B1935="","",IF(AND(OR(CARI!$C$5="",ISNUMBER(SEARCH(CARI!$C$5,$B1935&amp;" "&amp;$C1935&amp;" "&amp;$D1935&amp;" "&amp;$O1935&amp;" "&amp;$I1935&amp;" "&amp;$F1935&amp;" "&amp;$J1935&amp;" "&amp;$K1935&amp;" "&amp;$L1935&amp;" "&amp;$V1935))),OR(CARI!$C$6="",$F1935=CARI!$C$6),OR(CARI!$C$7="",$G1935=CARI!$C$7),OR(CARI!$C$8="",$T1935=CARI!$C$8)),MAX($Z$3:Z1934)+1,""))</f>
        <v/>
      </c>
      <c r="AA1935" s="40" t="str">
        <f aca="false">IF($Y1935="","",MAX($AA$3:AA1934)+1)</f>
        <v/>
      </c>
      <c r="AB1935" s="40" t="str">
        <f aca="false">IF($F1935="","",$F1935&amp;"#"&amp;COUNTIF($F$4:$F1935,$F1935))</f>
        <v/>
      </c>
      <c r="AC1935" s="40" t="str">
        <f aca="false">IF($B1935="","",IF(AND(OR(CETAK!$J$10="",$F1935=CETAK!$J$10),OR(CETAK!$J$11="",$G1935=CETAK!$J$11),OR(CETAK!$J$12="",$P1935=CETAK!$J$12),OR(CETAK!$J$13="",$N1935=CETAK!$J$13),OR(CETAK!$J$14="",$T1935=CETAK!$J$14)),MAX($AC$3:AC1934)+1,""))</f>
        <v/>
      </c>
      <c r="AD1935" s="40" t="str">
        <f aca="false">IF($B1935="","",IF(AND(OR(ABSENSI!$H$10="",$F1935=ABSENSI!$H$10),OR(ABSENSI!$H$11="",$G1935=ABSENSI!$H$11),OR(ABSENSI!$H$12="",$P1935=ABSENSI!$H$12)),MAX($AD$3:AD1934)+1,""))</f>
        <v/>
      </c>
      <c r="AE1935" s="40" t="str">
        <f aca="false">IF($B1935="","",IF(AND(OR(KARTU!$K$6="",$F1935=KARTU!$K$6),OR(KARTU!$K$7="",$G1935=KARTU!$K$7),OR(KARTU!$K$8="",$P1935=KARTU!$K$8)),MAX($AE$3:AE1934)+1,""))</f>
        <v/>
      </c>
    </row>
    <row r="1936" customFormat="false" ht="15" hidden="false" customHeight="false" outlineLevel="0" collapsed="false">
      <c r="A1936" s="35" t="str">
        <f aca="false">IF($B1936="","",COUNTA($B$4:$B1936))</f>
        <v/>
      </c>
      <c r="B1936" s="36"/>
      <c r="C1936" s="37"/>
      <c r="D1936" s="37"/>
      <c r="E1936" s="38"/>
      <c r="F1936" s="36"/>
      <c r="G1936" s="39"/>
      <c r="H1936" s="39"/>
      <c r="I1936" s="36"/>
      <c r="J1936" s="36"/>
      <c r="K1936" s="36"/>
      <c r="L1936" s="36"/>
      <c r="M1936" s="40" t="str">
        <f aca="false">IF($F1936="","",$F1936&amp;IF($G1936="",""," - RT "&amp;$G1936&amp;IF($H1936="","","/"&amp;$H1936)))</f>
        <v/>
      </c>
      <c r="N1936" s="36"/>
      <c r="O1936" s="37"/>
      <c r="P1936" s="39"/>
      <c r="Q1936" s="41"/>
      <c r="R1936" s="35" t="str">
        <f aca="true">IF(OR($B1936="",$Q1936=""),"",DATEDIF($Q1936,TODAY(),"Y"))</f>
        <v/>
      </c>
      <c r="S1936" s="40" t="str">
        <f aca="false">IF($R1936="","",INDEX(usia_label,MATCH($R1936,usia_min,1)))</f>
        <v/>
      </c>
      <c r="T1936" s="36"/>
      <c r="U1936" s="41"/>
      <c r="V1936" s="36"/>
      <c r="W1936" s="36"/>
      <c r="X1936" s="40" t="str">
        <f aca="false">IF($M1936="","",$M1936&amp;"#"&amp;COUNTIF($M$4:$M1936,$M1936))</f>
        <v/>
      </c>
      <c r="Y1936" s="40" t="str">
        <f aca="false">IF($B1936="","",IF($C1936="","NIK kosong",IF(LEN($C1936)&lt;&gt;16,"NIK bukan 16 digit",IF(COUNTIF($C$4:$C$2003,$C1936&amp;"*")&gt;1,"NIK ganda",IF(AND($D1936&lt;&gt;"",LEN($D1936)&lt;&gt;16),"No. KK bukan 16 digit",IF(AND($F1936="",$I1936=""),"Alamat kosong",IF($N1936="","Jabatan kosong",IF($O1936="","No. HP kosong",IF(AND($R1936&lt;&gt;"",$R1936&lt;17),"Usia di bawah 17","")))))))))</f>
        <v/>
      </c>
      <c r="Z1936" s="40" t="str">
        <f aca="false">IF($B1936="","",IF(AND(OR(CARI!$C$5="",ISNUMBER(SEARCH(CARI!$C$5,$B1936&amp;" "&amp;$C1936&amp;" "&amp;$D1936&amp;" "&amp;$O1936&amp;" "&amp;$I1936&amp;" "&amp;$F1936&amp;" "&amp;$J1936&amp;" "&amp;$K1936&amp;" "&amp;$L1936&amp;" "&amp;$V1936))),OR(CARI!$C$6="",$F1936=CARI!$C$6),OR(CARI!$C$7="",$G1936=CARI!$C$7),OR(CARI!$C$8="",$T1936=CARI!$C$8)),MAX($Z$3:Z1935)+1,""))</f>
        <v/>
      </c>
      <c r="AA1936" s="40" t="str">
        <f aca="false">IF($Y1936="","",MAX($AA$3:AA1935)+1)</f>
        <v/>
      </c>
      <c r="AB1936" s="40" t="str">
        <f aca="false">IF($F1936="","",$F1936&amp;"#"&amp;COUNTIF($F$4:$F1936,$F1936))</f>
        <v/>
      </c>
      <c r="AC1936" s="40" t="str">
        <f aca="false">IF($B1936="","",IF(AND(OR(CETAK!$J$10="",$F1936=CETAK!$J$10),OR(CETAK!$J$11="",$G1936=CETAK!$J$11),OR(CETAK!$J$12="",$P1936=CETAK!$J$12),OR(CETAK!$J$13="",$N1936=CETAK!$J$13),OR(CETAK!$J$14="",$T1936=CETAK!$J$14)),MAX($AC$3:AC1935)+1,""))</f>
        <v/>
      </c>
      <c r="AD1936" s="40" t="str">
        <f aca="false">IF($B1936="","",IF(AND(OR(ABSENSI!$H$10="",$F1936=ABSENSI!$H$10),OR(ABSENSI!$H$11="",$G1936=ABSENSI!$H$11),OR(ABSENSI!$H$12="",$P1936=ABSENSI!$H$12)),MAX($AD$3:AD1935)+1,""))</f>
        <v/>
      </c>
      <c r="AE1936" s="40" t="str">
        <f aca="false">IF($B1936="","",IF(AND(OR(KARTU!$K$6="",$F1936=KARTU!$K$6),OR(KARTU!$K$7="",$G1936=KARTU!$K$7),OR(KARTU!$K$8="",$P1936=KARTU!$K$8)),MAX($AE$3:AE1935)+1,""))</f>
        <v/>
      </c>
    </row>
    <row r="1937" customFormat="false" ht="15" hidden="false" customHeight="false" outlineLevel="0" collapsed="false">
      <c r="A1937" s="35" t="str">
        <f aca="false">IF($B1937="","",COUNTA($B$4:$B1937))</f>
        <v/>
      </c>
      <c r="B1937" s="36"/>
      <c r="C1937" s="37"/>
      <c r="D1937" s="37"/>
      <c r="E1937" s="38"/>
      <c r="F1937" s="36"/>
      <c r="G1937" s="39"/>
      <c r="H1937" s="39"/>
      <c r="I1937" s="36"/>
      <c r="J1937" s="36"/>
      <c r="K1937" s="36"/>
      <c r="L1937" s="36"/>
      <c r="M1937" s="40" t="str">
        <f aca="false">IF($F1937="","",$F1937&amp;IF($G1937="",""," - RT "&amp;$G1937&amp;IF($H1937="","","/"&amp;$H1937)))</f>
        <v/>
      </c>
      <c r="N1937" s="36"/>
      <c r="O1937" s="37"/>
      <c r="P1937" s="39"/>
      <c r="Q1937" s="41"/>
      <c r="R1937" s="35" t="str">
        <f aca="true">IF(OR($B1937="",$Q1937=""),"",DATEDIF($Q1937,TODAY(),"Y"))</f>
        <v/>
      </c>
      <c r="S1937" s="40" t="str">
        <f aca="false">IF($R1937="","",INDEX(usia_label,MATCH($R1937,usia_min,1)))</f>
        <v/>
      </c>
      <c r="T1937" s="36"/>
      <c r="U1937" s="41"/>
      <c r="V1937" s="36"/>
      <c r="W1937" s="36"/>
      <c r="X1937" s="40" t="str">
        <f aca="false">IF($M1937="","",$M1937&amp;"#"&amp;COUNTIF($M$4:$M1937,$M1937))</f>
        <v/>
      </c>
      <c r="Y1937" s="40" t="str">
        <f aca="false">IF($B1937="","",IF($C1937="","NIK kosong",IF(LEN($C1937)&lt;&gt;16,"NIK bukan 16 digit",IF(COUNTIF($C$4:$C$2003,$C1937&amp;"*")&gt;1,"NIK ganda",IF(AND($D1937&lt;&gt;"",LEN($D1937)&lt;&gt;16),"No. KK bukan 16 digit",IF(AND($F1937="",$I1937=""),"Alamat kosong",IF($N1937="","Jabatan kosong",IF($O1937="","No. HP kosong",IF(AND($R1937&lt;&gt;"",$R1937&lt;17),"Usia di bawah 17","")))))))))</f>
        <v/>
      </c>
      <c r="Z1937" s="40" t="str">
        <f aca="false">IF($B1937="","",IF(AND(OR(CARI!$C$5="",ISNUMBER(SEARCH(CARI!$C$5,$B1937&amp;" "&amp;$C1937&amp;" "&amp;$D1937&amp;" "&amp;$O1937&amp;" "&amp;$I1937&amp;" "&amp;$F1937&amp;" "&amp;$J1937&amp;" "&amp;$K1937&amp;" "&amp;$L1937&amp;" "&amp;$V1937))),OR(CARI!$C$6="",$F1937=CARI!$C$6),OR(CARI!$C$7="",$G1937=CARI!$C$7),OR(CARI!$C$8="",$T1937=CARI!$C$8)),MAX($Z$3:Z1936)+1,""))</f>
        <v/>
      </c>
      <c r="AA1937" s="40" t="str">
        <f aca="false">IF($Y1937="","",MAX($AA$3:AA1936)+1)</f>
        <v/>
      </c>
      <c r="AB1937" s="40" t="str">
        <f aca="false">IF($F1937="","",$F1937&amp;"#"&amp;COUNTIF($F$4:$F1937,$F1937))</f>
        <v/>
      </c>
      <c r="AC1937" s="40" t="str">
        <f aca="false">IF($B1937="","",IF(AND(OR(CETAK!$J$10="",$F1937=CETAK!$J$10),OR(CETAK!$J$11="",$G1937=CETAK!$J$11),OR(CETAK!$J$12="",$P1937=CETAK!$J$12),OR(CETAK!$J$13="",$N1937=CETAK!$J$13),OR(CETAK!$J$14="",$T1937=CETAK!$J$14)),MAX($AC$3:AC1936)+1,""))</f>
        <v/>
      </c>
      <c r="AD1937" s="40" t="str">
        <f aca="false">IF($B1937="","",IF(AND(OR(ABSENSI!$H$10="",$F1937=ABSENSI!$H$10),OR(ABSENSI!$H$11="",$G1937=ABSENSI!$H$11),OR(ABSENSI!$H$12="",$P1937=ABSENSI!$H$12)),MAX($AD$3:AD1936)+1,""))</f>
        <v/>
      </c>
      <c r="AE1937" s="40" t="str">
        <f aca="false">IF($B1937="","",IF(AND(OR(KARTU!$K$6="",$F1937=KARTU!$K$6),OR(KARTU!$K$7="",$G1937=KARTU!$K$7),OR(KARTU!$K$8="",$P1937=KARTU!$K$8)),MAX($AE$3:AE1936)+1,""))</f>
        <v/>
      </c>
    </row>
    <row r="1938" customFormat="false" ht="15" hidden="false" customHeight="false" outlineLevel="0" collapsed="false">
      <c r="A1938" s="35" t="str">
        <f aca="false">IF($B1938="","",COUNTA($B$4:$B1938))</f>
        <v/>
      </c>
      <c r="B1938" s="36"/>
      <c r="C1938" s="37"/>
      <c r="D1938" s="37"/>
      <c r="E1938" s="38"/>
      <c r="F1938" s="36"/>
      <c r="G1938" s="39"/>
      <c r="H1938" s="39"/>
      <c r="I1938" s="36"/>
      <c r="J1938" s="36"/>
      <c r="K1938" s="36"/>
      <c r="L1938" s="36"/>
      <c r="M1938" s="40" t="str">
        <f aca="false">IF($F1938="","",$F1938&amp;IF($G1938="",""," - RT "&amp;$G1938&amp;IF($H1938="","","/"&amp;$H1938)))</f>
        <v/>
      </c>
      <c r="N1938" s="36"/>
      <c r="O1938" s="37"/>
      <c r="P1938" s="39"/>
      <c r="Q1938" s="41"/>
      <c r="R1938" s="35" t="str">
        <f aca="true">IF(OR($B1938="",$Q1938=""),"",DATEDIF($Q1938,TODAY(),"Y"))</f>
        <v/>
      </c>
      <c r="S1938" s="40" t="str">
        <f aca="false">IF($R1938="","",INDEX(usia_label,MATCH($R1938,usia_min,1)))</f>
        <v/>
      </c>
      <c r="T1938" s="36"/>
      <c r="U1938" s="41"/>
      <c r="V1938" s="36"/>
      <c r="W1938" s="36"/>
      <c r="X1938" s="40" t="str">
        <f aca="false">IF($M1938="","",$M1938&amp;"#"&amp;COUNTIF($M$4:$M1938,$M1938))</f>
        <v/>
      </c>
      <c r="Y1938" s="40" t="str">
        <f aca="false">IF($B1938="","",IF($C1938="","NIK kosong",IF(LEN($C1938)&lt;&gt;16,"NIK bukan 16 digit",IF(COUNTIF($C$4:$C$2003,$C1938&amp;"*")&gt;1,"NIK ganda",IF(AND($D1938&lt;&gt;"",LEN($D1938)&lt;&gt;16),"No. KK bukan 16 digit",IF(AND($F1938="",$I1938=""),"Alamat kosong",IF($N1938="","Jabatan kosong",IF($O1938="","No. HP kosong",IF(AND($R1938&lt;&gt;"",$R1938&lt;17),"Usia di bawah 17","")))))))))</f>
        <v/>
      </c>
      <c r="Z1938" s="40" t="str">
        <f aca="false">IF($B1938="","",IF(AND(OR(CARI!$C$5="",ISNUMBER(SEARCH(CARI!$C$5,$B1938&amp;" "&amp;$C1938&amp;" "&amp;$D1938&amp;" "&amp;$O1938&amp;" "&amp;$I1938&amp;" "&amp;$F1938&amp;" "&amp;$J1938&amp;" "&amp;$K1938&amp;" "&amp;$L1938&amp;" "&amp;$V1938))),OR(CARI!$C$6="",$F1938=CARI!$C$6),OR(CARI!$C$7="",$G1938=CARI!$C$7),OR(CARI!$C$8="",$T1938=CARI!$C$8)),MAX($Z$3:Z1937)+1,""))</f>
        <v/>
      </c>
      <c r="AA1938" s="40" t="str">
        <f aca="false">IF($Y1938="","",MAX($AA$3:AA1937)+1)</f>
        <v/>
      </c>
      <c r="AB1938" s="40" t="str">
        <f aca="false">IF($F1938="","",$F1938&amp;"#"&amp;COUNTIF($F$4:$F1938,$F1938))</f>
        <v/>
      </c>
      <c r="AC1938" s="40" t="str">
        <f aca="false">IF($B1938="","",IF(AND(OR(CETAK!$J$10="",$F1938=CETAK!$J$10),OR(CETAK!$J$11="",$G1938=CETAK!$J$11),OR(CETAK!$J$12="",$P1938=CETAK!$J$12),OR(CETAK!$J$13="",$N1938=CETAK!$J$13),OR(CETAK!$J$14="",$T1938=CETAK!$J$14)),MAX($AC$3:AC1937)+1,""))</f>
        <v/>
      </c>
      <c r="AD1938" s="40" t="str">
        <f aca="false">IF($B1938="","",IF(AND(OR(ABSENSI!$H$10="",$F1938=ABSENSI!$H$10),OR(ABSENSI!$H$11="",$G1938=ABSENSI!$H$11),OR(ABSENSI!$H$12="",$P1938=ABSENSI!$H$12)),MAX($AD$3:AD1937)+1,""))</f>
        <v/>
      </c>
      <c r="AE1938" s="40" t="str">
        <f aca="false">IF($B1938="","",IF(AND(OR(KARTU!$K$6="",$F1938=KARTU!$K$6),OR(KARTU!$K$7="",$G1938=KARTU!$K$7),OR(KARTU!$K$8="",$P1938=KARTU!$K$8)),MAX($AE$3:AE1937)+1,""))</f>
        <v/>
      </c>
    </row>
    <row r="1939" customFormat="false" ht="15" hidden="false" customHeight="false" outlineLevel="0" collapsed="false">
      <c r="A1939" s="35" t="str">
        <f aca="false">IF($B1939="","",COUNTA($B$4:$B1939))</f>
        <v/>
      </c>
      <c r="B1939" s="36"/>
      <c r="C1939" s="37"/>
      <c r="D1939" s="37"/>
      <c r="E1939" s="38"/>
      <c r="F1939" s="36"/>
      <c r="G1939" s="39"/>
      <c r="H1939" s="39"/>
      <c r="I1939" s="36"/>
      <c r="J1939" s="36"/>
      <c r="K1939" s="36"/>
      <c r="L1939" s="36"/>
      <c r="M1939" s="40" t="str">
        <f aca="false">IF($F1939="","",$F1939&amp;IF($G1939="",""," - RT "&amp;$G1939&amp;IF($H1939="","","/"&amp;$H1939)))</f>
        <v/>
      </c>
      <c r="N1939" s="36"/>
      <c r="O1939" s="37"/>
      <c r="P1939" s="39"/>
      <c r="Q1939" s="41"/>
      <c r="R1939" s="35" t="str">
        <f aca="true">IF(OR($B1939="",$Q1939=""),"",DATEDIF($Q1939,TODAY(),"Y"))</f>
        <v/>
      </c>
      <c r="S1939" s="40" t="str">
        <f aca="false">IF($R1939="","",INDEX(usia_label,MATCH($R1939,usia_min,1)))</f>
        <v/>
      </c>
      <c r="T1939" s="36"/>
      <c r="U1939" s="41"/>
      <c r="V1939" s="36"/>
      <c r="W1939" s="36"/>
      <c r="X1939" s="40" t="str">
        <f aca="false">IF($M1939="","",$M1939&amp;"#"&amp;COUNTIF($M$4:$M1939,$M1939))</f>
        <v/>
      </c>
      <c r="Y1939" s="40" t="str">
        <f aca="false">IF($B1939="","",IF($C1939="","NIK kosong",IF(LEN($C1939)&lt;&gt;16,"NIK bukan 16 digit",IF(COUNTIF($C$4:$C$2003,$C1939&amp;"*")&gt;1,"NIK ganda",IF(AND($D1939&lt;&gt;"",LEN($D1939)&lt;&gt;16),"No. KK bukan 16 digit",IF(AND($F1939="",$I1939=""),"Alamat kosong",IF($N1939="","Jabatan kosong",IF($O1939="","No. HP kosong",IF(AND($R1939&lt;&gt;"",$R1939&lt;17),"Usia di bawah 17","")))))))))</f>
        <v/>
      </c>
      <c r="Z1939" s="40" t="str">
        <f aca="false">IF($B1939="","",IF(AND(OR(CARI!$C$5="",ISNUMBER(SEARCH(CARI!$C$5,$B1939&amp;" "&amp;$C1939&amp;" "&amp;$D1939&amp;" "&amp;$O1939&amp;" "&amp;$I1939&amp;" "&amp;$F1939&amp;" "&amp;$J1939&amp;" "&amp;$K1939&amp;" "&amp;$L1939&amp;" "&amp;$V1939))),OR(CARI!$C$6="",$F1939=CARI!$C$6),OR(CARI!$C$7="",$G1939=CARI!$C$7),OR(CARI!$C$8="",$T1939=CARI!$C$8)),MAX($Z$3:Z1938)+1,""))</f>
        <v/>
      </c>
      <c r="AA1939" s="40" t="str">
        <f aca="false">IF($Y1939="","",MAX($AA$3:AA1938)+1)</f>
        <v/>
      </c>
      <c r="AB1939" s="40" t="str">
        <f aca="false">IF($F1939="","",$F1939&amp;"#"&amp;COUNTIF($F$4:$F1939,$F1939))</f>
        <v/>
      </c>
      <c r="AC1939" s="40" t="str">
        <f aca="false">IF($B1939="","",IF(AND(OR(CETAK!$J$10="",$F1939=CETAK!$J$10),OR(CETAK!$J$11="",$G1939=CETAK!$J$11),OR(CETAK!$J$12="",$P1939=CETAK!$J$12),OR(CETAK!$J$13="",$N1939=CETAK!$J$13),OR(CETAK!$J$14="",$T1939=CETAK!$J$14)),MAX($AC$3:AC1938)+1,""))</f>
        <v/>
      </c>
      <c r="AD1939" s="40" t="str">
        <f aca="false">IF($B1939="","",IF(AND(OR(ABSENSI!$H$10="",$F1939=ABSENSI!$H$10),OR(ABSENSI!$H$11="",$G1939=ABSENSI!$H$11),OR(ABSENSI!$H$12="",$P1939=ABSENSI!$H$12)),MAX($AD$3:AD1938)+1,""))</f>
        <v/>
      </c>
      <c r="AE1939" s="40" t="str">
        <f aca="false">IF($B1939="","",IF(AND(OR(KARTU!$K$6="",$F1939=KARTU!$K$6),OR(KARTU!$K$7="",$G1939=KARTU!$K$7),OR(KARTU!$K$8="",$P1939=KARTU!$K$8)),MAX($AE$3:AE1938)+1,""))</f>
        <v/>
      </c>
    </row>
    <row r="1940" customFormat="false" ht="15" hidden="false" customHeight="false" outlineLevel="0" collapsed="false">
      <c r="A1940" s="35" t="str">
        <f aca="false">IF($B1940="","",COUNTA($B$4:$B1940))</f>
        <v/>
      </c>
      <c r="B1940" s="36"/>
      <c r="C1940" s="37"/>
      <c r="D1940" s="37"/>
      <c r="E1940" s="38"/>
      <c r="F1940" s="36"/>
      <c r="G1940" s="39"/>
      <c r="H1940" s="39"/>
      <c r="I1940" s="36"/>
      <c r="J1940" s="36"/>
      <c r="K1940" s="36"/>
      <c r="L1940" s="36"/>
      <c r="M1940" s="40" t="str">
        <f aca="false">IF($F1940="","",$F1940&amp;IF($G1940="",""," - RT "&amp;$G1940&amp;IF($H1940="","","/"&amp;$H1940)))</f>
        <v/>
      </c>
      <c r="N1940" s="36"/>
      <c r="O1940" s="37"/>
      <c r="P1940" s="39"/>
      <c r="Q1940" s="41"/>
      <c r="R1940" s="35" t="str">
        <f aca="true">IF(OR($B1940="",$Q1940=""),"",DATEDIF($Q1940,TODAY(),"Y"))</f>
        <v/>
      </c>
      <c r="S1940" s="40" t="str">
        <f aca="false">IF($R1940="","",INDEX(usia_label,MATCH($R1940,usia_min,1)))</f>
        <v/>
      </c>
      <c r="T1940" s="36"/>
      <c r="U1940" s="41"/>
      <c r="V1940" s="36"/>
      <c r="W1940" s="36"/>
      <c r="X1940" s="40" t="str">
        <f aca="false">IF($M1940="","",$M1940&amp;"#"&amp;COUNTIF($M$4:$M1940,$M1940))</f>
        <v/>
      </c>
      <c r="Y1940" s="40" t="str">
        <f aca="false">IF($B1940="","",IF($C1940="","NIK kosong",IF(LEN($C1940)&lt;&gt;16,"NIK bukan 16 digit",IF(COUNTIF($C$4:$C$2003,$C1940&amp;"*")&gt;1,"NIK ganda",IF(AND($D1940&lt;&gt;"",LEN($D1940)&lt;&gt;16),"No. KK bukan 16 digit",IF(AND($F1940="",$I1940=""),"Alamat kosong",IF($N1940="","Jabatan kosong",IF($O1940="","No. HP kosong",IF(AND($R1940&lt;&gt;"",$R1940&lt;17),"Usia di bawah 17","")))))))))</f>
        <v/>
      </c>
      <c r="Z1940" s="40" t="str">
        <f aca="false">IF($B1940="","",IF(AND(OR(CARI!$C$5="",ISNUMBER(SEARCH(CARI!$C$5,$B1940&amp;" "&amp;$C1940&amp;" "&amp;$D1940&amp;" "&amp;$O1940&amp;" "&amp;$I1940&amp;" "&amp;$F1940&amp;" "&amp;$J1940&amp;" "&amp;$K1940&amp;" "&amp;$L1940&amp;" "&amp;$V1940))),OR(CARI!$C$6="",$F1940=CARI!$C$6),OR(CARI!$C$7="",$G1940=CARI!$C$7),OR(CARI!$C$8="",$T1940=CARI!$C$8)),MAX($Z$3:Z1939)+1,""))</f>
        <v/>
      </c>
      <c r="AA1940" s="40" t="str">
        <f aca="false">IF($Y1940="","",MAX($AA$3:AA1939)+1)</f>
        <v/>
      </c>
      <c r="AB1940" s="40" t="str">
        <f aca="false">IF($F1940="","",$F1940&amp;"#"&amp;COUNTIF($F$4:$F1940,$F1940))</f>
        <v/>
      </c>
      <c r="AC1940" s="40" t="str">
        <f aca="false">IF($B1940="","",IF(AND(OR(CETAK!$J$10="",$F1940=CETAK!$J$10),OR(CETAK!$J$11="",$G1940=CETAK!$J$11),OR(CETAK!$J$12="",$P1940=CETAK!$J$12),OR(CETAK!$J$13="",$N1940=CETAK!$J$13),OR(CETAK!$J$14="",$T1940=CETAK!$J$14)),MAX($AC$3:AC1939)+1,""))</f>
        <v/>
      </c>
      <c r="AD1940" s="40" t="str">
        <f aca="false">IF($B1940="","",IF(AND(OR(ABSENSI!$H$10="",$F1940=ABSENSI!$H$10),OR(ABSENSI!$H$11="",$G1940=ABSENSI!$H$11),OR(ABSENSI!$H$12="",$P1940=ABSENSI!$H$12)),MAX($AD$3:AD1939)+1,""))</f>
        <v/>
      </c>
      <c r="AE1940" s="40" t="str">
        <f aca="false">IF($B1940="","",IF(AND(OR(KARTU!$K$6="",$F1940=KARTU!$K$6),OR(KARTU!$K$7="",$G1940=KARTU!$K$7),OR(KARTU!$K$8="",$P1940=KARTU!$K$8)),MAX($AE$3:AE1939)+1,""))</f>
        <v/>
      </c>
    </row>
    <row r="1941" customFormat="false" ht="15" hidden="false" customHeight="false" outlineLevel="0" collapsed="false">
      <c r="A1941" s="35" t="str">
        <f aca="false">IF($B1941="","",COUNTA($B$4:$B1941))</f>
        <v/>
      </c>
      <c r="B1941" s="36"/>
      <c r="C1941" s="37"/>
      <c r="D1941" s="37"/>
      <c r="E1941" s="38"/>
      <c r="F1941" s="36"/>
      <c r="G1941" s="39"/>
      <c r="H1941" s="39"/>
      <c r="I1941" s="36"/>
      <c r="J1941" s="36"/>
      <c r="K1941" s="36"/>
      <c r="L1941" s="36"/>
      <c r="M1941" s="40" t="str">
        <f aca="false">IF($F1941="","",$F1941&amp;IF($G1941="",""," - RT "&amp;$G1941&amp;IF($H1941="","","/"&amp;$H1941)))</f>
        <v/>
      </c>
      <c r="N1941" s="36"/>
      <c r="O1941" s="37"/>
      <c r="P1941" s="39"/>
      <c r="Q1941" s="41"/>
      <c r="R1941" s="35" t="str">
        <f aca="true">IF(OR($B1941="",$Q1941=""),"",DATEDIF($Q1941,TODAY(),"Y"))</f>
        <v/>
      </c>
      <c r="S1941" s="40" t="str">
        <f aca="false">IF($R1941="","",INDEX(usia_label,MATCH($R1941,usia_min,1)))</f>
        <v/>
      </c>
      <c r="T1941" s="36"/>
      <c r="U1941" s="41"/>
      <c r="V1941" s="36"/>
      <c r="W1941" s="36"/>
      <c r="X1941" s="40" t="str">
        <f aca="false">IF($M1941="","",$M1941&amp;"#"&amp;COUNTIF($M$4:$M1941,$M1941))</f>
        <v/>
      </c>
      <c r="Y1941" s="40" t="str">
        <f aca="false">IF($B1941="","",IF($C1941="","NIK kosong",IF(LEN($C1941)&lt;&gt;16,"NIK bukan 16 digit",IF(COUNTIF($C$4:$C$2003,$C1941&amp;"*")&gt;1,"NIK ganda",IF(AND($D1941&lt;&gt;"",LEN($D1941)&lt;&gt;16),"No. KK bukan 16 digit",IF(AND($F1941="",$I1941=""),"Alamat kosong",IF($N1941="","Jabatan kosong",IF($O1941="","No. HP kosong",IF(AND($R1941&lt;&gt;"",$R1941&lt;17),"Usia di bawah 17","")))))))))</f>
        <v/>
      </c>
      <c r="Z1941" s="40" t="str">
        <f aca="false">IF($B1941="","",IF(AND(OR(CARI!$C$5="",ISNUMBER(SEARCH(CARI!$C$5,$B1941&amp;" "&amp;$C1941&amp;" "&amp;$D1941&amp;" "&amp;$O1941&amp;" "&amp;$I1941&amp;" "&amp;$F1941&amp;" "&amp;$J1941&amp;" "&amp;$K1941&amp;" "&amp;$L1941&amp;" "&amp;$V1941))),OR(CARI!$C$6="",$F1941=CARI!$C$6),OR(CARI!$C$7="",$G1941=CARI!$C$7),OR(CARI!$C$8="",$T1941=CARI!$C$8)),MAX($Z$3:Z1940)+1,""))</f>
        <v/>
      </c>
      <c r="AA1941" s="40" t="str">
        <f aca="false">IF($Y1941="","",MAX($AA$3:AA1940)+1)</f>
        <v/>
      </c>
      <c r="AB1941" s="40" t="str">
        <f aca="false">IF($F1941="","",$F1941&amp;"#"&amp;COUNTIF($F$4:$F1941,$F1941))</f>
        <v/>
      </c>
      <c r="AC1941" s="40" t="str">
        <f aca="false">IF($B1941="","",IF(AND(OR(CETAK!$J$10="",$F1941=CETAK!$J$10),OR(CETAK!$J$11="",$G1941=CETAK!$J$11),OR(CETAK!$J$12="",$P1941=CETAK!$J$12),OR(CETAK!$J$13="",$N1941=CETAK!$J$13),OR(CETAK!$J$14="",$T1941=CETAK!$J$14)),MAX($AC$3:AC1940)+1,""))</f>
        <v/>
      </c>
      <c r="AD1941" s="40" t="str">
        <f aca="false">IF($B1941="","",IF(AND(OR(ABSENSI!$H$10="",$F1941=ABSENSI!$H$10),OR(ABSENSI!$H$11="",$G1941=ABSENSI!$H$11),OR(ABSENSI!$H$12="",$P1941=ABSENSI!$H$12)),MAX($AD$3:AD1940)+1,""))</f>
        <v/>
      </c>
      <c r="AE1941" s="40" t="str">
        <f aca="false">IF($B1941="","",IF(AND(OR(KARTU!$K$6="",$F1941=KARTU!$K$6),OR(KARTU!$K$7="",$G1941=KARTU!$K$7),OR(KARTU!$K$8="",$P1941=KARTU!$K$8)),MAX($AE$3:AE1940)+1,""))</f>
        <v/>
      </c>
    </row>
    <row r="1942" customFormat="false" ht="15" hidden="false" customHeight="false" outlineLevel="0" collapsed="false">
      <c r="A1942" s="35" t="str">
        <f aca="false">IF($B1942="","",COUNTA($B$4:$B1942))</f>
        <v/>
      </c>
      <c r="B1942" s="36"/>
      <c r="C1942" s="37"/>
      <c r="D1942" s="37"/>
      <c r="E1942" s="38"/>
      <c r="F1942" s="36"/>
      <c r="G1942" s="39"/>
      <c r="H1942" s="39"/>
      <c r="I1942" s="36"/>
      <c r="J1942" s="36"/>
      <c r="K1942" s="36"/>
      <c r="L1942" s="36"/>
      <c r="M1942" s="40" t="str">
        <f aca="false">IF($F1942="","",$F1942&amp;IF($G1942="",""," - RT "&amp;$G1942&amp;IF($H1942="","","/"&amp;$H1942)))</f>
        <v/>
      </c>
      <c r="N1942" s="36"/>
      <c r="O1942" s="37"/>
      <c r="P1942" s="39"/>
      <c r="Q1942" s="41"/>
      <c r="R1942" s="35" t="str">
        <f aca="true">IF(OR($B1942="",$Q1942=""),"",DATEDIF($Q1942,TODAY(),"Y"))</f>
        <v/>
      </c>
      <c r="S1942" s="40" t="str">
        <f aca="false">IF($R1942="","",INDEX(usia_label,MATCH($R1942,usia_min,1)))</f>
        <v/>
      </c>
      <c r="T1942" s="36"/>
      <c r="U1942" s="41"/>
      <c r="V1942" s="36"/>
      <c r="W1942" s="36"/>
      <c r="X1942" s="40" t="str">
        <f aca="false">IF($M1942="","",$M1942&amp;"#"&amp;COUNTIF($M$4:$M1942,$M1942))</f>
        <v/>
      </c>
      <c r="Y1942" s="40" t="str">
        <f aca="false">IF($B1942="","",IF($C1942="","NIK kosong",IF(LEN($C1942)&lt;&gt;16,"NIK bukan 16 digit",IF(COUNTIF($C$4:$C$2003,$C1942&amp;"*")&gt;1,"NIK ganda",IF(AND($D1942&lt;&gt;"",LEN($D1942)&lt;&gt;16),"No. KK bukan 16 digit",IF(AND($F1942="",$I1942=""),"Alamat kosong",IF($N1942="","Jabatan kosong",IF($O1942="","No. HP kosong",IF(AND($R1942&lt;&gt;"",$R1942&lt;17),"Usia di bawah 17","")))))))))</f>
        <v/>
      </c>
      <c r="Z1942" s="40" t="str">
        <f aca="false">IF($B1942="","",IF(AND(OR(CARI!$C$5="",ISNUMBER(SEARCH(CARI!$C$5,$B1942&amp;" "&amp;$C1942&amp;" "&amp;$D1942&amp;" "&amp;$O1942&amp;" "&amp;$I1942&amp;" "&amp;$F1942&amp;" "&amp;$J1942&amp;" "&amp;$K1942&amp;" "&amp;$L1942&amp;" "&amp;$V1942))),OR(CARI!$C$6="",$F1942=CARI!$C$6),OR(CARI!$C$7="",$G1942=CARI!$C$7),OR(CARI!$C$8="",$T1942=CARI!$C$8)),MAX($Z$3:Z1941)+1,""))</f>
        <v/>
      </c>
      <c r="AA1942" s="40" t="str">
        <f aca="false">IF($Y1942="","",MAX($AA$3:AA1941)+1)</f>
        <v/>
      </c>
      <c r="AB1942" s="40" t="str">
        <f aca="false">IF($F1942="","",$F1942&amp;"#"&amp;COUNTIF($F$4:$F1942,$F1942))</f>
        <v/>
      </c>
      <c r="AC1942" s="40" t="str">
        <f aca="false">IF($B1942="","",IF(AND(OR(CETAK!$J$10="",$F1942=CETAK!$J$10),OR(CETAK!$J$11="",$G1942=CETAK!$J$11),OR(CETAK!$J$12="",$P1942=CETAK!$J$12),OR(CETAK!$J$13="",$N1942=CETAK!$J$13),OR(CETAK!$J$14="",$T1942=CETAK!$J$14)),MAX($AC$3:AC1941)+1,""))</f>
        <v/>
      </c>
      <c r="AD1942" s="40" t="str">
        <f aca="false">IF($B1942="","",IF(AND(OR(ABSENSI!$H$10="",$F1942=ABSENSI!$H$10),OR(ABSENSI!$H$11="",$G1942=ABSENSI!$H$11),OR(ABSENSI!$H$12="",$P1942=ABSENSI!$H$12)),MAX($AD$3:AD1941)+1,""))</f>
        <v/>
      </c>
      <c r="AE1942" s="40" t="str">
        <f aca="false">IF($B1942="","",IF(AND(OR(KARTU!$K$6="",$F1942=KARTU!$K$6),OR(KARTU!$K$7="",$G1942=KARTU!$K$7),OR(KARTU!$K$8="",$P1942=KARTU!$K$8)),MAX($AE$3:AE1941)+1,""))</f>
        <v/>
      </c>
    </row>
    <row r="1943" customFormat="false" ht="15" hidden="false" customHeight="false" outlineLevel="0" collapsed="false">
      <c r="A1943" s="35" t="str">
        <f aca="false">IF($B1943="","",COUNTA($B$4:$B1943))</f>
        <v/>
      </c>
      <c r="B1943" s="36"/>
      <c r="C1943" s="37"/>
      <c r="D1943" s="37"/>
      <c r="E1943" s="38"/>
      <c r="F1943" s="36"/>
      <c r="G1943" s="39"/>
      <c r="H1943" s="39"/>
      <c r="I1943" s="36"/>
      <c r="J1943" s="36"/>
      <c r="K1943" s="36"/>
      <c r="L1943" s="36"/>
      <c r="M1943" s="40" t="str">
        <f aca="false">IF($F1943="","",$F1943&amp;IF($G1943="",""," - RT "&amp;$G1943&amp;IF($H1943="","","/"&amp;$H1943)))</f>
        <v/>
      </c>
      <c r="N1943" s="36"/>
      <c r="O1943" s="37"/>
      <c r="P1943" s="39"/>
      <c r="Q1943" s="41"/>
      <c r="R1943" s="35" t="str">
        <f aca="true">IF(OR($B1943="",$Q1943=""),"",DATEDIF($Q1943,TODAY(),"Y"))</f>
        <v/>
      </c>
      <c r="S1943" s="40" t="str">
        <f aca="false">IF($R1943="","",INDEX(usia_label,MATCH($R1943,usia_min,1)))</f>
        <v/>
      </c>
      <c r="T1943" s="36"/>
      <c r="U1943" s="41"/>
      <c r="V1943" s="36"/>
      <c r="W1943" s="36"/>
      <c r="X1943" s="40" t="str">
        <f aca="false">IF($M1943="","",$M1943&amp;"#"&amp;COUNTIF($M$4:$M1943,$M1943))</f>
        <v/>
      </c>
      <c r="Y1943" s="40" t="str">
        <f aca="false">IF($B1943="","",IF($C1943="","NIK kosong",IF(LEN($C1943)&lt;&gt;16,"NIK bukan 16 digit",IF(COUNTIF($C$4:$C$2003,$C1943&amp;"*")&gt;1,"NIK ganda",IF(AND($D1943&lt;&gt;"",LEN($D1943)&lt;&gt;16),"No. KK bukan 16 digit",IF(AND($F1943="",$I1943=""),"Alamat kosong",IF($N1943="","Jabatan kosong",IF($O1943="","No. HP kosong",IF(AND($R1943&lt;&gt;"",$R1943&lt;17),"Usia di bawah 17","")))))))))</f>
        <v/>
      </c>
      <c r="Z1943" s="40" t="str">
        <f aca="false">IF($B1943="","",IF(AND(OR(CARI!$C$5="",ISNUMBER(SEARCH(CARI!$C$5,$B1943&amp;" "&amp;$C1943&amp;" "&amp;$D1943&amp;" "&amp;$O1943&amp;" "&amp;$I1943&amp;" "&amp;$F1943&amp;" "&amp;$J1943&amp;" "&amp;$K1943&amp;" "&amp;$L1943&amp;" "&amp;$V1943))),OR(CARI!$C$6="",$F1943=CARI!$C$6),OR(CARI!$C$7="",$G1943=CARI!$C$7),OR(CARI!$C$8="",$T1943=CARI!$C$8)),MAX($Z$3:Z1942)+1,""))</f>
        <v/>
      </c>
      <c r="AA1943" s="40" t="str">
        <f aca="false">IF($Y1943="","",MAX($AA$3:AA1942)+1)</f>
        <v/>
      </c>
      <c r="AB1943" s="40" t="str">
        <f aca="false">IF($F1943="","",$F1943&amp;"#"&amp;COUNTIF($F$4:$F1943,$F1943))</f>
        <v/>
      </c>
      <c r="AC1943" s="40" t="str">
        <f aca="false">IF($B1943="","",IF(AND(OR(CETAK!$J$10="",$F1943=CETAK!$J$10),OR(CETAK!$J$11="",$G1943=CETAK!$J$11),OR(CETAK!$J$12="",$P1943=CETAK!$J$12),OR(CETAK!$J$13="",$N1943=CETAK!$J$13),OR(CETAK!$J$14="",$T1943=CETAK!$J$14)),MAX($AC$3:AC1942)+1,""))</f>
        <v/>
      </c>
      <c r="AD1943" s="40" t="str">
        <f aca="false">IF($B1943="","",IF(AND(OR(ABSENSI!$H$10="",$F1943=ABSENSI!$H$10),OR(ABSENSI!$H$11="",$G1943=ABSENSI!$H$11),OR(ABSENSI!$H$12="",$P1943=ABSENSI!$H$12)),MAX($AD$3:AD1942)+1,""))</f>
        <v/>
      </c>
      <c r="AE1943" s="40" t="str">
        <f aca="false">IF($B1943="","",IF(AND(OR(KARTU!$K$6="",$F1943=KARTU!$K$6),OR(KARTU!$K$7="",$G1943=KARTU!$K$7),OR(KARTU!$K$8="",$P1943=KARTU!$K$8)),MAX($AE$3:AE1942)+1,""))</f>
        <v/>
      </c>
    </row>
    <row r="1944" customFormat="false" ht="15" hidden="false" customHeight="false" outlineLevel="0" collapsed="false">
      <c r="A1944" s="35" t="str">
        <f aca="false">IF($B1944="","",COUNTA($B$4:$B1944))</f>
        <v/>
      </c>
      <c r="B1944" s="36"/>
      <c r="C1944" s="37"/>
      <c r="D1944" s="37"/>
      <c r="E1944" s="38"/>
      <c r="F1944" s="36"/>
      <c r="G1944" s="39"/>
      <c r="H1944" s="39"/>
      <c r="I1944" s="36"/>
      <c r="J1944" s="36"/>
      <c r="K1944" s="36"/>
      <c r="L1944" s="36"/>
      <c r="M1944" s="40" t="str">
        <f aca="false">IF($F1944="","",$F1944&amp;IF($G1944="",""," - RT "&amp;$G1944&amp;IF($H1944="","","/"&amp;$H1944)))</f>
        <v/>
      </c>
      <c r="N1944" s="36"/>
      <c r="O1944" s="37"/>
      <c r="P1944" s="39"/>
      <c r="Q1944" s="41"/>
      <c r="R1944" s="35" t="str">
        <f aca="true">IF(OR($B1944="",$Q1944=""),"",DATEDIF($Q1944,TODAY(),"Y"))</f>
        <v/>
      </c>
      <c r="S1944" s="40" t="str">
        <f aca="false">IF($R1944="","",INDEX(usia_label,MATCH($R1944,usia_min,1)))</f>
        <v/>
      </c>
      <c r="T1944" s="36"/>
      <c r="U1944" s="41"/>
      <c r="V1944" s="36"/>
      <c r="W1944" s="36"/>
      <c r="X1944" s="40" t="str">
        <f aca="false">IF($M1944="","",$M1944&amp;"#"&amp;COUNTIF($M$4:$M1944,$M1944))</f>
        <v/>
      </c>
      <c r="Y1944" s="40" t="str">
        <f aca="false">IF($B1944="","",IF($C1944="","NIK kosong",IF(LEN($C1944)&lt;&gt;16,"NIK bukan 16 digit",IF(COUNTIF($C$4:$C$2003,$C1944&amp;"*")&gt;1,"NIK ganda",IF(AND($D1944&lt;&gt;"",LEN($D1944)&lt;&gt;16),"No. KK bukan 16 digit",IF(AND($F1944="",$I1944=""),"Alamat kosong",IF($N1944="","Jabatan kosong",IF($O1944="","No. HP kosong",IF(AND($R1944&lt;&gt;"",$R1944&lt;17),"Usia di bawah 17","")))))))))</f>
        <v/>
      </c>
      <c r="Z1944" s="40" t="str">
        <f aca="false">IF($B1944="","",IF(AND(OR(CARI!$C$5="",ISNUMBER(SEARCH(CARI!$C$5,$B1944&amp;" "&amp;$C1944&amp;" "&amp;$D1944&amp;" "&amp;$O1944&amp;" "&amp;$I1944&amp;" "&amp;$F1944&amp;" "&amp;$J1944&amp;" "&amp;$K1944&amp;" "&amp;$L1944&amp;" "&amp;$V1944))),OR(CARI!$C$6="",$F1944=CARI!$C$6),OR(CARI!$C$7="",$G1944=CARI!$C$7),OR(CARI!$C$8="",$T1944=CARI!$C$8)),MAX($Z$3:Z1943)+1,""))</f>
        <v/>
      </c>
      <c r="AA1944" s="40" t="str">
        <f aca="false">IF($Y1944="","",MAX($AA$3:AA1943)+1)</f>
        <v/>
      </c>
      <c r="AB1944" s="40" t="str">
        <f aca="false">IF($F1944="","",$F1944&amp;"#"&amp;COUNTIF($F$4:$F1944,$F1944))</f>
        <v/>
      </c>
      <c r="AC1944" s="40" t="str">
        <f aca="false">IF($B1944="","",IF(AND(OR(CETAK!$J$10="",$F1944=CETAK!$J$10),OR(CETAK!$J$11="",$G1944=CETAK!$J$11),OR(CETAK!$J$12="",$P1944=CETAK!$J$12),OR(CETAK!$J$13="",$N1944=CETAK!$J$13),OR(CETAK!$J$14="",$T1944=CETAK!$J$14)),MAX($AC$3:AC1943)+1,""))</f>
        <v/>
      </c>
      <c r="AD1944" s="40" t="str">
        <f aca="false">IF($B1944="","",IF(AND(OR(ABSENSI!$H$10="",$F1944=ABSENSI!$H$10),OR(ABSENSI!$H$11="",$G1944=ABSENSI!$H$11),OR(ABSENSI!$H$12="",$P1944=ABSENSI!$H$12)),MAX($AD$3:AD1943)+1,""))</f>
        <v/>
      </c>
      <c r="AE1944" s="40" t="str">
        <f aca="false">IF($B1944="","",IF(AND(OR(KARTU!$K$6="",$F1944=KARTU!$K$6),OR(KARTU!$K$7="",$G1944=KARTU!$K$7),OR(KARTU!$K$8="",$P1944=KARTU!$K$8)),MAX($AE$3:AE1943)+1,""))</f>
        <v/>
      </c>
    </row>
    <row r="1945" customFormat="false" ht="15" hidden="false" customHeight="false" outlineLevel="0" collapsed="false">
      <c r="A1945" s="35" t="str">
        <f aca="false">IF($B1945="","",COUNTA($B$4:$B1945))</f>
        <v/>
      </c>
      <c r="B1945" s="36"/>
      <c r="C1945" s="37"/>
      <c r="D1945" s="37"/>
      <c r="E1945" s="38"/>
      <c r="F1945" s="36"/>
      <c r="G1945" s="39"/>
      <c r="H1945" s="39"/>
      <c r="I1945" s="36"/>
      <c r="J1945" s="36"/>
      <c r="K1945" s="36"/>
      <c r="L1945" s="36"/>
      <c r="M1945" s="40" t="str">
        <f aca="false">IF($F1945="","",$F1945&amp;IF($G1945="",""," - RT "&amp;$G1945&amp;IF($H1945="","","/"&amp;$H1945)))</f>
        <v/>
      </c>
      <c r="N1945" s="36"/>
      <c r="O1945" s="37"/>
      <c r="P1945" s="39"/>
      <c r="Q1945" s="41"/>
      <c r="R1945" s="35" t="str">
        <f aca="true">IF(OR($B1945="",$Q1945=""),"",DATEDIF($Q1945,TODAY(),"Y"))</f>
        <v/>
      </c>
      <c r="S1945" s="40" t="str">
        <f aca="false">IF($R1945="","",INDEX(usia_label,MATCH($R1945,usia_min,1)))</f>
        <v/>
      </c>
      <c r="T1945" s="36"/>
      <c r="U1945" s="41"/>
      <c r="V1945" s="36"/>
      <c r="W1945" s="36"/>
      <c r="X1945" s="40" t="str">
        <f aca="false">IF($M1945="","",$M1945&amp;"#"&amp;COUNTIF($M$4:$M1945,$M1945))</f>
        <v/>
      </c>
      <c r="Y1945" s="40" t="str">
        <f aca="false">IF($B1945="","",IF($C1945="","NIK kosong",IF(LEN($C1945)&lt;&gt;16,"NIK bukan 16 digit",IF(COUNTIF($C$4:$C$2003,$C1945&amp;"*")&gt;1,"NIK ganda",IF(AND($D1945&lt;&gt;"",LEN($D1945)&lt;&gt;16),"No. KK bukan 16 digit",IF(AND($F1945="",$I1945=""),"Alamat kosong",IF($N1945="","Jabatan kosong",IF($O1945="","No. HP kosong",IF(AND($R1945&lt;&gt;"",$R1945&lt;17),"Usia di bawah 17","")))))))))</f>
        <v/>
      </c>
      <c r="Z1945" s="40" t="str">
        <f aca="false">IF($B1945="","",IF(AND(OR(CARI!$C$5="",ISNUMBER(SEARCH(CARI!$C$5,$B1945&amp;" "&amp;$C1945&amp;" "&amp;$D1945&amp;" "&amp;$O1945&amp;" "&amp;$I1945&amp;" "&amp;$F1945&amp;" "&amp;$J1945&amp;" "&amp;$K1945&amp;" "&amp;$L1945&amp;" "&amp;$V1945))),OR(CARI!$C$6="",$F1945=CARI!$C$6),OR(CARI!$C$7="",$G1945=CARI!$C$7),OR(CARI!$C$8="",$T1945=CARI!$C$8)),MAX($Z$3:Z1944)+1,""))</f>
        <v/>
      </c>
      <c r="AA1945" s="40" t="str">
        <f aca="false">IF($Y1945="","",MAX($AA$3:AA1944)+1)</f>
        <v/>
      </c>
      <c r="AB1945" s="40" t="str">
        <f aca="false">IF($F1945="","",$F1945&amp;"#"&amp;COUNTIF($F$4:$F1945,$F1945))</f>
        <v/>
      </c>
      <c r="AC1945" s="40" t="str">
        <f aca="false">IF($B1945="","",IF(AND(OR(CETAK!$J$10="",$F1945=CETAK!$J$10),OR(CETAK!$J$11="",$G1945=CETAK!$J$11),OR(CETAK!$J$12="",$P1945=CETAK!$J$12),OR(CETAK!$J$13="",$N1945=CETAK!$J$13),OR(CETAK!$J$14="",$T1945=CETAK!$J$14)),MAX($AC$3:AC1944)+1,""))</f>
        <v/>
      </c>
      <c r="AD1945" s="40" t="str">
        <f aca="false">IF($B1945="","",IF(AND(OR(ABSENSI!$H$10="",$F1945=ABSENSI!$H$10),OR(ABSENSI!$H$11="",$G1945=ABSENSI!$H$11),OR(ABSENSI!$H$12="",$P1945=ABSENSI!$H$12)),MAX($AD$3:AD1944)+1,""))</f>
        <v/>
      </c>
      <c r="AE1945" s="40" t="str">
        <f aca="false">IF($B1945="","",IF(AND(OR(KARTU!$K$6="",$F1945=KARTU!$K$6),OR(KARTU!$K$7="",$G1945=KARTU!$K$7),OR(KARTU!$K$8="",$P1945=KARTU!$K$8)),MAX($AE$3:AE1944)+1,""))</f>
        <v/>
      </c>
    </row>
    <row r="1946" customFormat="false" ht="15" hidden="false" customHeight="false" outlineLevel="0" collapsed="false">
      <c r="A1946" s="35" t="str">
        <f aca="false">IF($B1946="","",COUNTA($B$4:$B1946))</f>
        <v/>
      </c>
      <c r="B1946" s="36"/>
      <c r="C1946" s="37"/>
      <c r="D1946" s="37"/>
      <c r="E1946" s="38"/>
      <c r="F1946" s="36"/>
      <c r="G1946" s="39"/>
      <c r="H1946" s="39"/>
      <c r="I1946" s="36"/>
      <c r="J1946" s="36"/>
      <c r="K1946" s="36"/>
      <c r="L1946" s="36"/>
      <c r="M1946" s="40" t="str">
        <f aca="false">IF($F1946="","",$F1946&amp;IF($G1946="",""," - RT "&amp;$G1946&amp;IF($H1946="","","/"&amp;$H1946)))</f>
        <v/>
      </c>
      <c r="N1946" s="36"/>
      <c r="O1946" s="37"/>
      <c r="P1946" s="39"/>
      <c r="Q1946" s="41"/>
      <c r="R1946" s="35" t="str">
        <f aca="true">IF(OR($B1946="",$Q1946=""),"",DATEDIF($Q1946,TODAY(),"Y"))</f>
        <v/>
      </c>
      <c r="S1946" s="40" t="str">
        <f aca="false">IF($R1946="","",INDEX(usia_label,MATCH($R1946,usia_min,1)))</f>
        <v/>
      </c>
      <c r="T1946" s="36"/>
      <c r="U1946" s="41"/>
      <c r="V1946" s="36"/>
      <c r="W1946" s="36"/>
      <c r="X1946" s="40" t="str">
        <f aca="false">IF($M1946="","",$M1946&amp;"#"&amp;COUNTIF($M$4:$M1946,$M1946))</f>
        <v/>
      </c>
      <c r="Y1946" s="40" t="str">
        <f aca="false">IF($B1946="","",IF($C1946="","NIK kosong",IF(LEN($C1946)&lt;&gt;16,"NIK bukan 16 digit",IF(COUNTIF($C$4:$C$2003,$C1946&amp;"*")&gt;1,"NIK ganda",IF(AND($D1946&lt;&gt;"",LEN($D1946)&lt;&gt;16),"No. KK bukan 16 digit",IF(AND($F1946="",$I1946=""),"Alamat kosong",IF($N1946="","Jabatan kosong",IF($O1946="","No. HP kosong",IF(AND($R1946&lt;&gt;"",$R1946&lt;17),"Usia di bawah 17","")))))))))</f>
        <v/>
      </c>
      <c r="Z1946" s="40" t="str">
        <f aca="false">IF($B1946="","",IF(AND(OR(CARI!$C$5="",ISNUMBER(SEARCH(CARI!$C$5,$B1946&amp;" "&amp;$C1946&amp;" "&amp;$D1946&amp;" "&amp;$O1946&amp;" "&amp;$I1946&amp;" "&amp;$F1946&amp;" "&amp;$J1946&amp;" "&amp;$K1946&amp;" "&amp;$L1946&amp;" "&amp;$V1946))),OR(CARI!$C$6="",$F1946=CARI!$C$6),OR(CARI!$C$7="",$G1946=CARI!$C$7),OR(CARI!$C$8="",$T1946=CARI!$C$8)),MAX($Z$3:Z1945)+1,""))</f>
        <v/>
      </c>
      <c r="AA1946" s="40" t="str">
        <f aca="false">IF($Y1946="","",MAX($AA$3:AA1945)+1)</f>
        <v/>
      </c>
      <c r="AB1946" s="40" t="str">
        <f aca="false">IF($F1946="","",$F1946&amp;"#"&amp;COUNTIF($F$4:$F1946,$F1946))</f>
        <v/>
      </c>
      <c r="AC1946" s="40" t="str">
        <f aca="false">IF($B1946="","",IF(AND(OR(CETAK!$J$10="",$F1946=CETAK!$J$10),OR(CETAK!$J$11="",$G1946=CETAK!$J$11),OR(CETAK!$J$12="",$P1946=CETAK!$J$12),OR(CETAK!$J$13="",$N1946=CETAK!$J$13),OR(CETAK!$J$14="",$T1946=CETAK!$J$14)),MAX($AC$3:AC1945)+1,""))</f>
        <v/>
      </c>
      <c r="AD1946" s="40" t="str">
        <f aca="false">IF($B1946="","",IF(AND(OR(ABSENSI!$H$10="",$F1946=ABSENSI!$H$10),OR(ABSENSI!$H$11="",$G1946=ABSENSI!$H$11),OR(ABSENSI!$H$12="",$P1946=ABSENSI!$H$12)),MAX($AD$3:AD1945)+1,""))</f>
        <v/>
      </c>
      <c r="AE1946" s="40" t="str">
        <f aca="false">IF($B1946="","",IF(AND(OR(KARTU!$K$6="",$F1946=KARTU!$K$6),OR(KARTU!$K$7="",$G1946=KARTU!$K$7),OR(KARTU!$K$8="",$P1946=KARTU!$K$8)),MAX($AE$3:AE1945)+1,""))</f>
        <v/>
      </c>
    </row>
    <row r="1947" customFormat="false" ht="15" hidden="false" customHeight="false" outlineLevel="0" collapsed="false">
      <c r="A1947" s="35" t="str">
        <f aca="false">IF($B1947="","",COUNTA($B$4:$B1947))</f>
        <v/>
      </c>
      <c r="B1947" s="36"/>
      <c r="C1947" s="37"/>
      <c r="D1947" s="37"/>
      <c r="E1947" s="38"/>
      <c r="F1947" s="36"/>
      <c r="G1947" s="39"/>
      <c r="H1947" s="39"/>
      <c r="I1947" s="36"/>
      <c r="J1947" s="36"/>
      <c r="K1947" s="36"/>
      <c r="L1947" s="36"/>
      <c r="M1947" s="40" t="str">
        <f aca="false">IF($F1947="","",$F1947&amp;IF($G1947="",""," - RT "&amp;$G1947&amp;IF($H1947="","","/"&amp;$H1947)))</f>
        <v/>
      </c>
      <c r="N1947" s="36"/>
      <c r="O1947" s="37"/>
      <c r="P1947" s="39"/>
      <c r="Q1947" s="41"/>
      <c r="R1947" s="35" t="str">
        <f aca="true">IF(OR($B1947="",$Q1947=""),"",DATEDIF($Q1947,TODAY(),"Y"))</f>
        <v/>
      </c>
      <c r="S1947" s="40" t="str">
        <f aca="false">IF($R1947="","",INDEX(usia_label,MATCH($R1947,usia_min,1)))</f>
        <v/>
      </c>
      <c r="T1947" s="36"/>
      <c r="U1947" s="41"/>
      <c r="V1947" s="36"/>
      <c r="W1947" s="36"/>
      <c r="X1947" s="40" t="str">
        <f aca="false">IF($M1947="","",$M1947&amp;"#"&amp;COUNTIF($M$4:$M1947,$M1947))</f>
        <v/>
      </c>
      <c r="Y1947" s="40" t="str">
        <f aca="false">IF($B1947="","",IF($C1947="","NIK kosong",IF(LEN($C1947)&lt;&gt;16,"NIK bukan 16 digit",IF(COUNTIF($C$4:$C$2003,$C1947&amp;"*")&gt;1,"NIK ganda",IF(AND($D1947&lt;&gt;"",LEN($D1947)&lt;&gt;16),"No. KK bukan 16 digit",IF(AND($F1947="",$I1947=""),"Alamat kosong",IF($N1947="","Jabatan kosong",IF($O1947="","No. HP kosong",IF(AND($R1947&lt;&gt;"",$R1947&lt;17),"Usia di bawah 17","")))))))))</f>
        <v/>
      </c>
      <c r="Z1947" s="40" t="str">
        <f aca="false">IF($B1947="","",IF(AND(OR(CARI!$C$5="",ISNUMBER(SEARCH(CARI!$C$5,$B1947&amp;" "&amp;$C1947&amp;" "&amp;$D1947&amp;" "&amp;$O1947&amp;" "&amp;$I1947&amp;" "&amp;$F1947&amp;" "&amp;$J1947&amp;" "&amp;$K1947&amp;" "&amp;$L1947&amp;" "&amp;$V1947))),OR(CARI!$C$6="",$F1947=CARI!$C$6),OR(CARI!$C$7="",$G1947=CARI!$C$7),OR(CARI!$C$8="",$T1947=CARI!$C$8)),MAX($Z$3:Z1946)+1,""))</f>
        <v/>
      </c>
      <c r="AA1947" s="40" t="str">
        <f aca="false">IF($Y1947="","",MAX($AA$3:AA1946)+1)</f>
        <v/>
      </c>
      <c r="AB1947" s="40" t="str">
        <f aca="false">IF($F1947="","",$F1947&amp;"#"&amp;COUNTIF($F$4:$F1947,$F1947))</f>
        <v/>
      </c>
      <c r="AC1947" s="40" t="str">
        <f aca="false">IF($B1947="","",IF(AND(OR(CETAK!$J$10="",$F1947=CETAK!$J$10),OR(CETAK!$J$11="",$G1947=CETAK!$J$11),OR(CETAK!$J$12="",$P1947=CETAK!$J$12),OR(CETAK!$J$13="",$N1947=CETAK!$J$13),OR(CETAK!$J$14="",$T1947=CETAK!$J$14)),MAX($AC$3:AC1946)+1,""))</f>
        <v/>
      </c>
      <c r="AD1947" s="40" t="str">
        <f aca="false">IF($B1947="","",IF(AND(OR(ABSENSI!$H$10="",$F1947=ABSENSI!$H$10),OR(ABSENSI!$H$11="",$G1947=ABSENSI!$H$11),OR(ABSENSI!$H$12="",$P1947=ABSENSI!$H$12)),MAX($AD$3:AD1946)+1,""))</f>
        <v/>
      </c>
      <c r="AE1947" s="40" t="str">
        <f aca="false">IF($B1947="","",IF(AND(OR(KARTU!$K$6="",$F1947=KARTU!$K$6),OR(KARTU!$K$7="",$G1947=KARTU!$K$7),OR(KARTU!$K$8="",$P1947=KARTU!$K$8)),MAX($AE$3:AE1946)+1,""))</f>
        <v/>
      </c>
    </row>
    <row r="1948" customFormat="false" ht="15" hidden="false" customHeight="false" outlineLevel="0" collapsed="false">
      <c r="A1948" s="35" t="str">
        <f aca="false">IF($B1948="","",COUNTA($B$4:$B1948))</f>
        <v/>
      </c>
      <c r="B1948" s="36"/>
      <c r="C1948" s="37"/>
      <c r="D1948" s="37"/>
      <c r="E1948" s="38"/>
      <c r="F1948" s="36"/>
      <c r="G1948" s="39"/>
      <c r="H1948" s="39"/>
      <c r="I1948" s="36"/>
      <c r="J1948" s="36"/>
      <c r="K1948" s="36"/>
      <c r="L1948" s="36"/>
      <c r="M1948" s="40" t="str">
        <f aca="false">IF($F1948="","",$F1948&amp;IF($G1948="",""," - RT "&amp;$G1948&amp;IF($H1948="","","/"&amp;$H1948)))</f>
        <v/>
      </c>
      <c r="N1948" s="36"/>
      <c r="O1948" s="37"/>
      <c r="P1948" s="39"/>
      <c r="Q1948" s="41"/>
      <c r="R1948" s="35" t="str">
        <f aca="true">IF(OR($B1948="",$Q1948=""),"",DATEDIF($Q1948,TODAY(),"Y"))</f>
        <v/>
      </c>
      <c r="S1948" s="40" t="str">
        <f aca="false">IF($R1948="","",INDEX(usia_label,MATCH($R1948,usia_min,1)))</f>
        <v/>
      </c>
      <c r="T1948" s="36"/>
      <c r="U1948" s="41"/>
      <c r="V1948" s="36"/>
      <c r="W1948" s="36"/>
      <c r="X1948" s="40" t="str">
        <f aca="false">IF($M1948="","",$M1948&amp;"#"&amp;COUNTIF($M$4:$M1948,$M1948))</f>
        <v/>
      </c>
      <c r="Y1948" s="40" t="str">
        <f aca="false">IF($B1948="","",IF($C1948="","NIK kosong",IF(LEN($C1948)&lt;&gt;16,"NIK bukan 16 digit",IF(COUNTIF($C$4:$C$2003,$C1948&amp;"*")&gt;1,"NIK ganda",IF(AND($D1948&lt;&gt;"",LEN($D1948)&lt;&gt;16),"No. KK bukan 16 digit",IF(AND($F1948="",$I1948=""),"Alamat kosong",IF($N1948="","Jabatan kosong",IF($O1948="","No. HP kosong",IF(AND($R1948&lt;&gt;"",$R1948&lt;17),"Usia di bawah 17","")))))))))</f>
        <v/>
      </c>
      <c r="Z1948" s="40" t="str">
        <f aca="false">IF($B1948="","",IF(AND(OR(CARI!$C$5="",ISNUMBER(SEARCH(CARI!$C$5,$B1948&amp;" "&amp;$C1948&amp;" "&amp;$D1948&amp;" "&amp;$O1948&amp;" "&amp;$I1948&amp;" "&amp;$F1948&amp;" "&amp;$J1948&amp;" "&amp;$K1948&amp;" "&amp;$L1948&amp;" "&amp;$V1948))),OR(CARI!$C$6="",$F1948=CARI!$C$6),OR(CARI!$C$7="",$G1948=CARI!$C$7),OR(CARI!$C$8="",$T1948=CARI!$C$8)),MAX($Z$3:Z1947)+1,""))</f>
        <v/>
      </c>
      <c r="AA1948" s="40" t="str">
        <f aca="false">IF($Y1948="","",MAX($AA$3:AA1947)+1)</f>
        <v/>
      </c>
      <c r="AB1948" s="40" t="str">
        <f aca="false">IF($F1948="","",$F1948&amp;"#"&amp;COUNTIF($F$4:$F1948,$F1948))</f>
        <v/>
      </c>
      <c r="AC1948" s="40" t="str">
        <f aca="false">IF($B1948="","",IF(AND(OR(CETAK!$J$10="",$F1948=CETAK!$J$10),OR(CETAK!$J$11="",$G1948=CETAK!$J$11),OR(CETAK!$J$12="",$P1948=CETAK!$J$12),OR(CETAK!$J$13="",$N1948=CETAK!$J$13),OR(CETAK!$J$14="",$T1948=CETAK!$J$14)),MAX($AC$3:AC1947)+1,""))</f>
        <v/>
      </c>
      <c r="AD1948" s="40" t="str">
        <f aca="false">IF($B1948="","",IF(AND(OR(ABSENSI!$H$10="",$F1948=ABSENSI!$H$10),OR(ABSENSI!$H$11="",$G1948=ABSENSI!$H$11),OR(ABSENSI!$H$12="",$P1948=ABSENSI!$H$12)),MAX($AD$3:AD1947)+1,""))</f>
        <v/>
      </c>
      <c r="AE1948" s="40" t="str">
        <f aca="false">IF($B1948="","",IF(AND(OR(KARTU!$K$6="",$F1948=KARTU!$K$6),OR(KARTU!$K$7="",$G1948=KARTU!$K$7),OR(KARTU!$K$8="",$P1948=KARTU!$K$8)),MAX($AE$3:AE1947)+1,""))</f>
        <v/>
      </c>
    </row>
    <row r="1949" customFormat="false" ht="15" hidden="false" customHeight="false" outlineLevel="0" collapsed="false">
      <c r="A1949" s="35" t="str">
        <f aca="false">IF($B1949="","",COUNTA($B$4:$B1949))</f>
        <v/>
      </c>
      <c r="B1949" s="36"/>
      <c r="C1949" s="37"/>
      <c r="D1949" s="37"/>
      <c r="E1949" s="38"/>
      <c r="F1949" s="36"/>
      <c r="G1949" s="39"/>
      <c r="H1949" s="39"/>
      <c r="I1949" s="36"/>
      <c r="J1949" s="36"/>
      <c r="K1949" s="36"/>
      <c r="L1949" s="36"/>
      <c r="M1949" s="40" t="str">
        <f aca="false">IF($F1949="","",$F1949&amp;IF($G1949="",""," - RT "&amp;$G1949&amp;IF($H1949="","","/"&amp;$H1949)))</f>
        <v/>
      </c>
      <c r="N1949" s="36"/>
      <c r="O1949" s="37"/>
      <c r="P1949" s="39"/>
      <c r="Q1949" s="41"/>
      <c r="R1949" s="35" t="str">
        <f aca="true">IF(OR($B1949="",$Q1949=""),"",DATEDIF($Q1949,TODAY(),"Y"))</f>
        <v/>
      </c>
      <c r="S1949" s="40" t="str">
        <f aca="false">IF($R1949="","",INDEX(usia_label,MATCH($R1949,usia_min,1)))</f>
        <v/>
      </c>
      <c r="T1949" s="36"/>
      <c r="U1949" s="41"/>
      <c r="V1949" s="36"/>
      <c r="W1949" s="36"/>
      <c r="X1949" s="40" t="str">
        <f aca="false">IF($M1949="","",$M1949&amp;"#"&amp;COUNTIF($M$4:$M1949,$M1949))</f>
        <v/>
      </c>
      <c r="Y1949" s="40" t="str">
        <f aca="false">IF($B1949="","",IF($C1949="","NIK kosong",IF(LEN($C1949)&lt;&gt;16,"NIK bukan 16 digit",IF(COUNTIF($C$4:$C$2003,$C1949&amp;"*")&gt;1,"NIK ganda",IF(AND($D1949&lt;&gt;"",LEN($D1949)&lt;&gt;16),"No. KK bukan 16 digit",IF(AND($F1949="",$I1949=""),"Alamat kosong",IF($N1949="","Jabatan kosong",IF($O1949="","No. HP kosong",IF(AND($R1949&lt;&gt;"",$R1949&lt;17),"Usia di bawah 17","")))))))))</f>
        <v/>
      </c>
      <c r="Z1949" s="40" t="str">
        <f aca="false">IF($B1949="","",IF(AND(OR(CARI!$C$5="",ISNUMBER(SEARCH(CARI!$C$5,$B1949&amp;" "&amp;$C1949&amp;" "&amp;$D1949&amp;" "&amp;$O1949&amp;" "&amp;$I1949&amp;" "&amp;$F1949&amp;" "&amp;$J1949&amp;" "&amp;$K1949&amp;" "&amp;$L1949&amp;" "&amp;$V1949))),OR(CARI!$C$6="",$F1949=CARI!$C$6),OR(CARI!$C$7="",$G1949=CARI!$C$7),OR(CARI!$C$8="",$T1949=CARI!$C$8)),MAX($Z$3:Z1948)+1,""))</f>
        <v/>
      </c>
      <c r="AA1949" s="40" t="str">
        <f aca="false">IF($Y1949="","",MAX($AA$3:AA1948)+1)</f>
        <v/>
      </c>
      <c r="AB1949" s="40" t="str">
        <f aca="false">IF($F1949="","",$F1949&amp;"#"&amp;COUNTIF($F$4:$F1949,$F1949))</f>
        <v/>
      </c>
      <c r="AC1949" s="40" t="str">
        <f aca="false">IF($B1949="","",IF(AND(OR(CETAK!$J$10="",$F1949=CETAK!$J$10),OR(CETAK!$J$11="",$G1949=CETAK!$J$11),OR(CETAK!$J$12="",$P1949=CETAK!$J$12),OR(CETAK!$J$13="",$N1949=CETAK!$J$13),OR(CETAK!$J$14="",$T1949=CETAK!$J$14)),MAX($AC$3:AC1948)+1,""))</f>
        <v/>
      </c>
      <c r="AD1949" s="40" t="str">
        <f aca="false">IF($B1949="","",IF(AND(OR(ABSENSI!$H$10="",$F1949=ABSENSI!$H$10),OR(ABSENSI!$H$11="",$G1949=ABSENSI!$H$11),OR(ABSENSI!$H$12="",$P1949=ABSENSI!$H$12)),MAX($AD$3:AD1948)+1,""))</f>
        <v/>
      </c>
      <c r="AE1949" s="40" t="str">
        <f aca="false">IF($B1949="","",IF(AND(OR(KARTU!$K$6="",$F1949=KARTU!$K$6),OR(KARTU!$K$7="",$G1949=KARTU!$K$7),OR(KARTU!$K$8="",$P1949=KARTU!$K$8)),MAX($AE$3:AE1948)+1,""))</f>
        <v/>
      </c>
    </row>
    <row r="1950" customFormat="false" ht="15" hidden="false" customHeight="false" outlineLevel="0" collapsed="false">
      <c r="A1950" s="35" t="str">
        <f aca="false">IF($B1950="","",COUNTA($B$4:$B1950))</f>
        <v/>
      </c>
      <c r="B1950" s="36"/>
      <c r="C1950" s="37"/>
      <c r="D1950" s="37"/>
      <c r="E1950" s="38"/>
      <c r="F1950" s="36"/>
      <c r="G1950" s="39"/>
      <c r="H1950" s="39"/>
      <c r="I1950" s="36"/>
      <c r="J1950" s="36"/>
      <c r="K1950" s="36"/>
      <c r="L1950" s="36"/>
      <c r="M1950" s="40" t="str">
        <f aca="false">IF($F1950="","",$F1950&amp;IF($G1950="",""," - RT "&amp;$G1950&amp;IF($H1950="","","/"&amp;$H1950)))</f>
        <v/>
      </c>
      <c r="N1950" s="36"/>
      <c r="O1950" s="37"/>
      <c r="P1950" s="39"/>
      <c r="Q1950" s="41"/>
      <c r="R1950" s="35" t="str">
        <f aca="true">IF(OR($B1950="",$Q1950=""),"",DATEDIF($Q1950,TODAY(),"Y"))</f>
        <v/>
      </c>
      <c r="S1950" s="40" t="str">
        <f aca="false">IF($R1950="","",INDEX(usia_label,MATCH($R1950,usia_min,1)))</f>
        <v/>
      </c>
      <c r="T1950" s="36"/>
      <c r="U1950" s="41"/>
      <c r="V1950" s="36"/>
      <c r="W1950" s="36"/>
      <c r="X1950" s="40" t="str">
        <f aca="false">IF($M1950="","",$M1950&amp;"#"&amp;COUNTIF($M$4:$M1950,$M1950))</f>
        <v/>
      </c>
      <c r="Y1950" s="40" t="str">
        <f aca="false">IF($B1950="","",IF($C1950="","NIK kosong",IF(LEN($C1950)&lt;&gt;16,"NIK bukan 16 digit",IF(COUNTIF($C$4:$C$2003,$C1950&amp;"*")&gt;1,"NIK ganda",IF(AND($D1950&lt;&gt;"",LEN($D1950)&lt;&gt;16),"No. KK bukan 16 digit",IF(AND($F1950="",$I1950=""),"Alamat kosong",IF($N1950="","Jabatan kosong",IF($O1950="","No. HP kosong",IF(AND($R1950&lt;&gt;"",$R1950&lt;17),"Usia di bawah 17","")))))))))</f>
        <v/>
      </c>
      <c r="Z1950" s="40" t="str">
        <f aca="false">IF($B1950="","",IF(AND(OR(CARI!$C$5="",ISNUMBER(SEARCH(CARI!$C$5,$B1950&amp;" "&amp;$C1950&amp;" "&amp;$D1950&amp;" "&amp;$O1950&amp;" "&amp;$I1950&amp;" "&amp;$F1950&amp;" "&amp;$J1950&amp;" "&amp;$K1950&amp;" "&amp;$L1950&amp;" "&amp;$V1950))),OR(CARI!$C$6="",$F1950=CARI!$C$6),OR(CARI!$C$7="",$G1950=CARI!$C$7),OR(CARI!$C$8="",$T1950=CARI!$C$8)),MAX($Z$3:Z1949)+1,""))</f>
        <v/>
      </c>
      <c r="AA1950" s="40" t="str">
        <f aca="false">IF($Y1950="","",MAX($AA$3:AA1949)+1)</f>
        <v/>
      </c>
      <c r="AB1950" s="40" t="str">
        <f aca="false">IF($F1950="","",$F1950&amp;"#"&amp;COUNTIF($F$4:$F1950,$F1950))</f>
        <v/>
      </c>
      <c r="AC1950" s="40" t="str">
        <f aca="false">IF($B1950="","",IF(AND(OR(CETAK!$J$10="",$F1950=CETAK!$J$10),OR(CETAK!$J$11="",$G1950=CETAK!$J$11),OR(CETAK!$J$12="",$P1950=CETAK!$J$12),OR(CETAK!$J$13="",$N1950=CETAK!$J$13),OR(CETAK!$J$14="",$T1950=CETAK!$J$14)),MAX($AC$3:AC1949)+1,""))</f>
        <v/>
      </c>
      <c r="AD1950" s="40" t="str">
        <f aca="false">IF($B1950="","",IF(AND(OR(ABSENSI!$H$10="",$F1950=ABSENSI!$H$10),OR(ABSENSI!$H$11="",$G1950=ABSENSI!$H$11),OR(ABSENSI!$H$12="",$P1950=ABSENSI!$H$12)),MAX($AD$3:AD1949)+1,""))</f>
        <v/>
      </c>
      <c r="AE1950" s="40" t="str">
        <f aca="false">IF($B1950="","",IF(AND(OR(KARTU!$K$6="",$F1950=KARTU!$K$6),OR(KARTU!$K$7="",$G1950=KARTU!$K$7),OR(KARTU!$K$8="",$P1950=KARTU!$K$8)),MAX($AE$3:AE1949)+1,""))</f>
        <v/>
      </c>
    </row>
    <row r="1951" customFormat="false" ht="15" hidden="false" customHeight="false" outlineLevel="0" collapsed="false">
      <c r="A1951" s="35" t="str">
        <f aca="false">IF($B1951="","",COUNTA($B$4:$B1951))</f>
        <v/>
      </c>
      <c r="B1951" s="36"/>
      <c r="C1951" s="37"/>
      <c r="D1951" s="37"/>
      <c r="E1951" s="38"/>
      <c r="F1951" s="36"/>
      <c r="G1951" s="39"/>
      <c r="H1951" s="39"/>
      <c r="I1951" s="36"/>
      <c r="J1951" s="36"/>
      <c r="K1951" s="36"/>
      <c r="L1951" s="36"/>
      <c r="M1951" s="40" t="str">
        <f aca="false">IF($F1951="","",$F1951&amp;IF($G1951="",""," - RT "&amp;$G1951&amp;IF($H1951="","","/"&amp;$H1951)))</f>
        <v/>
      </c>
      <c r="N1951" s="36"/>
      <c r="O1951" s="37"/>
      <c r="P1951" s="39"/>
      <c r="Q1951" s="41"/>
      <c r="R1951" s="35" t="str">
        <f aca="true">IF(OR($B1951="",$Q1951=""),"",DATEDIF($Q1951,TODAY(),"Y"))</f>
        <v/>
      </c>
      <c r="S1951" s="40" t="str">
        <f aca="false">IF($R1951="","",INDEX(usia_label,MATCH($R1951,usia_min,1)))</f>
        <v/>
      </c>
      <c r="T1951" s="36"/>
      <c r="U1951" s="41"/>
      <c r="V1951" s="36"/>
      <c r="W1951" s="36"/>
      <c r="X1951" s="40" t="str">
        <f aca="false">IF($M1951="","",$M1951&amp;"#"&amp;COUNTIF($M$4:$M1951,$M1951))</f>
        <v/>
      </c>
      <c r="Y1951" s="40" t="str">
        <f aca="false">IF($B1951="","",IF($C1951="","NIK kosong",IF(LEN($C1951)&lt;&gt;16,"NIK bukan 16 digit",IF(COUNTIF($C$4:$C$2003,$C1951&amp;"*")&gt;1,"NIK ganda",IF(AND($D1951&lt;&gt;"",LEN($D1951)&lt;&gt;16),"No. KK bukan 16 digit",IF(AND($F1951="",$I1951=""),"Alamat kosong",IF($N1951="","Jabatan kosong",IF($O1951="","No. HP kosong",IF(AND($R1951&lt;&gt;"",$R1951&lt;17),"Usia di bawah 17","")))))))))</f>
        <v/>
      </c>
      <c r="Z1951" s="40" t="str">
        <f aca="false">IF($B1951="","",IF(AND(OR(CARI!$C$5="",ISNUMBER(SEARCH(CARI!$C$5,$B1951&amp;" "&amp;$C1951&amp;" "&amp;$D1951&amp;" "&amp;$O1951&amp;" "&amp;$I1951&amp;" "&amp;$F1951&amp;" "&amp;$J1951&amp;" "&amp;$K1951&amp;" "&amp;$L1951&amp;" "&amp;$V1951))),OR(CARI!$C$6="",$F1951=CARI!$C$6),OR(CARI!$C$7="",$G1951=CARI!$C$7),OR(CARI!$C$8="",$T1951=CARI!$C$8)),MAX($Z$3:Z1950)+1,""))</f>
        <v/>
      </c>
      <c r="AA1951" s="40" t="str">
        <f aca="false">IF($Y1951="","",MAX($AA$3:AA1950)+1)</f>
        <v/>
      </c>
      <c r="AB1951" s="40" t="str">
        <f aca="false">IF($F1951="","",$F1951&amp;"#"&amp;COUNTIF($F$4:$F1951,$F1951))</f>
        <v/>
      </c>
      <c r="AC1951" s="40" t="str">
        <f aca="false">IF($B1951="","",IF(AND(OR(CETAK!$J$10="",$F1951=CETAK!$J$10),OR(CETAK!$J$11="",$G1951=CETAK!$J$11),OR(CETAK!$J$12="",$P1951=CETAK!$J$12),OR(CETAK!$J$13="",$N1951=CETAK!$J$13),OR(CETAK!$J$14="",$T1951=CETAK!$J$14)),MAX($AC$3:AC1950)+1,""))</f>
        <v/>
      </c>
      <c r="AD1951" s="40" t="str">
        <f aca="false">IF($B1951="","",IF(AND(OR(ABSENSI!$H$10="",$F1951=ABSENSI!$H$10),OR(ABSENSI!$H$11="",$G1951=ABSENSI!$H$11),OR(ABSENSI!$H$12="",$P1951=ABSENSI!$H$12)),MAX($AD$3:AD1950)+1,""))</f>
        <v/>
      </c>
      <c r="AE1951" s="40" t="str">
        <f aca="false">IF($B1951="","",IF(AND(OR(KARTU!$K$6="",$F1951=KARTU!$K$6),OR(KARTU!$K$7="",$G1951=KARTU!$K$7),OR(KARTU!$K$8="",$P1951=KARTU!$K$8)),MAX($AE$3:AE1950)+1,""))</f>
        <v/>
      </c>
    </row>
    <row r="1952" customFormat="false" ht="15" hidden="false" customHeight="false" outlineLevel="0" collapsed="false">
      <c r="A1952" s="35" t="str">
        <f aca="false">IF($B1952="","",COUNTA($B$4:$B1952))</f>
        <v/>
      </c>
      <c r="B1952" s="36"/>
      <c r="C1952" s="37"/>
      <c r="D1952" s="37"/>
      <c r="E1952" s="38"/>
      <c r="F1952" s="36"/>
      <c r="G1952" s="39"/>
      <c r="H1952" s="39"/>
      <c r="I1952" s="36"/>
      <c r="J1952" s="36"/>
      <c r="K1952" s="36"/>
      <c r="L1952" s="36"/>
      <c r="M1952" s="40" t="str">
        <f aca="false">IF($F1952="","",$F1952&amp;IF($G1952="",""," - RT "&amp;$G1952&amp;IF($H1952="","","/"&amp;$H1952)))</f>
        <v/>
      </c>
      <c r="N1952" s="36"/>
      <c r="O1952" s="37"/>
      <c r="P1952" s="39"/>
      <c r="Q1952" s="41"/>
      <c r="R1952" s="35" t="str">
        <f aca="true">IF(OR($B1952="",$Q1952=""),"",DATEDIF($Q1952,TODAY(),"Y"))</f>
        <v/>
      </c>
      <c r="S1952" s="40" t="str">
        <f aca="false">IF($R1952="","",INDEX(usia_label,MATCH($R1952,usia_min,1)))</f>
        <v/>
      </c>
      <c r="T1952" s="36"/>
      <c r="U1952" s="41"/>
      <c r="V1952" s="36"/>
      <c r="W1952" s="36"/>
      <c r="X1952" s="40" t="str">
        <f aca="false">IF($M1952="","",$M1952&amp;"#"&amp;COUNTIF($M$4:$M1952,$M1952))</f>
        <v/>
      </c>
      <c r="Y1952" s="40" t="str">
        <f aca="false">IF($B1952="","",IF($C1952="","NIK kosong",IF(LEN($C1952)&lt;&gt;16,"NIK bukan 16 digit",IF(COUNTIF($C$4:$C$2003,$C1952&amp;"*")&gt;1,"NIK ganda",IF(AND($D1952&lt;&gt;"",LEN($D1952)&lt;&gt;16),"No. KK bukan 16 digit",IF(AND($F1952="",$I1952=""),"Alamat kosong",IF($N1952="","Jabatan kosong",IF($O1952="","No. HP kosong",IF(AND($R1952&lt;&gt;"",$R1952&lt;17),"Usia di bawah 17","")))))))))</f>
        <v/>
      </c>
      <c r="Z1952" s="40" t="str">
        <f aca="false">IF($B1952="","",IF(AND(OR(CARI!$C$5="",ISNUMBER(SEARCH(CARI!$C$5,$B1952&amp;" "&amp;$C1952&amp;" "&amp;$D1952&amp;" "&amp;$O1952&amp;" "&amp;$I1952&amp;" "&amp;$F1952&amp;" "&amp;$J1952&amp;" "&amp;$K1952&amp;" "&amp;$L1952&amp;" "&amp;$V1952))),OR(CARI!$C$6="",$F1952=CARI!$C$6),OR(CARI!$C$7="",$G1952=CARI!$C$7),OR(CARI!$C$8="",$T1952=CARI!$C$8)),MAX($Z$3:Z1951)+1,""))</f>
        <v/>
      </c>
      <c r="AA1952" s="40" t="str">
        <f aca="false">IF($Y1952="","",MAX($AA$3:AA1951)+1)</f>
        <v/>
      </c>
      <c r="AB1952" s="40" t="str">
        <f aca="false">IF($F1952="","",$F1952&amp;"#"&amp;COUNTIF($F$4:$F1952,$F1952))</f>
        <v/>
      </c>
      <c r="AC1952" s="40" t="str">
        <f aca="false">IF($B1952="","",IF(AND(OR(CETAK!$J$10="",$F1952=CETAK!$J$10),OR(CETAK!$J$11="",$G1952=CETAK!$J$11),OR(CETAK!$J$12="",$P1952=CETAK!$J$12),OR(CETAK!$J$13="",$N1952=CETAK!$J$13),OR(CETAK!$J$14="",$T1952=CETAK!$J$14)),MAX($AC$3:AC1951)+1,""))</f>
        <v/>
      </c>
      <c r="AD1952" s="40" t="str">
        <f aca="false">IF($B1952="","",IF(AND(OR(ABSENSI!$H$10="",$F1952=ABSENSI!$H$10),OR(ABSENSI!$H$11="",$G1952=ABSENSI!$H$11),OR(ABSENSI!$H$12="",$P1952=ABSENSI!$H$12)),MAX($AD$3:AD1951)+1,""))</f>
        <v/>
      </c>
      <c r="AE1952" s="40" t="str">
        <f aca="false">IF($B1952="","",IF(AND(OR(KARTU!$K$6="",$F1952=KARTU!$K$6),OR(KARTU!$K$7="",$G1952=KARTU!$K$7),OR(KARTU!$K$8="",$P1952=KARTU!$K$8)),MAX($AE$3:AE1951)+1,""))</f>
        <v/>
      </c>
    </row>
    <row r="1953" customFormat="false" ht="15" hidden="false" customHeight="false" outlineLevel="0" collapsed="false">
      <c r="A1953" s="35" t="str">
        <f aca="false">IF($B1953="","",COUNTA($B$4:$B1953))</f>
        <v/>
      </c>
      <c r="B1953" s="36"/>
      <c r="C1953" s="37"/>
      <c r="D1953" s="37"/>
      <c r="E1953" s="38"/>
      <c r="F1953" s="36"/>
      <c r="G1953" s="39"/>
      <c r="H1953" s="39"/>
      <c r="I1953" s="36"/>
      <c r="J1953" s="36"/>
      <c r="K1953" s="36"/>
      <c r="L1953" s="36"/>
      <c r="M1953" s="40" t="str">
        <f aca="false">IF($F1953="","",$F1953&amp;IF($G1953="",""," - RT "&amp;$G1953&amp;IF($H1953="","","/"&amp;$H1953)))</f>
        <v/>
      </c>
      <c r="N1953" s="36"/>
      <c r="O1953" s="37"/>
      <c r="P1953" s="39"/>
      <c r="Q1953" s="41"/>
      <c r="R1953" s="35" t="str">
        <f aca="true">IF(OR($B1953="",$Q1953=""),"",DATEDIF($Q1953,TODAY(),"Y"))</f>
        <v/>
      </c>
      <c r="S1953" s="40" t="str">
        <f aca="false">IF($R1953="","",INDEX(usia_label,MATCH($R1953,usia_min,1)))</f>
        <v/>
      </c>
      <c r="T1953" s="36"/>
      <c r="U1953" s="41"/>
      <c r="V1953" s="36"/>
      <c r="W1953" s="36"/>
      <c r="X1953" s="40" t="str">
        <f aca="false">IF($M1953="","",$M1953&amp;"#"&amp;COUNTIF($M$4:$M1953,$M1953))</f>
        <v/>
      </c>
      <c r="Y1953" s="40" t="str">
        <f aca="false">IF($B1953="","",IF($C1953="","NIK kosong",IF(LEN($C1953)&lt;&gt;16,"NIK bukan 16 digit",IF(COUNTIF($C$4:$C$2003,$C1953&amp;"*")&gt;1,"NIK ganda",IF(AND($D1953&lt;&gt;"",LEN($D1953)&lt;&gt;16),"No. KK bukan 16 digit",IF(AND($F1953="",$I1953=""),"Alamat kosong",IF($N1953="","Jabatan kosong",IF($O1953="","No. HP kosong",IF(AND($R1953&lt;&gt;"",$R1953&lt;17),"Usia di bawah 17","")))))))))</f>
        <v/>
      </c>
      <c r="Z1953" s="40" t="str">
        <f aca="false">IF($B1953="","",IF(AND(OR(CARI!$C$5="",ISNUMBER(SEARCH(CARI!$C$5,$B1953&amp;" "&amp;$C1953&amp;" "&amp;$D1953&amp;" "&amp;$O1953&amp;" "&amp;$I1953&amp;" "&amp;$F1953&amp;" "&amp;$J1953&amp;" "&amp;$K1953&amp;" "&amp;$L1953&amp;" "&amp;$V1953))),OR(CARI!$C$6="",$F1953=CARI!$C$6),OR(CARI!$C$7="",$G1953=CARI!$C$7),OR(CARI!$C$8="",$T1953=CARI!$C$8)),MAX($Z$3:Z1952)+1,""))</f>
        <v/>
      </c>
      <c r="AA1953" s="40" t="str">
        <f aca="false">IF($Y1953="","",MAX($AA$3:AA1952)+1)</f>
        <v/>
      </c>
      <c r="AB1953" s="40" t="str">
        <f aca="false">IF($F1953="","",$F1953&amp;"#"&amp;COUNTIF($F$4:$F1953,$F1953))</f>
        <v/>
      </c>
      <c r="AC1953" s="40" t="str">
        <f aca="false">IF($B1953="","",IF(AND(OR(CETAK!$J$10="",$F1953=CETAK!$J$10),OR(CETAK!$J$11="",$G1953=CETAK!$J$11),OR(CETAK!$J$12="",$P1953=CETAK!$J$12),OR(CETAK!$J$13="",$N1953=CETAK!$J$13),OR(CETAK!$J$14="",$T1953=CETAK!$J$14)),MAX($AC$3:AC1952)+1,""))</f>
        <v/>
      </c>
      <c r="AD1953" s="40" t="str">
        <f aca="false">IF($B1953="","",IF(AND(OR(ABSENSI!$H$10="",$F1953=ABSENSI!$H$10),OR(ABSENSI!$H$11="",$G1953=ABSENSI!$H$11),OR(ABSENSI!$H$12="",$P1953=ABSENSI!$H$12)),MAX($AD$3:AD1952)+1,""))</f>
        <v/>
      </c>
      <c r="AE1953" s="40" t="str">
        <f aca="false">IF($B1953="","",IF(AND(OR(KARTU!$K$6="",$F1953=KARTU!$K$6),OR(KARTU!$K$7="",$G1953=KARTU!$K$7),OR(KARTU!$K$8="",$P1953=KARTU!$K$8)),MAX($AE$3:AE1952)+1,""))</f>
        <v/>
      </c>
    </row>
    <row r="1954" customFormat="false" ht="15" hidden="false" customHeight="false" outlineLevel="0" collapsed="false">
      <c r="A1954" s="35" t="str">
        <f aca="false">IF($B1954="","",COUNTA($B$4:$B1954))</f>
        <v/>
      </c>
      <c r="B1954" s="36"/>
      <c r="C1954" s="37"/>
      <c r="D1954" s="37"/>
      <c r="E1954" s="38"/>
      <c r="F1954" s="36"/>
      <c r="G1954" s="39"/>
      <c r="H1954" s="39"/>
      <c r="I1954" s="36"/>
      <c r="J1954" s="36"/>
      <c r="K1954" s="36"/>
      <c r="L1954" s="36"/>
      <c r="M1954" s="40" t="str">
        <f aca="false">IF($F1954="","",$F1954&amp;IF($G1954="",""," - RT "&amp;$G1954&amp;IF($H1954="","","/"&amp;$H1954)))</f>
        <v/>
      </c>
      <c r="N1954" s="36"/>
      <c r="O1954" s="37"/>
      <c r="P1954" s="39"/>
      <c r="Q1954" s="41"/>
      <c r="R1954" s="35" t="str">
        <f aca="true">IF(OR($B1954="",$Q1954=""),"",DATEDIF($Q1954,TODAY(),"Y"))</f>
        <v/>
      </c>
      <c r="S1954" s="40" t="str">
        <f aca="false">IF($R1954="","",INDEX(usia_label,MATCH($R1954,usia_min,1)))</f>
        <v/>
      </c>
      <c r="T1954" s="36"/>
      <c r="U1954" s="41"/>
      <c r="V1954" s="36"/>
      <c r="W1954" s="36"/>
      <c r="X1954" s="40" t="str">
        <f aca="false">IF($M1954="","",$M1954&amp;"#"&amp;COUNTIF($M$4:$M1954,$M1954))</f>
        <v/>
      </c>
      <c r="Y1954" s="40" t="str">
        <f aca="false">IF($B1954="","",IF($C1954="","NIK kosong",IF(LEN($C1954)&lt;&gt;16,"NIK bukan 16 digit",IF(COUNTIF($C$4:$C$2003,$C1954&amp;"*")&gt;1,"NIK ganda",IF(AND($D1954&lt;&gt;"",LEN($D1954)&lt;&gt;16),"No. KK bukan 16 digit",IF(AND($F1954="",$I1954=""),"Alamat kosong",IF($N1954="","Jabatan kosong",IF($O1954="","No. HP kosong",IF(AND($R1954&lt;&gt;"",$R1954&lt;17),"Usia di bawah 17","")))))))))</f>
        <v/>
      </c>
      <c r="Z1954" s="40" t="str">
        <f aca="false">IF($B1954="","",IF(AND(OR(CARI!$C$5="",ISNUMBER(SEARCH(CARI!$C$5,$B1954&amp;" "&amp;$C1954&amp;" "&amp;$D1954&amp;" "&amp;$O1954&amp;" "&amp;$I1954&amp;" "&amp;$F1954&amp;" "&amp;$J1954&amp;" "&amp;$K1954&amp;" "&amp;$L1954&amp;" "&amp;$V1954))),OR(CARI!$C$6="",$F1954=CARI!$C$6),OR(CARI!$C$7="",$G1954=CARI!$C$7),OR(CARI!$C$8="",$T1954=CARI!$C$8)),MAX($Z$3:Z1953)+1,""))</f>
        <v/>
      </c>
      <c r="AA1954" s="40" t="str">
        <f aca="false">IF($Y1954="","",MAX($AA$3:AA1953)+1)</f>
        <v/>
      </c>
      <c r="AB1954" s="40" t="str">
        <f aca="false">IF($F1954="","",$F1954&amp;"#"&amp;COUNTIF($F$4:$F1954,$F1954))</f>
        <v/>
      </c>
      <c r="AC1954" s="40" t="str">
        <f aca="false">IF($B1954="","",IF(AND(OR(CETAK!$J$10="",$F1954=CETAK!$J$10),OR(CETAK!$J$11="",$G1954=CETAK!$J$11),OR(CETAK!$J$12="",$P1954=CETAK!$J$12),OR(CETAK!$J$13="",$N1954=CETAK!$J$13),OR(CETAK!$J$14="",$T1954=CETAK!$J$14)),MAX($AC$3:AC1953)+1,""))</f>
        <v/>
      </c>
      <c r="AD1954" s="40" t="str">
        <f aca="false">IF($B1954="","",IF(AND(OR(ABSENSI!$H$10="",$F1954=ABSENSI!$H$10),OR(ABSENSI!$H$11="",$G1954=ABSENSI!$H$11),OR(ABSENSI!$H$12="",$P1954=ABSENSI!$H$12)),MAX($AD$3:AD1953)+1,""))</f>
        <v/>
      </c>
      <c r="AE1954" s="40" t="str">
        <f aca="false">IF($B1954="","",IF(AND(OR(KARTU!$K$6="",$F1954=KARTU!$K$6),OR(KARTU!$K$7="",$G1954=KARTU!$K$7),OR(KARTU!$K$8="",$P1954=KARTU!$K$8)),MAX($AE$3:AE1953)+1,""))</f>
        <v/>
      </c>
    </row>
    <row r="1955" customFormat="false" ht="15" hidden="false" customHeight="false" outlineLevel="0" collapsed="false">
      <c r="A1955" s="35" t="str">
        <f aca="false">IF($B1955="","",COUNTA($B$4:$B1955))</f>
        <v/>
      </c>
      <c r="B1955" s="36"/>
      <c r="C1955" s="37"/>
      <c r="D1955" s="37"/>
      <c r="E1955" s="38"/>
      <c r="F1955" s="36"/>
      <c r="G1955" s="39"/>
      <c r="H1955" s="39"/>
      <c r="I1955" s="36"/>
      <c r="J1955" s="36"/>
      <c r="K1955" s="36"/>
      <c r="L1955" s="36"/>
      <c r="M1955" s="40" t="str">
        <f aca="false">IF($F1955="","",$F1955&amp;IF($G1955="",""," - RT "&amp;$G1955&amp;IF($H1955="","","/"&amp;$H1955)))</f>
        <v/>
      </c>
      <c r="N1955" s="36"/>
      <c r="O1955" s="37"/>
      <c r="P1955" s="39"/>
      <c r="Q1955" s="41"/>
      <c r="R1955" s="35" t="str">
        <f aca="true">IF(OR($B1955="",$Q1955=""),"",DATEDIF($Q1955,TODAY(),"Y"))</f>
        <v/>
      </c>
      <c r="S1955" s="40" t="str">
        <f aca="false">IF($R1955="","",INDEX(usia_label,MATCH($R1955,usia_min,1)))</f>
        <v/>
      </c>
      <c r="T1955" s="36"/>
      <c r="U1955" s="41"/>
      <c r="V1955" s="36"/>
      <c r="W1955" s="36"/>
      <c r="X1955" s="40" t="str">
        <f aca="false">IF($M1955="","",$M1955&amp;"#"&amp;COUNTIF($M$4:$M1955,$M1955))</f>
        <v/>
      </c>
      <c r="Y1955" s="40" t="str">
        <f aca="false">IF($B1955="","",IF($C1955="","NIK kosong",IF(LEN($C1955)&lt;&gt;16,"NIK bukan 16 digit",IF(COUNTIF($C$4:$C$2003,$C1955&amp;"*")&gt;1,"NIK ganda",IF(AND($D1955&lt;&gt;"",LEN($D1955)&lt;&gt;16),"No. KK bukan 16 digit",IF(AND($F1955="",$I1955=""),"Alamat kosong",IF($N1955="","Jabatan kosong",IF($O1955="","No. HP kosong",IF(AND($R1955&lt;&gt;"",$R1955&lt;17),"Usia di bawah 17","")))))))))</f>
        <v/>
      </c>
      <c r="Z1955" s="40" t="str">
        <f aca="false">IF($B1955="","",IF(AND(OR(CARI!$C$5="",ISNUMBER(SEARCH(CARI!$C$5,$B1955&amp;" "&amp;$C1955&amp;" "&amp;$D1955&amp;" "&amp;$O1955&amp;" "&amp;$I1955&amp;" "&amp;$F1955&amp;" "&amp;$J1955&amp;" "&amp;$K1955&amp;" "&amp;$L1955&amp;" "&amp;$V1955))),OR(CARI!$C$6="",$F1955=CARI!$C$6),OR(CARI!$C$7="",$G1955=CARI!$C$7),OR(CARI!$C$8="",$T1955=CARI!$C$8)),MAX($Z$3:Z1954)+1,""))</f>
        <v/>
      </c>
      <c r="AA1955" s="40" t="str">
        <f aca="false">IF($Y1955="","",MAX($AA$3:AA1954)+1)</f>
        <v/>
      </c>
      <c r="AB1955" s="40" t="str">
        <f aca="false">IF($F1955="","",$F1955&amp;"#"&amp;COUNTIF($F$4:$F1955,$F1955))</f>
        <v/>
      </c>
      <c r="AC1955" s="40" t="str">
        <f aca="false">IF($B1955="","",IF(AND(OR(CETAK!$J$10="",$F1955=CETAK!$J$10),OR(CETAK!$J$11="",$G1955=CETAK!$J$11),OR(CETAK!$J$12="",$P1955=CETAK!$J$12),OR(CETAK!$J$13="",$N1955=CETAK!$J$13),OR(CETAK!$J$14="",$T1955=CETAK!$J$14)),MAX($AC$3:AC1954)+1,""))</f>
        <v/>
      </c>
      <c r="AD1955" s="40" t="str">
        <f aca="false">IF($B1955="","",IF(AND(OR(ABSENSI!$H$10="",$F1955=ABSENSI!$H$10),OR(ABSENSI!$H$11="",$G1955=ABSENSI!$H$11),OR(ABSENSI!$H$12="",$P1955=ABSENSI!$H$12)),MAX($AD$3:AD1954)+1,""))</f>
        <v/>
      </c>
      <c r="AE1955" s="40" t="str">
        <f aca="false">IF($B1955="","",IF(AND(OR(KARTU!$K$6="",$F1955=KARTU!$K$6),OR(KARTU!$K$7="",$G1955=KARTU!$K$7),OR(KARTU!$K$8="",$P1955=KARTU!$K$8)),MAX($AE$3:AE1954)+1,""))</f>
        <v/>
      </c>
    </row>
    <row r="1956" customFormat="false" ht="15" hidden="false" customHeight="false" outlineLevel="0" collapsed="false">
      <c r="A1956" s="35" t="str">
        <f aca="false">IF($B1956="","",COUNTA($B$4:$B1956))</f>
        <v/>
      </c>
      <c r="B1956" s="36"/>
      <c r="C1956" s="37"/>
      <c r="D1956" s="37"/>
      <c r="E1956" s="38"/>
      <c r="F1956" s="36"/>
      <c r="G1956" s="39"/>
      <c r="H1956" s="39"/>
      <c r="I1956" s="36"/>
      <c r="J1956" s="36"/>
      <c r="K1956" s="36"/>
      <c r="L1956" s="36"/>
      <c r="M1956" s="40" t="str">
        <f aca="false">IF($F1956="","",$F1956&amp;IF($G1956="",""," - RT "&amp;$G1956&amp;IF($H1956="","","/"&amp;$H1956)))</f>
        <v/>
      </c>
      <c r="N1956" s="36"/>
      <c r="O1956" s="37"/>
      <c r="P1956" s="39"/>
      <c r="Q1956" s="41"/>
      <c r="R1956" s="35" t="str">
        <f aca="true">IF(OR($B1956="",$Q1956=""),"",DATEDIF($Q1956,TODAY(),"Y"))</f>
        <v/>
      </c>
      <c r="S1956" s="40" t="str">
        <f aca="false">IF($R1956="","",INDEX(usia_label,MATCH($R1956,usia_min,1)))</f>
        <v/>
      </c>
      <c r="T1956" s="36"/>
      <c r="U1956" s="41"/>
      <c r="V1956" s="36"/>
      <c r="W1956" s="36"/>
      <c r="X1956" s="40" t="str">
        <f aca="false">IF($M1956="","",$M1956&amp;"#"&amp;COUNTIF($M$4:$M1956,$M1956))</f>
        <v/>
      </c>
      <c r="Y1956" s="40" t="str">
        <f aca="false">IF($B1956="","",IF($C1956="","NIK kosong",IF(LEN($C1956)&lt;&gt;16,"NIK bukan 16 digit",IF(COUNTIF($C$4:$C$2003,$C1956&amp;"*")&gt;1,"NIK ganda",IF(AND($D1956&lt;&gt;"",LEN($D1956)&lt;&gt;16),"No. KK bukan 16 digit",IF(AND($F1956="",$I1956=""),"Alamat kosong",IF($N1956="","Jabatan kosong",IF($O1956="","No. HP kosong",IF(AND($R1956&lt;&gt;"",$R1956&lt;17),"Usia di bawah 17","")))))))))</f>
        <v/>
      </c>
      <c r="Z1956" s="40" t="str">
        <f aca="false">IF($B1956="","",IF(AND(OR(CARI!$C$5="",ISNUMBER(SEARCH(CARI!$C$5,$B1956&amp;" "&amp;$C1956&amp;" "&amp;$D1956&amp;" "&amp;$O1956&amp;" "&amp;$I1956&amp;" "&amp;$F1956&amp;" "&amp;$J1956&amp;" "&amp;$K1956&amp;" "&amp;$L1956&amp;" "&amp;$V1956))),OR(CARI!$C$6="",$F1956=CARI!$C$6),OR(CARI!$C$7="",$G1956=CARI!$C$7),OR(CARI!$C$8="",$T1956=CARI!$C$8)),MAX($Z$3:Z1955)+1,""))</f>
        <v/>
      </c>
      <c r="AA1956" s="40" t="str">
        <f aca="false">IF($Y1956="","",MAX($AA$3:AA1955)+1)</f>
        <v/>
      </c>
      <c r="AB1956" s="40" t="str">
        <f aca="false">IF($F1956="","",$F1956&amp;"#"&amp;COUNTIF($F$4:$F1956,$F1956))</f>
        <v/>
      </c>
      <c r="AC1956" s="40" t="str">
        <f aca="false">IF($B1956="","",IF(AND(OR(CETAK!$J$10="",$F1956=CETAK!$J$10),OR(CETAK!$J$11="",$G1956=CETAK!$J$11),OR(CETAK!$J$12="",$P1956=CETAK!$J$12),OR(CETAK!$J$13="",$N1956=CETAK!$J$13),OR(CETAK!$J$14="",$T1956=CETAK!$J$14)),MAX($AC$3:AC1955)+1,""))</f>
        <v/>
      </c>
      <c r="AD1956" s="40" t="str">
        <f aca="false">IF($B1956="","",IF(AND(OR(ABSENSI!$H$10="",$F1956=ABSENSI!$H$10),OR(ABSENSI!$H$11="",$G1956=ABSENSI!$H$11),OR(ABSENSI!$H$12="",$P1956=ABSENSI!$H$12)),MAX($AD$3:AD1955)+1,""))</f>
        <v/>
      </c>
      <c r="AE1956" s="40" t="str">
        <f aca="false">IF($B1956="","",IF(AND(OR(KARTU!$K$6="",$F1956=KARTU!$K$6),OR(KARTU!$K$7="",$G1956=KARTU!$K$7),OR(KARTU!$K$8="",$P1956=KARTU!$K$8)),MAX($AE$3:AE1955)+1,""))</f>
        <v/>
      </c>
    </row>
    <row r="1957" customFormat="false" ht="15" hidden="false" customHeight="false" outlineLevel="0" collapsed="false">
      <c r="A1957" s="35" t="str">
        <f aca="false">IF($B1957="","",COUNTA($B$4:$B1957))</f>
        <v/>
      </c>
      <c r="B1957" s="36"/>
      <c r="C1957" s="37"/>
      <c r="D1957" s="37"/>
      <c r="E1957" s="38"/>
      <c r="F1957" s="36"/>
      <c r="G1957" s="39"/>
      <c r="H1957" s="39"/>
      <c r="I1957" s="36"/>
      <c r="J1957" s="36"/>
      <c r="K1957" s="36"/>
      <c r="L1957" s="36"/>
      <c r="M1957" s="40" t="str">
        <f aca="false">IF($F1957="","",$F1957&amp;IF($G1957="",""," - RT "&amp;$G1957&amp;IF($H1957="","","/"&amp;$H1957)))</f>
        <v/>
      </c>
      <c r="N1957" s="36"/>
      <c r="O1957" s="37"/>
      <c r="P1957" s="39"/>
      <c r="Q1957" s="41"/>
      <c r="R1957" s="35" t="str">
        <f aca="true">IF(OR($B1957="",$Q1957=""),"",DATEDIF($Q1957,TODAY(),"Y"))</f>
        <v/>
      </c>
      <c r="S1957" s="40" t="str">
        <f aca="false">IF($R1957="","",INDEX(usia_label,MATCH($R1957,usia_min,1)))</f>
        <v/>
      </c>
      <c r="T1957" s="36"/>
      <c r="U1957" s="41"/>
      <c r="V1957" s="36"/>
      <c r="W1957" s="36"/>
      <c r="X1957" s="40" t="str">
        <f aca="false">IF($M1957="","",$M1957&amp;"#"&amp;COUNTIF($M$4:$M1957,$M1957))</f>
        <v/>
      </c>
      <c r="Y1957" s="40" t="str">
        <f aca="false">IF($B1957="","",IF($C1957="","NIK kosong",IF(LEN($C1957)&lt;&gt;16,"NIK bukan 16 digit",IF(COUNTIF($C$4:$C$2003,$C1957&amp;"*")&gt;1,"NIK ganda",IF(AND($D1957&lt;&gt;"",LEN($D1957)&lt;&gt;16),"No. KK bukan 16 digit",IF(AND($F1957="",$I1957=""),"Alamat kosong",IF($N1957="","Jabatan kosong",IF($O1957="","No. HP kosong",IF(AND($R1957&lt;&gt;"",$R1957&lt;17),"Usia di bawah 17","")))))))))</f>
        <v/>
      </c>
      <c r="Z1957" s="40" t="str">
        <f aca="false">IF($B1957="","",IF(AND(OR(CARI!$C$5="",ISNUMBER(SEARCH(CARI!$C$5,$B1957&amp;" "&amp;$C1957&amp;" "&amp;$D1957&amp;" "&amp;$O1957&amp;" "&amp;$I1957&amp;" "&amp;$F1957&amp;" "&amp;$J1957&amp;" "&amp;$K1957&amp;" "&amp;$L1957&amp;" "&amp;$V1957))),OR(CARI!$C$6="",$F1957=CARI!$C$6),OR(CARI!$C$7="",$G1957=CARI!$C$7),OR(CARI!$C$8="",$T1957=CARI!$C$8)),MAX($Z$3:Z1956)+1,""))</f>
        <v/>
      </c>
      <c r="AA1957" s="40" t="str">
        <f aca="false">IF($Y1957="","",MAX($AA$3:AA1956)+1)</f>
        <v/>
      </c>
      <c r="AB1957" s="40" t="str">
        <f aca="false">IF($F1957="","",$F1957&amp;"#"&amp;COUNTIF($F$4:$F1957,$F1957))</f>
        <v/>
      </c>
      <c r="AC1957" s="40" t="str">
        <f aca="false">IF($B1957="","",IF(AND(OR(CETAK!$J$10="",$F1957=CETAK!$J$10),OR(CETAK!$J$11="",$G1957=CETAK!$J$11),OR(CETAK!$J$12="",$P1957=CETAK!$J$12),OR(CETAK!$J$13="",$N1957=CETAK!$J$13),OR(CETAK!$J$14="",$T1957=CETAK!$J$14)),MAX($AC$3:AC1956)+1,""))</f>
        <v/>
      </c>
      <c r="AD1957" s="40" t="str">
        <f aca="false">IF($B1957="","",IF(AND(OR(ABSENSI!$H$10="",$F1957=ABSENSI!$H$10),OR(ABSENSI!$H$11="",$G1957=ABSENSI!$H$11),OR(ABSENSI!$H$12="",$P1957=ABSENSI!$H$12)),MAX($AD$3:AD1956)+1,""))</f>
        <v/>
      </c>
      <c r="AE1957" s="40" t="str">
        <f aca="false">IF($B1957="","",IF(AND(OR(KARTU!$K$6="",$F1957=KARTU!$K$6),OR(KARTU!$K$7="",$G1957=KARTU!$K$7),OR(KARTU!$K$8="",$P1957=KARTU!$K$8)),MAX($AE$3:AE1956)+1,""))</f>
        <v/>
      </c>
    </row>
    <row r="1958" customFormat="false" ht="15" hidden="false" customHeight="false" outlineLevel="0" collapsed="false">
      <c r="A1958" s="35" t="str">
        <f aca="false">IF($B1958="","",COUNTA($B$4:$B1958))</f>
        <v/>
      </c>
      <c r="B1958" s="36"/>
      <c r="C1958" s="37"/>
      <c r="D1958" s="37"/>
      <c r="E1958" s="38"/>
      <c r="F1958" s="36"/>
      <c r="G1958" s="39"/>
      <c r="H1958" s="39"/>
      <c r="I1958" s="36"/>
      <c r="J1958" s="36"/>
      <c r="K1958" s="36"/>
      <c r="L1958" s="36"/>
      <c r="M1958" s="40" t="str">
        <f aca="false">IF($F1958="","",$F1958&amp;IF($G1958="",""," - RT "&amp;$G1958&amp;IF($H1958="","","/"&amp;$H1958)))</f>
        <v/>
      </c>
      <c r="N1958" s="36"/>
      <c r="O1958" s="37"/>
      <c r="P1958" s="39"/>
      <c r="Q1958" s="41"/>
      <c r="R1958" s="35" t="str">
        <f aca="true">IF(OR($B1958="",$Q1958=""),"",DATEDIF($Q1958,TODAY(),"Y"))</f>
        <v/>
      </c>
      <c r="S1958" s="40" t="str">
        <f aca="false">IF($R1958="","",INDEX(usia_label,MATCH($R1958,usia_min,1)))</f>
        <v/>
      </c>
      <c r="T1958" s="36"/>
      <c r="U1958" s="41"/>
      <c r="V1958" s="36"/>
      <c r="W1958" s="36"/>
      <c r="X1958" s="40" t="str">
        <f aca="false">IF($M1958="","",$M1958&amp;"#"&amp;COUNTIF($M$4:$M1958,$M1958))</f>
        <v/>
      </c>
      <c r="Y1958" s="40" t="str">
        <f aca="false">IF($B1958="","",IF($C1958="","NIK kosong",IF(LEN($C1958)&lt;&gt;16,"NIK bukan 16 digit",IF(COUNTIF($C$4:$C$2003,$C1958&amp;"*")&gt;1,"NIK ganda",IF(AND($D1958&lt;&gt;"",LEN($D1958)&lt;&gt;16),"No. KK bukan 16 digit",IF(AND($F1958="",$I1958=""),"Alamat kosong",IF($N1958="","Jabatan kosong",IF($O1958="","No. HP kosong",IF(AND($R1958&lt;&gt;"",$R1958&lt;17),"Usia di bawah 17","")))))))))</f>
        <v/>
      </c>
      <c r="Z1958" s="40" t="str">
        <f aca="false">IF($B1958="","",IF(AND(OR(CARI!$C$5="",ISNUMBER(SEARCH(CARI!$C$5,$B1958&amp;" "&amp;$C1958&amp;" "&amp;$D1958&amp;" "&amp;$O1958&amp;" "&amp;$I1958&amp;" "&amp;$F1958&amp;" "&amp;$J1958&amp;" "&amp;$K1958&amp;" "&amp;$L1958&amp;" "&amp;$V1958))),OR(CARI!$C$6="",$F1958=CARI!$C$6),OR(CARI!$C$7="",$G1958=CARI!$C$7),OR(CARI!$C$8="",$T1958=CARI!$C$8)),MAX($Z$3:Z1957)+1,""))</f>
        <v/>
      </c>
      <c r="AA1958" s="40" t="str">
        <f aca="false">IF($Y1958="","",MAX($AA$3:AA1957)+1)</f>
        <v/>
      </c>
      <c r="AB1958" s="40" t="str">
        <f aca="false">IF($F1958="","",$F1958&amp;"#"&amp;COUNTIF($F$4:$F1958,$F1958))</f>
        <v/>
      </c>
      <c r="AC1958" s="40" t="str">
        <f aca="false">IF($B1958="","",IF(AND(OR(CETAK!$J$10="",$F1958=CETAK!$J$10),OR(CETAK!$J$11="",$G1958=CETAK!$J$11),OR(CETAK!$J$12="",$P1958=CETAK!$J$12),OR(CETAK!$J$13="",$N1958=CETAK!$J$13),OR(CETAK!$J$14="",$T1958=CETAK!$J$14)),MAX($AC$3:AC1957)+1,""))</f>
        <v/>
      </c>
      <c r="AD1958" s="40" t="str">
        <f aca="false">IF($B1958="","",IF(AND(OR(ABSENSI!$H$10="",$F1958=ABSENSI!$H$10),OR(ABSENSI!$H$11="",$G1958=ABSENSI!$H$11),OR(ABSENSI!$H$12="",$P1958=ABSENSI!$H$12)),MAX($AD$3:AD1957)+1,""))</f>
        <v/>
      </c>
      <c r="AE1958" s="40" t="str">
        <f aca="false">IF($B1958="","",IF(AND(OR(KARTU!$K$6="",$F1958=KARTU!$K$6),OR(KARTU!$K$7="",$G1958=KARTU!$K$7),OR(KARTU!$K$8="",$P1958=KARTU!$K$8)),MAX($AE$3:AE1957)+1,""))</f>
        <v/>
      </c>
    </row>
    <row r="1959" customFormat="false" ht="15" hidden="false" customHeight="false" outlineLevel="0" collapsed="false">
      <c r="A1959" s="35" t="str">
        <f aca="false">IF($B1959="","",COUNTA($B$4:$B1959))</f>
        <v/>
      </c>
      <c r="B1959" s="36"/>
      <c r="C1959" s="37"/>
      <c r="D1959" s="37"/>
      <c r="E1959" s="38"/>
      <c r="F1959" s="36"/>
      <c r="G1959" s="39"/>
      <c r="H1959" s="39"/>
      <c r="I1959" s="36"/>
      <c r="J1959" s="36"/>
      <c r="K1959" s="36"/>
      <c r="L1959" s="36"/>
      <c r="M1959" s="40" t="str">
        <f aca="false">IF($F1959="","",$F1959&amp;IF($G1959="",""," - RT "&amp;$G1959&amp;IF($H1959="","","/"&amp;$H1959)))</f>
        <v/>
      </c>
      <c r="N1959" s="36"/>
      <c r="O1959" s="37"/>
      <c r="P1959" s="39"/>
      <c r="Q1959" s="41"/>
      <c r="R1959" s="35" t="str">
        <f aca="true">IF(OR($B1959="",$Q1959=""),"",DATEDIF($Q1959,TODAY(),"Y"))</f>
        <v/>
      </c>
      <c r="S1959" s="40" t="str">
        <f aca="false">IF($R1959="","",INDEX(usia_label,MATCH($R1959,usia_min,1)))</f>
        <v/>
      </c>
      <c r="T1959" s="36"/>
      <c r="U1959" s="41"/>
      <c r="V1959" s="36"/>
      <c r="W1959" s="36"/>
      <c r="X1959" s="40" t="str">
        <f aca="false">IF($M1959="","",$M1959&amp;"#"&amp;COUNTIF($M$4:$M1959,$M1959))</f>
        <v/>
      </c>
      <c r="Y1959" s="40" t="str">
        <f aca="false">IF($B1959="","",IF($C1959="","NIK kosong",IF(LEN($C1959)&lt;&gt;16,"NIK bukan 16 digit",IF(COUNTIF($C$4:$C$2003,$C1959&amp;"*")&gt;1,"NIK ganda",IF(AND($D1959&lt;&gt;"",LEN($D1959)&lt;&gt;16),"No. KK bukan 16 digit",IF(AND($F1959="",$I1959=""),"Alamat kosong",IF($N1959="","Jabatan kosong",IF($O1959="","No. HP kosong",IF(AND($R1959&lt;&gt;"",$R1959&lt;17),"Usia di bawah 17","")))))))))</f>
        <v/>
      </c>
      <c r="Z1959" s="40" t="str">
        <f aca="false">IF($B1959="","",IF(AND(OR(CARI!$C$5="",ISNUMBER(SEARCH(CARI!$C$5,$B1959&amp;" "&amp;$C1959&amp;" "&amp;$D1959&amp;" "&amp;$O1959&amp;" "&amp;$I1959&amp;" "&amp;$F1959&amp;" "&amp;$J1959&amp;" "&amp;$K1959&amp;" "&amp;$L1959&amp;" "&amp;$V1959))),OR(CARI!$C$6="",$F1959=CARI!$C$6),OR(CARI!$C$7="",$G1959=CARI!$C$7),OR(CARI!$C$8="",$T1959=CARI!$C$8)),MAX($Z$3:Z1958)+1,""))</f>
        <v/>
      </c>
      <c r="AA1959" s="40" t="str">
        <f aca="false">IF($Y1959="","",MAX($AA$3:AA1958)+1)</f>
        <v/>
      </c>
      <c r="AB1959" s="40" t="str">
        <f aca="false">IF($F1959="","",$F1959&amp;"#"&amp;COUNTIF($F$4:$F1959,$F1959))</f>
        <v/>
      </c>
      <c r="AC1959" s="40" t="str">
        <f aca="false">IF($B1959="","",IF(AND(OR(CETAK!$J$10="",$F1959=CETAK!$J$10),OR(CETAK!$J$11="",$G1959=CETAK!$J$11),OR(CETAK!$J$12="",$P1959=CETAK!$J$12),OR(CETAK!$J$13="",$N1959=CETAK!$J$13),OR(CETAK!$J$14="",$T1959=CETAK!$J$14)),MAX($AC$3:AC1958)+1,""))</f>
        <v/>
      </c>
      <c r="AD1959" s="40" t="str">
        <f aca="false">IF($B1959="","",IF(AND(OR(ABSENSI!$H$10="",$F1959=ABSENSI!$H$10),OR(ABSENSI!$H$11="",$G1959=ABSENSI!$H$11),OR(ABSENSI!$H$12="",$P1959=ABSENSI!$H$12)),MAX($AD$3:AD1958)+1,""))</f>
        <v/>
      </c>
      <c r="AE1959" s="40" t="str">
        <f aca="false">IF($B1959="","",IF(AND(OR(KARTU!$K$6="",$F1959=KARTU!$K$6),OR(KARTU!$K$7="",$G1959=KARTU!$K$7),OR(KARTU!$K$8="",$P1959=KARTU!$K$8)),MAX($AE$3:AE1958)+1,""))</f>
        <v/>
      </c>
    </row>
    <row r="1960" customFormat="false" ht="15" hidden="false" customHeight="false" outlineLevel="0" collapsed="false">
      <c r="A1960" s="35" t="str">
        <f aca="false">IF($B1960="","",COUNTA($B$4:$B1960))</f>
        <v/>
      </c>
      <c r="B1960" s="36"/>
      <c r="C1960" s="37"/>
      <c r="D1960" s="37"/>
      <c r="E1960" s="38"/>
      <c r="F1960" s="36"/>
      <c r="G1960" s="39"/>
      <c r="H1960" s="39"/>
      <c r="I1960" s="36"/>
      <c r="J1960" s="36"/>
      <c r="K1960" s="36"/>
      <c r="L1960" s="36"/>
      <c r="M1960" s="40" t="str">
        <f aca="false">IF($F1960="","",$F1960&amp;IF($G1960="",""," - RT "&amp;$G1960&amp;IF($H1960="","","/"&amp;$H1960)))</f>
        <v/>
      </c>
      <c r="N1960" s="36"/>
      <c r="O1960" s="37"/>
      <c r="P1960" s="39"/>
      <c r="Q1960" s="41"/>
      <c r="R1960" s="35" t="str">
        <f aca="true">IF(OR($B1960="",$Q1960=""),"",DATEDIF($Q1960,TODAY(),"Y"))</f>
        <v/>
      </c>
      <c r="S1960" s="40" t="str">
        <f aca="false">IF($R1960="","",INDEX(usia_label,MATCH($R1960,usia_min,1)))</f>
        <v/>
      </c>
      <c r="T1960" s="36"/>
      <c r="U1960" s="41"/>
      <c r="V1960" s="36"/>
      <c r="W1960" s="36"/>
      <c r="X1960" s="40" t="str">
        <f aca="false">IF($M1960="","",$M1960&amp;"#"&amp;COUNTIF($M$4:$M1960,$M1960))</f>
        <v/>
      </c>
      <c r="Y1960" s="40" t="str">
        <f aca="false">IF($B1960="","",IF($C1960="","NIK kosong",IF(LEN($C1960)&lt;&gt;16,"NIK bukan 16 digit",IF(COUNTIF($C$4:$C$2003,$C1960&amp;"*")&gt;1,"NIK ganda",IF(AND($D1960&lt;&gt;"",LEN($D1960)&lt;&gt;16),"No. KK bukan 16 digit",IF(AND($F1960="",$I1960=""),"Alamat kosong",IF($N1960="","Jabatan kosong",IF($O1960="","No. HP kosong",IF(AND($R1960&lt;&gt;"",$R1960&lt;17),"Usia di bawah 17","")))))))))</f>
        <v/>
      </c>
      <c r="Z1960" s="40" t="str">
        <f aca="false">IF($B1960="","",IF(AND(OR(CARI!$C$5="",ISNUMBER(SEARCH(CARI!$C$5,$B1960&amp;" "&amp;$C1960&amp;" "&amp;$D1960&amp;" "&amp;$O1960&amp;" "&amp;$I1960&amp;" "&amp;$F1960&amp;" "&amp;$J1960&amp;" "&amp;$K1960&amp;" "&amp;$L1960&amp;" "&amp;$V1960))),OR(CARI!$C$6="",$F1960=CARI!$C$6),OR(CARI!$C$7="",$G1960=CARI!$C$7),OR(CARI!$C$8="",$T1960=CARI!$C$8)),MAX($Z$3:Z1959)+1,""))</f>
        <v/>
      </c>
      <c r="AA1960" s="40" t="str">
        <f aca="false">IF($Y1960="","",MAX($AA$3:AA1959)+1)</f>
        <v/>
      </c>
      <c r="AB1960" s="40" t="str">
        <f aca="false">IF($F1960="","",$F1960&amp;"#"&amp;COUNTIF($F$4:$F1960,$F1960))</f>
        <v/>
      </c>
      <c r="AC1960" s="40" t="str">
        <f aca="false">IF($B1960="","",IF(AND(OR(CETAK!$J$10="",$F1960=CETAK!$J$10),OR(CETAK!$J$11="",$G1960=CETAK!$J$11),OR(CETAK!$J$12="",$P1960=CETAK!$J$12),OR(CETAK!$J$13="",$N1960=CETAK!$J$13),OR(CETAK!$J$14="",$T1960=CETAK!$J$14)),MAX($AC$3:AC1959)+1,""))</f>
        <v/>
      </c>
      <c r="AD1960" s="40" t="str">
        <f aca="false">IF($B1960="","",IF(AND(OR(ABSENSI!$H$10="",$F1960=ABSENSI!$H$10),OR(ABSENSI!$H$11="",$G1960=ABSENSI!$H$11),OR(ABSENSI!$H$12="",$P1960=ABSENSI!$H$12)),MAX($AD$3:AD1959)+1,""))</f>
        <v/>
      </c>
      <c r="AE1960" s="40" t="str">
        <f aca="false">IF($B1960="","",IF(AND(OR(KARTU!$K$6="",$F1960=KARTU!$K$6),OR(KARTU!$K$7="",$G1960=KARTU!$K$7),OR(KARTU!$K$8="",$P1960=KARTU!$K$8)),MAX($AE$3:AE1959)+1,""))</f>
        <v/>
      </c>
    </row>
    <row r="1961" customFormat="false" ht="15" hidden="false" customHeight="false" outlineLevel="0" collapsed="false">
      <c r="A1961" s="35" t="str">
        <f aca="false">IF($B1961="","",COUNTA($B$4:$B1961))</f>
        <v/>
      </c>
      <c r="B1961" s="36"/>
      <c r="C1961" s="37"/>
      <c r="D1961" s="37"/>
      <c r="E1961" s="38"/>
      <c r="F1961" s="36"/>
      <c r="G1961" s="39"/>
      <c r="H1961" s="39"/>
      <c r="I1961" s="36"/>
      <c r="J1961" s="36"/>
      <c r="K1961" s="36"/>
      <c r="L1961" s="36"/>
      <c r="M1961" s="40" t="str">
        <f aca="false">IF($F1961="","",$F1961&amp;IF($G1961="",""," - RT "&amp;$G1961&amp;IF($H1961="","","/"&amp;$H1961)))</f>
        <v/>
      </c>
      <c r="N1961" s="36"/>
      <c r="O1961" s="37"/>
      <c r="P1961" s="39"/>
      <c r="Q1961" s="41"/>
      <c r="R1961" s="35" t="str">
        <f aca="true">IF(OR($B1961="",$Q1961=""),"",DATEDIF($Q1961,TODAY(),"Y"))</f>
        <v/>
      </c>
      <c r="S1961" s="40" t="str">
        <f aca="false">IF($R1961="","",INDEX(usia_label,MATCH($R1961,usia_min,1)))</f>
        <v/>
      </c>
      <c r="T1961" s="36"/>
      <c r="U1961" s="41"/>
      <c r="V1961" s="36"/>
      <c r="W1961" s="36"/>
      <c r="X1961" s="40" t="str">
        <f aca="false">IF($M1961="","",$M1961&amp;"#"&amp;COUNTIF($M$4:$M1961,$M1961))</f>
        <v/>
      </c>
      <c r="Y1961" s="40" t="str">
        <f aca="false">IF($B1961="","",IF($C1961="","NIK kosong",IF(LEN($C1961)&lt;&gt;16,"NIK bukan 16 digit",IF(COUNTIF($C$4:$C$2003,$C1961&amp;"*")&gt;1,"NIK ganda",IF(AND($D1961&lt;&gt;"",LEN($D1961)&lt;&gt;16),"No. KK bukan 16 digit",IF(AND($F1961="",$I1961=""),"Alamat kosong",IF($N1961="","Jabatan kosong",IF($O1961="","No. HP kosong",IF(AND($R1961&lt;&gt;"",$R1961&lt;17),"Usia di bawah 17","")))))))))</f>
        <v/>
      </c>
      <c r="Z1961" s="40" t="str">
        <f aca="false">IF($B1961="","",IF(AND(OR(CARI!$C$5="",ISNUMBER(SEARCH(CARI!$C$5,$B1961&amp;" "&amp;$C1961&amp;" "&amp;$D1961&amp;" "&amp;$O1961&amp;" "&amp;$I1961&amp;" "&amp;$F1961&amp;" "&amp;$J1961&amp;" "&amp;$K1961&amp;" "&amp;$L1961&amp;" "&amp;$V1961))),OR(CARI!$C$6="",$F1961=CARI!$C$6),OR(CARI!$C$7="",$G1961=CARI!$C$7),OR(CARI!$C$8="",$T1961=CARI!$C$8)),MAX($Z$3:Z1960)+1,""))</f>
        <v/>
      </c>
      <c r="AA1961" s="40" t="str">
        <f aca="false">IF($Y1961="","",MAX($AA$3:AA1960)+1)</f>
        <v/>
      </c>
      <c r="AB1961" s="40" t="str">
        <f aca="false">IF($F1961="","",$F1961&amp;"#"&amp;COUNTIF($F$4:$F1961,$F1961))</f>
        <v/>
      </c>
      <c r="AC1961" s="40" t="str">
        <f aca="false">IF($B1961="","",IF(AND(OR(CETAK!$J$10="",$F1961=CETAK!$J$10),OR(CETAK!$J$11="",$G1961=CETAK!$J$11),OR(CETAK!$J$12="",$P1961=CETAK!$J$12),OR(CETAK!$J$13="",$N1961=CETAK!$J$13),OR(CETAK!$J$14="",$T1961=CETAK!$J$14)),MAX($AC$3:AC1960)+1,""))</f>
        <v/>
      </c>
      <c r="AD1961" s="40" t="str">
        <f aca="false">IF($B1961="","",IF(AND(OR(ABSENSI!$H$10="",$F1961=ABSENSI!$H$10),OR(ABSENSI!$H$11="",$G1961=ABSENSI!$H$11),OR(ABSENSI!$H$12="",$P1961=ABSENSI!$H$12)),MAX($AD$3:AD1960)+1,""))</f>
        <v/>
      </c>
      <c r="AE1961" s="40" t="str">
        <f aca="false">IF($B1961="","",IF(AND(OR(KARTU!$K$6="",$F1961=KARTU!$K$6),OR(KARTU!$K$7="",$G1961=KARTU!$K$7),OR(KARTU!$K$8="",$P1961=KARTU!$K$8)),MAX($AE$3:AE1960)+1,""))</f>
        <v/>
      </c>
    </row>
    <row r="1962" customFormat="false" ht="15" hidden="false" customHeight="false" outlineLevel="0" collapsed="false">
      <c r="A1962" s="35" t="str">
        <f aca="false">IF($B1962="","",COUNTA($B$4:$B1962))</f>
        <v/>
      </c>
      <c r="B1962" s="36"/>
      <c r="C1962" s="37"/>
      <c r="D1962" s="37"/>
      <c r="E1962" s="38"/>
      <c r="F1962" s="36"/>
      <c r="G1962" s="39"/>
      <c r="H1962" s="39"/>
      <c r="I1962" s="36"/>
      <c r="J1962" s="36"/>
      <c r="K1962" s="36"/>
      <c r="L1962" s="36"/>
      <c r="M1962" s="40" t="str">
        <f aca="false">IF($F1962="","",$F1962&amp;IF($G1962="",""," - RT "&amp;$G1962&amp;IF($H1962="","","/"&amp;$H1962)))</f>
        <v/>
      </c>
      <c r="N1962" s="36"/>
      <c r="O1962" s="37"/>
      <c r="P1962" s="39"/>
      <c r="Q1962" s="41"/>
      <c r="R1962" s="35" t="str">
        <f aca="true">IF(OR($B1962="",$Q1962=""),"",DATEDIF($Q1962,TODAY(),"Y"))</f>
        <v/>
      </c>
      <c r="S1962" s="40" t="str">
        <f aca="false">IF($R1962="","",INDEX(usia_label,MATCH($R1962,usia_min,1)))</f>
        <v/>
      </c>
      <c r="T1962" s="36"/>
      <c r="U1962" s="41"/>
      <c r="V1962" s="36"/>
      <c r="W1962" s="36"/>
      <c r="X1962" s="40" t="str">
        <f aca="false">IF($M1962="","",$M1962&amp;"#"&amp;COUNTIF($M$4:$M1962,$M1962))</f>
        <v/>
      </c>
      <c r="Y1962" s="40" t="str">
        <f aca="false">IF($B1962="","",IF($C1962="","NIK kosong",IF(LEN($C1962)&lt;&gt;16,"NIK bukan 16 digit",IF(COUNTIF($C$4:$C$2003,$C1962&amp;"*")&gt;1,"NIK ganda",IF(AND($D1962&lt;&gt;"",LEN($D1962)&lt;&gt;16),"No. KK bukan 16 digit",IF(AND($F1962="",$I1962=""),"Alamat kosong",IF($N1962="","Jabatan kosong",IF($O1962="","No. HP kosong",IF(AND($R1962&lt;&gt;"",$R1962&lt;17),"Usia di bawah 17","")))))))))</f>
        <v/>
      </c>
      <c r="Z1962" s="40" t="str">
        <f aca="false">IF($B1962="","",IF(AND(OR(CARI!$C$5="",ISNUMBER(SEARCH(CARI!$C$5,$B1962&amp;" "&amp;$C1962&amp;" "&amp;$D1962&amp;" "&amp;$O1962&amp;" "&amp;$I1962&amp;" "&amp;$F1962&amp;" "&amp;$J1962&amp;" "&amp;$K1962&amp;" "&amp;$L1962&amp;" "&amp;$V1962))),OR(CARI!$C$6="",$F1962=CARI!$C$6),OR(CARI!$C$7="",$G1962=CARI!$C$7),OR(CARI!$C$8="",$T1962=CARI!$C$8)),MAX($Z$3:Z1961)+1,""))</f>
        <v/>
      </c>
      <c r="AA1962" s="40" t="str">
        <f aca="false">IF($Y1962="","",MAX($AA$3:AA1961)+1)</f>
        <v/>
      </c>
      <c r="AB1962" s="40" t="str">
        <f aca="false">IF($F1962="","",$F1962&amp;"#"&amp;COUNTIF($F$4:$F1962,$F1962))</f>
        <v/>
      </c>
      <c r="AC1962" s="40" t="str">
        <f aca="false">IF($B1962="","",IF(AND(OR(CETAK!$J$10="",$F1962=CETAK!$J$10),OR(CETAK!$J$11="",$G1962=CETAK!$J$11),OR(CETAK!$J$12="",$P1962=CETAK!$J$12),OR(CETAK!$J$13="",$N1962=CETAK!$J$13),OR(CETAK!$J$14="",$T1962=CETAK!$J$14)),MAX($AC$3:AC1961)+1,""))</f>
        <v/>
      </c>
      <c r="AD1962" s="40" t="str">
        <f aca="false">IF($B1962="","",IF(AND(OR(ABSENSI!$H$10="",$F1962=ABSENSI!$H$10),OR(ABSENSI!$H$11="",$G1962=ABSENSI!$H$11),OR(ABSENSI!$H$12="",$P1962=ABSENSI!$H$12)),MAX($AD$3:AD1961)+1,""))</f>
        <v/>
      </c>
      <c r="AE1962" s="40" t="str">
        <f aca="false">IF($B1962="","",IF(AND(OR(KARTU!$K$6="",$F1962=KARTU!$K$6),OR(KARTU!$K$7="",$G1962=KARTU!$K$7),OR(KARTU!$K$8="",$P1962=KARTU!$K$8)),MAX($AE$3:AE1961)+1,""))</f>
        <v/>
      </c>
    </row>
    <row r="1963" customFormat="false" ht="15" hidden="false" customHeight="false" outlineLevel="0" collapsed="false">
      <c r="A1963" s="35" t="str">
        <f aca="false">IF($B1963="","",COUNTA($B$4:$B1963))</f>
        <v/>
      </c>
      <c r="B1963" s="36"/>
      <c r="C1963" s="37"/>
      <c r="D1963" s="37"/>
      <c r="E1963" s="38"/>
      <c r="F1963" s="36"/>
      <c r="G1963" s="39"/>
      <c r="H1963" s="39"/>
      <c r="I1963" s="36"/>
      <c r="J1963" s="36"/>
      <c r="K1963" s="36"/>
      <c r="L1963" s="36"/>
      <c r="M1963" s="40" t="str">
        <f aca="false">IF($F1963="","",$F1963&amp;IF($G1963="",""," - RT "&amp;$G1963&amp;IF($H1963="","","/"&amp;$H1963)))</f>
        <v/>
      </c>
      <c r="N1963" s="36"/>
      <c r="O1963" s="37"/>
      <c r="P1963" s="39"/>
      <c r="Q1963" s="41"/>
      <c r="R1963" s="35" t="str">
        <f aca="true">IF(OR($B1963="",$Q1963=""),"",DATEDIF($Q1963,TODAY(),"Y"))</f>
        <v/>
      </c>
      <c r="S1963" s="40" t="str">
        <f aca="false">IF($R1963="","",INDEX(usia_label,MATCH($R1963,usia_min,1)))</f>
        <v/>
      </c>
      <c r="T1963" s="36"/>
      <c r="U1963" s="41"/>
      <c r="V1963" s="36"/>
      <c r="W1963" s="36"/>
      <c r="X1963" s="40" t="str">
        <f aca="false">IF($M1963="","",$M1963&amp;"#"&amp;COUNTIF($M$4:$M1963,$M1963))</f>
        <v/>
      </c>
      <c r="Y1963" s="40" t="str">
        <f aca="false">IF($B1963="","",IF($C1963="","NIK kosong",IF(LEN($C1963)&lt;&gt;16,"NIK bukan 16 digit",IF(COUNTIF($C$4:$C$2003,$C1963&amp;"*")&gt;1,"NIK ganda",IF(AND($D1963&lt;&gt;"",LEN($D1963)&lt;&gt;16),"No. KK bukan 16 digit",IF(AND($F1963="",$I1963=""),"Alamat kosong",IF($N1963="","Jabatan kosong",IF($O1963="","No. HP kosong",IF(AND($R1963&lt;&gt;"",$R1963&lt;17),"Usia di bawah 17","")))))))))</f>
        <v/>
      </c>
      <c r="Z1963" s="40" t="str">
        <f aca="false">IF($B1963="","",IF(AND(OR(CARI!$C$5="",ISNUMBER(SEARCH(CARI!$C$5,$B1963&amp;" "&amp;$C1963&amp;" "&amp;$D1963&amp;" "&amp;$O1963&amp;" "&amp;$I1963&amp;" "&amp;$F1963&amp;" "&amp;$J1963&amp;" "&amp;$K1963&amp;" "&amp;$L1963&amp;" "&amp;$V1963))),OR(CARI!$C$6="",$F1963=CARI!$C$6),OR(CARI!$C$7="",$G1963=CARI!$C$7),OR(CARI!$C$8="",$T1963=CARI!$C$8)),MAX($Z$3:Z1962)+1,""))</f>
        <v/>
      </c>
      <c r="AA1963" s="40" t="str">
        <f aca="false">IF($Y1963="","",MAX($AA$3:AA1962)+1)</f>
        <v/>
      </c>
      <c r="AB1963" s="40" t="str">
        <f aca="false">IF($F1963="","",$F1963&amp;"#"&amp;COUNTIF($F$4:$F1963,$F1963))</f>
        <v/>
      </c>
      <c r="AC1963" s="40" t="str">
        <f aca="false">IF($B1963="","",IF(AND(OR(CETAK!$J$10="",$F1963=CETAK!$J$10),OR(CETAK!$J$11="",$G1963=CETAK!$J$11),OR(CETAK!$J$12="",$P1963=CETAK!$J$12),OR(CETAK!$J$13="",$N1963=CETAK!$J$13),OR(CETAK!$J$14="",$T1963=CETAK!$J$14)),MAX($AC$3:AC1962)+1,""))</f>
        <v/>
      </c>
      <c r="AD1963" s="40" t="str">
        <f aca="false">IF($B1963="","",IF(AND(OR(ABSENSI!$H$10="",$F1963=ABSENSI!$H$10),OR(ABSENSI!$H$11="",$G1963=ABSENSI!$H$11),OR(ABSENSI!$H$12="",$P1963=ABSENSI!$H$12)),MAX($AD$3:AD1962)+1,""))</f>
        <v/>
      </c>
      <c r="AE1963" s="40" t="str">
        <f aca="false">IF($B1963="","",IF(AND(OR(KARTU!$K$6="",$F1963=KARTU!$K$6),OR(KARTU!$K$7="",$G1963=KARTU!$K$7),OR(KARTU!$K$8="",$P1963=KARTU!$K$8)),MAX($AE$3:AE1962)+1,""))</f>
        <v/>
      </c>
    </row>
    <row r="1964" customFormat="false" ht="15" hidden="false" customHeight="false" outlineLevel="0" collapsed="false">
      <c r="A1964" s="35" t="str">
        <f aca="false">IF($B1964="","",COUNTA($B$4:$B1964))</f>
        <v/>
      </c>
      <c r="B1964" s="36"/>
      <c r="C1964" s="37"/>
      <c r="D1964" s="37"/>
      <c r="E1964" s="38"/>
      <c r="F1964" s="36"/>
      <c r="G1964" s="39"/>
      <c r="H1964" s="39"/>
      <c r="I1964" s="36"/>
      <c r="J1964" s="36"/>
      <c r="K1964" s="36"/>
      <c r="L1964" s="36"/>
      <c r="M1964" s="40" t="str">
        <f aca="false">IF($F1964="","",$F1964&amp;IF($G1964="",""," - RT "&amp;$G1964&amp;IF($H1964="","","/"&amp;$H1964)))</f>
        <v/>
      </c>
      <c r="N1964" s="36"/>
      <c r="O1964" s="37"/>
      <c r="P1964" s="39"/>
      <c r="Q1964" s="41"/>
      <c r="R1964" s="35" t="str">
        <f aca="true">IF(OR($B1964="",$Q1964=""),"",DATEDIF($Q1964,TODAY(),"Y"))</f>
        <v/>
      </c>
      <c r="S1964" s="40" t="str">
        <f aca="false">IF($R1964="","",INDEX(usia_label,MATCH($R1964,usia_min,1)))</f>
        <v/>
      </c>
      <c r="T1964" s="36"/>
      <c r="U1964" s="41"/>
      <c r="V1964" s="36"/>
      <c r="W1964" s="36"/>
      <c r="X1964" s="40" t="str">
        <f aca="false">IF($M1964="","",$M1964&amp;"#"&amp;COUNTIF($M$4:$M1964,$M1964))</f>
        <v/>
      </c>
      <c r="Y1964" s="40" t="str">
        <f aca="false">IF($B1964="","",IF($C1964="","NIK kosong",IF(LEN($C1964)&lt;&gt;16,"NIK bukan 16 digit",IF(COUNTIF($C$4:$C$2003,$C1964&amp;"*")&gt;1,"NIK ganda",IF(AND($D1964&lt;&gt;"",LEN($D1964)&lt;&gt;16),"No. KK bukan 16 digit",IF(AND($F1964="",$I1964=""),"Alamat kosong",IF($N1964="","Jabatan kosong",IF($O1964="","No. HP kosong",IF(AND($R1964&lt;&gt;"",$R1964&lt;17),"Usia di bawah 17","")))))))))</f>
        <v/>
      </c>
      <c r="Z1964" s="40" t="str">
        <f aca="false">IF($B1964="","",IF(AND(OR(CARI!$C$5="",ISNUMBER(SEARCH(CARI!$C$5,$B1964&amp;" "&amp;$C1964&amp;" "&amp;$D1964&amp;" "&amp;$O1964&amp;" "&amp;$I1964&amp;" "&amp;$F1964&amp;" "&amp;$J1964&amp;" "&amp;$K1964&amp;" "&amp;$L1964&amp;" "&amp;$V1964))),OR(CARI!$C$6="",$F1964=CARI!$C$6),OR(CARI!$C$7="",$G1964=CARI!$C$7),OR(CARI!$C$8="",$T1964=CARI!$C$8)),MAX($Z$3:Z1963)+1,""))</f>
        <v/>
      </c>
      <c r="AA1964" s="40" t="str">
        <f aca="false">IF($Y1964="","",MAX($AA$3:AA1963)+1)</f>
        <v/>
      </c>
      <c r="AB1964" s="40" t="str">
        <f aca="false">IF($F1964="","",$F1964&amp;"#"&amp;COUNTIF($F$4:$F1964,$F1964))</f>
        <v/>
      </c>
      <c r="AC1964" s="40" t="str">
        <f aca="false">IF($B1964="","",IF(AND(OR(CETAK!$J$10="",$F1964=CETAK!$J$10),OR(CETAK!$J$11="",$G1964=CETAK!$J$11),OR(CETAK!$J$12="",$P1964=CETAK!$J$12),OR(CETAK!$J$13="",$N1964=CETAK!$J$13),OR(CETAK!$J$14="",$T1964=CETAK!$J$14)),MAX($AC$3:AC1963)+1,""))</f>
        <v/>
      </c>
      <c r="AD1964" s="40" t="str">
        <f aca="false">IF($B1964="","",IF(AND(OR(ABSENSI!$H$10="",$F1964=ABSENSI!$H$10),OR(ABSENSI!$H$11="",$G1964=ABSENSI!$H$11),OR(ABSENSI!$H$12="",$P1964=ABSENSI!$H$12)),MAX($AD$3:AD1963)+1,""))</f>
        <v/>
      </c>
      <c r="AE1964" s="40" t="str">
        <f aca="false">IF($B1964="","",IF(AND(OR(KARTU!$K$6="",$F1964=KARTU!$K$6),OR(KARTU!$K$7="",$G1964=KARTU!$K$7),OR(KARTU!$K$8="",$P1964=KARTU!$K$8)),MAX($AE$3:AE1963)+1,""))</f>
        <v/>
      </c>
    </row>
    <row r="1965" customFormat="false" ht="15" hidden="false" customHeight="false" outlineLevel="0" collapsed="false">
      <c r="A1965" s="35" t="str">
        <f aca="false">IF($B1965="","",COUNTA($B$4:$B1965))</f>
        <v/>
      </c>
      <c r="B1965" s="36"/>
      <c r="C1965" s="37"/>
      <c r="D1965" s="37"/>
      <c r="E1965" s="38"/>
      <c r="F1965" s="36"/>
      <c r="G1965" s="39"/>
      <c r="H1965" s="39"/>
      <c r="I1965" s="36"/>
      <c r="J1965" s="36"/>
      <c r="K1965" s="36"/>
      <c r="L1965" s="36"/>
      <c r="M1965" s="40" t="str">
        <f aca="false">IF($F1965="","",$F1965&amp;IF($G1965="",""," - RT "&amp;$G1965&amp;IF($H1965="","","/"&amp;$H1965)))</f>
        <v/>
      </c>
      <c r="N1965" s="36"/>
      <c r="O1965" s="37"/>
      <c r="P1965" s="39"/>
      <c r="Q1965" s="41"/>
      <c r="R1965" s="35" t="str">
        <f aca="true">IF(OR($B1965="",$Q1965=""),"",DATEDIF($Q1965,TODAY(),"Y"))</f>
        <v/>
      </c>
      <c r="S1965" s="40" t="str">
        <f aca="false">IF($R1965="","",INDEX(usia_label,MATCH($R1965,usia_min,1)))</f>
        <v/>
      </c>
      <c r="T1965" s="36"/>
      <c r="U1965" s="41"/>
      <c r="V1965" s="36"/>
      <c r="W1965" s="36"/>
      <c r="X1965" s="40" t="str">
        <f aca="false">IF($M1965="","",$M1965&amp;"#"&amp;COUNTIF($M$4:$M1965,$M1965))</f>
        <v/>
      </c>
      <c r="Y1965" s="40" t="str">
        <f aca="false">IF($B1965="","",IF($C1965="","NIK kosong",IF(LEN($C1965)&lt;&gt;16,"NIK bukan 16 digit",IF(COUNTIF($C$4:$C$2003,$C1965&amp;"*")&gt;1,"NIK ganda",IF(AND($D1965&lt;&gt;"",LEN($D1965)&lt;&gt;16),"No. KK bukan 16 digit",IF(AND($F1965="",$I1965=""),"Alamat kosong",IF($N1965="","Jabatan kosong",IF($O1965="","No. HP kosong",IF(AND($R1965&lt;&gt;"",$R1965&lt;17),"Usia di bawah 17","")))))))))</f>
        <v/>
      </c>
      <c r="Z1965" s="40" t="str">
        <f aca="false">IF($B1965="","",IF(AND(OR(CARI!$C$5="",ISNUMBER(SEARCH(CARI!$C$5,$B1965&amp;" "&amp;$C1965&amp;" "&amp;$D1965&amp;" "&amp;$O1965&amp;" "&amp;$I1965&amp;" "&amp;$F1965&amp;" "&amp;$J1965&amp;" "&amp;$K1965&amp;" "&amp;$L1965&amp;" "&amp;$V1965))),OR(CARI!$C$6="",$F1965=CARI!$C$6),OR(CARI!$C$7="",$G1965=CARI!$C$7),OR(CARI!$C$8="",$T1965=CARI!$C$8)),MAX($Z$3:Z1964)+1,""))</f>
        <v/>
      </c>
      <c r="AA1965" s="40" t="str">
        <f aca="false">IF($Y1965="","",MAX($AA$3:AA1964)+1)</f>
        <v/>
      </c>
      <c r="AB1965" s="40" t="str">
        <f aca="false">IF($F1965="","",$F1965&amp;"#"&amp;COUNTIF($F$4:$F1965,$F1965))</f>
        <v/>
      </c>
      <c r="AC1965" s="40" t="str">
        <f aca="false">IF($B1965="","",IF(AND(OR(CETAK!$J$10="",$F1965=CETAK!$J$10),OR(CETAK!$J$11="",$G1965=CETAK!$J$11),OR(CETAK!$J$12="",$P1965=CETAK!$J$12),OR(CETAK!$J$13="",$N1965=CETAK!$J$13),OR(CETAK!$J$14="",$T1965=CETAK!$J$14)),MAX($AC$3:AC1964)+1,""))</f>
        <v/>
      </c>
      <c r="AD1965" s="40" t="str">
        <f aca="false">IF($B1965="","",IF(AND(OR(ABSENSI!$H$10="",$F1965=ABSENSI!$H$10),OR(ABSENSI!$H$11="",$G1965=ABSENSI!$H$11),OR(ABSENSI!$H$12="",$P1965=ABSENSI!$H$12)),MAX($AD$3:AD1964)+1,""))</f>
        <v/>
      </c>
      <c r="AE1965" s="40" t="str">
        <f aca="false">IF($B1965="","",IF(AND(OR(KARTU!$K$6="",$F1965=KARTU!$K$6),OR(KARTU!$K$7="",$G1965=KARTU!$K$7),OR(KARTU!$K$8="",$P1965=KARTU!$K$8)),MAX($AE$3:AE1964)+1,""))</f>
        <v/>
      </c>
    </row>
    <row r="1966" customFormat="false" ht="15" hidden="false" customHeight="false" outlineLevel="0" collapsed="false">
      <c r="A1966" s="35" t="str">
        <f aca="false">IF($B1966="","",COUNTA($B$4:$B1966))</f>
        <v/>
      </c>
      <c r="B1966" s="36"/>
      <c r="C1966" s="37"/>
      <c r="D1966" s="37"/>
      <c r="E1966" s="38"/>
      <c r="F1966" s="36"/>
      <c r="G1966" s="39"/>
      <c r="H1966" s="39"/>
      <c r="I1966" s="36"/>
      <c r="J1966" s="36"/>
      <c r="K1966" s="36"/>
      <c r="L1966" s="36"/>
      <c r="M1966" s="40" t="str">
        <f aca="false">IF($F1966="","",$F1966&amp;IF($G1966="",""," - RT "&amp;$G1966&amp;IF($H1966="","","/"&amp;$H1966)))</f>
        <v/>
      </c>
      <c r="N1966" s="36"/>
      <c r="O1966" s="37"/>
      <c r="P1966" s="39"/>
      <c r="Q1966" s="41"/>
      <c r="R1966" s="35" t="str">
        <f aca="true">IF(OR($B1966="",$Q1966=""),"",DATEDIF($Q1966,TODAY(),"Y"))</f>
        <v/>
      </c>
      <c r="S1966" s="40" t="str">
        <f aca="false">IF($R1966="","",INDEX(usia_label,MATCH($R1966,usia_min,1)))</f>
        <v/>
      </c>
      <c r="T1966" s="36"/>
      <c r="U1966" s="41"/>
      <c r="V1966" s="36"/>
      <c r="W1966" s="36"/>
      <c r="X1966" s="40" t="str">
        <f aca="false">IF($M1966="","",$M1966&amp;"#"&amp;COUNTIF($M$4:$M1966,$M1966))</f>
        <v/>
      </c>
      <c r="Y1966" s="40" t="str">
        <f aca="false">IF($B1966="","",IF($C1966="","NIK kosong",IF(LEN($C1966)&lt;&gt;16,"NIK bukan 16 digit",IF(COUNTIF($C$4:$C$2003,$C1966&amp;"*")&gt;1,"NIK ganda",IF(AND($D1966&lt;&gt;"",LEN($D1966)&lt;&gt;16),"No. KK bukan 16 digit",IF(AND($F1966="",$I1966=""),"Alamat kosong",IF($N1966="","Jabatan kosong",IF($O1966="","No. HP kosong",IF(AND($R1966&lt;&gt;"",$R1966&lt;17),"Usia di bawah 17","")))))))))</f>
        <v/>
      </c>
      <c r="Z1966" s="40" t="str">
        <f aca="false">IF($B1966="","",IF(AND(OR(CARI!$C$5="",ISNUMBER(SEARCH(CARI!$C$5,$B1966&amp;" "&amp;$C1966&amp;" "&amp;$D1966&amp;" "&amp;$O1966&amp;" "&amp;$I1966&amp;" "&amp;$F1966&amp;" "&amp;$J1966&amp;" "&amp;$K1966&amp;" "&amp;$L1966&amp;" "&amp;$V1966))),OR(CARI!$C$6="",$F1966=CARI!$C$6),OR(CARI!$C$7="",$G1966=CARI!$C$7),OR(CARI!$C$8="",$T1966=CARI!$C$8)),MAX($Z$3:Z1965)+1,""))</f>
        <v/>
      </c>
      <c r="AA1966" s="40" t="str">
        <f aca="false">IF($Y1966="","",MAX($AA$3:AA1965)+1)</f>
        <v/>
      </c>
      <c r="AB1966" s="40" t="str">
        <f aca="false">IF($F1966="","",$F1966&amp;"#"&amp;COUNTIF($F$4:$F1966,$F1966))</f>
        <v/>
      </c>
      <c r="AC1966" s="40" t="str">
        <f aca="false">IF($B1966="","",IF(AND(OR(CETAK!$J$10="",$F1966=CETAK!$J$10),OR(CETAK!$J$11="",$G1966=CETAK!$J$11),OR(CETAK!$J$12="",$P1966=CETAK!$J$12),OR(CETAK!$J$13="",$N1966=CETAK!$J$13),OR(CETAK!$J$14="",$T1966=CETAK!$J$14)),MAX($AC$3:AC1965)+1,""))</f>
        <v/>
      </c>
      <c r="AD1966" s="40" t="str">
        <f aca="false">IF($B1966="","",IF(AND(OR(ABSENSI!$H$10="",$F1966=ABSENSI!$H$10),OR(ABSENSI!$H$11="",$G1966=ABSENSI!$H$11),OR(ABSENSI!$H$12="",$P1966=ABSENSI!$H$12)),MAX($AD$3:AD1965)+1,""))</f>
        <v/>
      </c>
      <c r="AE1966" s="40" t="str">
        <f aca="false">IF($B1966="","",IF(AND(OR(KARTU!$K$6="",$F1966=KARTU!$K$6),OR(KARTU!$K$7="",$G1966=KARTU!$K$7),OR(KARTU!$K$8="",$P1966=KARTU!$K$8)),MAX($AE$3:AE1965)+1,""))</f>
        <v/>
      </c>
    </row>
    <row r="1967" customFormat="false" ht="15" hidden="false" customHeight="false" outlineLevel="0" collapsed="false">
      <c r="A1967" s="35" t="str">
        <f aca="false">IF($B1967="","",COUNTA($B$4:$B1967))</f>
        <v/>
      </c>
      <c r="B1967" s="36"/>
      <c r="C1967" s="37"/>
      <c r="D1967" s="37"/>
      <c r="E1967" s="38"/>
      <c r="F1967" s="36"/>
      <c r="G1967" s="39"/>
      <c r="H1967" s="39"/>
      <c r="I1967" s="36"/>
      <c r="J1967" s="36"/>
      <c r="K1967" s="36"/>
      <c r="L1967" s="36"/>
      <c r="M1967" s="40" t="str">
        <f aca="false">IF($F1967="","",$F1967&amp;IF($G1967="",""," - RT "&amp;$G1967&amp;IF($H1967="","","/"&amp;$H1967)))</f>
        <v/>
      </c>
      <c r="N1967" s="36"/>
      <c r="O1967" s="37"/>
      <c r="P1967" s="39"/>
      <c r="Q1967" s="41"/>
      <c r="R1967" s="35" t="str">
        <f aca="true">IF(OR($B1967="",$Q1967=""),"",DATEDIF($Q1967,TODAY(),"Y"))</f>
        <v/>
      </c>
      <c r="S1967" s="40" t="str">
        <f aca="false">IF($R1967="","",INDEX(usia_label,MATCH($R1967,usia_min,1)))</f>
        <v/>
      </c>
      <c r="T1967" s="36"/>
      <c r="U1967" s="41"/>
      <c r="V1967" s="36"/>
      <c r="W1967" s="36"/>
      <c r="X1967" s="40" t="str">
        <f aca="false">IF($M1967="","",$M1967&amp;"#"&amp;COUNTIF($M$4:$M1967,$M1967))</f>
        <v/>
      </c>
      <c r="Y1967" s="40" t="str">
        <f aca="false">IF($B1967="","",IF($C1967="","NIK kosong",IF(LEN($C1967)&lt;&gt;16,"NIK bukan 16 digit",IF(COUNTIF($C$4:$C$2003,$C1967&amp;"*")&gt;1,"NIK ganda",IF(AND($D1967&lt;&gt;"",LEN($D1967)&lt;&gt;16),"No. KK bukan 16 digit",IF(AND($F1967="",$I1967=""),"Alamat kosong",IF($N1967="","Jabatan kosong",IF($O1967="","No. HP kosong",IF(AND($R1967&lt;&gt;"",$R1967&lt;17),"Usia di bawah 17","")))))))))</f>
        <v/>
      </c>
      <c r="Z1967" s="40" t="str">
        <f aca="false">IF($B1967="","",IF(AND(OR(CARI!$C$5="",ISNUMBER(SEARCH(CARI!$C$5,$B1967&amp;" "&amp;$C1967&amp;" "&amp;$D1967&amp;" "&amp;$O1967&amp;" "&amp;$I1967&amp;" "&amp;$F1967&amp;" "&amp;$J1967&amp;" "&amp;$K1967&amp;" "&amp;$L1967&amp;" "&amp;$V1967))),OR(CARI!$C$6="",$F1967=CARI!$C$6),OR(CARI!$C$7="",$G1967=CARI!$C$7),OR(CARI!$C$8="",$T1967=CARI!$C$8)),MAX($Z$3:Z1966)+1,""))</f>
        <v/>
      </c>
      <c r="AA1967" s="40" t="str">
        <f aca="false">IF($Y1967="","",MAX($AA$3:AA1966)+1)</f>
        <v/>
      </c>
      <c r="AB1967" s="40" t="str">
        <f aca="false">IF($F1967="","",$F1967&amp;"#"&amp;COUNTIF($F$4:$F1967,$F1967))</f>
        <v/>
      </c>
      <c r="AC1967" s="40" t="str">
        <f aca="false">IF($B1967="","",IF(AND(OR(CETAK!$J$10="",$F1967=CETAK!$J$10),OR(CETAK!$J$11="",$G1967=CETAK!$J$11),OR(CETAK!$J$12="",$P1967=CETAK!$J$12),OR(CETAK!$J$13="",$N1967=CETAK!$J$13),OR(CETAK!$J$14="",$T1967=CETAK!$J$14)),MAX($AC$3:AC1966)+1,""))</f>
        <v/>
      </c>
      <c r="AD1967" s="40" t="str">
        <f aca="false">IF($B1967="","",IF(AND(OR(ABSENSI!$H$10="",$F1967=ABSENSI!$H$10),OR(ABSENSI!$H$11="",$G1967=ABSENSI!$H$11),OR(ABSENSI!$H$12="",$P1967=ABSENSI!$H$12)),MAX($AD$3:AD1966)+1,""))</f>
        <v/>
      </c>
      <c r="AE1967" s="40" t="str">
        <f aca="false">IF($B1967="","",IF(AND(OR(KARTU!$K$6="",$F1967=KARTU!$K$6),OR(KARTU!$K$7="",$G1967=KARTU!$K$7),OR(KARTU!$K$8="",$P1967=KARTU!$K$8)),MAX($AE$3:AE1966)+1,""))</f>
        <v/>
      </c>
    </row>
    <row r="1968" customFormat="false" ht="15" hidden="false" customHeight="false" outlineLevel="0" collapsed="false">
      <c r="A1968" s="35" t="str">
        <f aca="false">IF($B1968="","",COUNTA($B$4:$B1968))</f>
        <v/>
      </c>
      <c r="B1968" s="36"/>
      <c r="C1968" s="37"/>
      <c r="D1968" s="37"/>
      <c r="E1968" s="38"/>
      <c r="F1968" s="36"/>
      <c r="G1968" s="39"/>
      <c r="H1968" s="39"/>
      <c r="I1968" s="36"/>
      <c r="J1968" s="36"/>
      <c r="K1968" s="36"/>
      <c r="L1968" s="36"/>
      <c r="M1968" s="40" t="str">
        <f aca="false">IF($F1968="","",$F1968&amp;IF($G1968="",""," - RT "&amp;$G1968&amp;IF($H1968="","","/"&amp;$H1968)))</f>
        <v/>
      </c>
      <c r="N1968" s="36"/>
      <c r="O1968" s="37"/>
      <c r="P1968" s="39"/>
      <c r="Q1968" s="41"/>
      <c r="R1968" s="35" t="str">
        <f aca="true">IF(OR($B1968="",$Q1968=""),"",DATEDIF($Q1968,TODAY(),"Y"))</f>
        <v/>
      </c>
      <c r="S1968" s="40" t="str">
        <f aca="false">IF($R1968="","",INDEX(usia_label,MATCH($R1968,usia_min,1)))</f>
        <v/>
      </c>
      <c r="T1968" s="36"/>
      <c r="U1968" s="41"/>
      <c r="V1968" s="36"/>
      <c r="W1968" s="36"/>
      <c r="X1968" s="40" t="str">
        <f aca="false">IF($M1968="","",$M1968&amp;"#"&amp;COUNTIF($M$4:$M1968,$M1968))</f>
        <v/>
      </c>
      <c r="Y1968" s="40" t="str">
        <f aca="false">IF($B1968="","",IF($C1968="","NIK kosong",IF(LEN($C1968)&lt;&gt;16,"NIK bukan 16 digit",IF(COUNTIF($C$4:$C$2003,$C1968&amp;"*")&gt;1,"NIK ganda",IF(AND($D1968&lt;&gt;"",LEN($D1968)&lt;&gt;16),"No. KK bukan 16 digit",IF(AND($F1968="",$I1968=""),"Alamat kosong",IF($N1968="","Jabatan kosong",IF($O1968="","No. HP kosong",IF(AND($R1968&lt;&gt;"",$R1968&lt;17),"Usia di bawah 17","")))))))))</f>
        <v/>
      </c>
      <c r="Z1968" s="40" t="str">
        <f aca="false">IF($B1968="","",IF(AND(OR(CARI!$C$5="",ISNUMBER(SEARCH(CARI!$C$5,$B1968&amp;" "&amp;$C1968&amp;" "&amp;$D1968&amp;" "&amp;$O1968&amp;" "&amp;$I1968&amp;" "&amp;$F1968&amp;" "&amp;$J1968&amp;" "&amp;$K1968&amp;" "&amp;$L1968&amp;" "&amp;$V1968))),OR(CARI!$C$6="",$F1968=CARI!$C$6),OR(CARI!$C$7="",$G1968=CARI!$C$7),OR(CARI!$C$8="",$T1968=CARI!$C$8)),MAX($Z$3:Z1967)+1,""))</f>
        <v/>
      </c>
      <c r="AA1968" s="40" t="str">
        <f aca="false">IF($Y1968="","",MAX($AA$3:AA1967)+1)</f>
        <v/>
      </c>
      <c r="AB1968" s="40" t="str">
        <f aca="false">IF($F1968="","",$F1968&amp;"#"&amp;COUNTIF($F$4:$F1968,$F1968))</f>
        <v/>
      </c>
      <c r="AC1968" s="40" t="str">
        <f aca="false">IF($B1968="","",IF(AND(OR(CETAK!$J$10="",$F1968=CETAK!$J$10),OR(CETAK!$J$11="",$G1968=CETAK!$J$11),OR(CETAK!$J$12="",$P1968=CETAK!$J$12),OR(CETAK!$J$13="",$N1968=CETAK!$J$13),OR(CETAK!$J$14="",$T1968=CETAK!$J$14)),MAX($AC$3:AC1967)+1,""))</f>
        <v/>
      </c>
      <c r="AD1968" s="40" t="str">
        <f aca="false">IF($B1968="","",IF(AND(OR(ABSENSI!$H$10="",$F1968=ABSENSI!$H$10),OR(ABSENSI!$H$11="",$G1968=ABSENSI!$H$11),OR(ABSENSI!$H$12="",$P1968=ABSENSI!$H$12)),MAX($AD$3:AD1967)+1,""))</f>
        <v/>
      </c>
      <c r="AE1968" s="40" t="str">
        <f aca="false">IF($B1968="","",IF(AND(OR(KARTU!$K$6="",$F1968=KARTU!$K$6),OR(KARTU!$K$7="",$G1968=KARTU!$K$7),OR(KARTU!$K$8="",$P1968=KARTU!$K$8)),MAX($AE$3:AE1967)+1,""))</f>
        <v/>
      </c>
    </row>
    <row r="1969" customFormat="false" ht="15" hidden="false" customHeight="false" outlineLevel="0" collapsed="false">
      <c r="A1969" s="35" t="str">
        <f aca="false">IF($B1969="","",COUNTA($B$4:$B1969))</f>
        <v/>
      </c>
      <c r="B1969" s="36"/>
      <c r="C1969" s="37"/>
      <c r="D1969" s="37"/>
      <c r="E1969" s="38"/>
      <c r="F1969" s="36"/>
      <c r="G1969" s="39"/>
      <c r="H1969" s="39"/>
      <c r="I1969" s="36"/>
      <c r="J1969" s="36"/>
      <c r="K1969" s="36"/>
      <c r="L1969" s="36"/>
      <c r="M1969" s="40" t="str">
        <f aca="false">IF($F1969="","",$F1969&amp;IF($G1969="",""," - RT "&amp;$G1969&amp;IF($H1969="","","/"&amp;$H1969)))</f>
        <v/>
      </c>
      <c r="N1969" s="36"/>
      <c r="O1969" s="37"/>
      <c r="P1969" s="39"/>
      <c r="Q1969" s="41"/>
      <c r="R1969" s="35" t="str">
        <f aca="true">IF(OR($B1969="",$Q1969=""),"",DATEDIF($Q1969,TODAY(),"Y"))</f>
        <v/>
      </c>
      <c r="S1969" s="40" t="str">
        <f aca="false">IF($R1969="","",INDEX(usia_label,MATCH($R1969,usia_min,1)))</f>
        <v/>
      </c>
      <c r="T1969" s="36"/>
      <c r="U1969" s="41"/>
      <c r="V1969" s="36"/>
      <c r="W1969" s="36"/>
      <c r="X1969" s="40" t="str">
        <f aca="false">IF($M1969="","",$M1969&amp;"#"&amp;COUNTIF($M$4:$M1969,$M1969))</f>
        <v/>
      </c>
      <c r="Y1969" s="40" t="str">
        <f aca="false">IF($B1969="","",IF($C1969="","NIK kosong",IF(LEN($C1969)&lt;&gt;16,"NIK bukan 16 digit",IF(COUNTIF($C$4:$C$2003,$C1969&amp;"*")&gt;1,"NIK ganda",IF(AND($D1969&lt;&gt;"",LEN($D1969)&lt;&gt;16),"No. KK bukan 16 digit",IF(AND($F1969="",$I1969=""),"Alamat kosong",IF($N1969="","Jabatan kosong",IF($O1969="","No. HP kosong",IF(AND($R1969&lt;&gt;"",$R1969&lt;17),"Usia di bawah 17","")))))))))</f>
        <v/>
      </c>
      <c r="Z1969" s="40" t="str">
        <f aca="false">IF($B1969="","",IF(AND(OR(CARI!$C$5="",ISNUMBER(SEARCH(CARI!$C$5,$B1969&amp;" "&amp;$C1969&amp;" "&amp;$D1969&amp;" "&amp;$O1969&amp;" "&amp;$I1969&amp;" "&amp;$F1969&amp;" "&amp;$J1969&amp;" "&amp;$K1969&amp;" "&amp;$L1969&amp;" "&amp;$V1969))),OR(CARI!$C$6="",$F1969=CARI!$C$6),OR(CARI!$C$7="",$G1969=CARI!$C$7),OR(CARI!$C$8="",$T1969=CARI!$C$8)),MAX($Z$3:Z1968)+1,""))</f>
        <v/>
      </c>
      <c r="AA1969" s="40" t="str">
        <f aca="false">IF($Y1969="","",MAX($AA$3:AA1968)+1)</f>
        <v/>
      </c>
      <c r="AB1969" s="40" t="str">
        <f aca="false">IF($F1969="","",$F1969&amp;"#"&amp;COUNTIF($F$4:$F1969,$F1969))</f>
        <v/>
      </c>
      <c r="AC1969" s="40" t="str">
        <f aca="false">IF($B1969="","",IF(AND(OR(CETAK!$J$10="",$F1969=CETAK!$J$10),OR(CETAK!$J$11="",$G1969=CETAK!$J$11),OR(CETAK!$J$12="",$P1969=CETAK!$J$12),OR(CETAK!$J$13="",$N1969=CETAK!$J$13),OR(CETAK!$J$14="",$T1969=CETAK!$J$14)),MAX($AC$3:AC1968)+1,""))</f>
        <v/>
      </c>
      <c r="AD1969" s="40" t="str">
        <f aca="false">IF($B1969="","",IF(AND(OR(ABSENSI!$H$10="",$F1969=ABSENSI!$H$10),OR(ABSENSI!$H$11="",$G1969=ABSENSI!$H$11),OR(ABSENSI!$H$12="",$P1969=ABSENSI!$H$12)),MAX($AD$3:AD1968)+1,""))</f>
        <v/>
      </c>
      <c r="AE1969" s="40" t="str">
        <f aca="false">IF($B1969="","",IF(AND(OR(KARTU!$K$6="",$F1969=KARTU!$K$6),OR(KARTU!$K$7="",$G1969=KARTU!$K$7),OR(KARTU!$K$8="",$P1969=KARTU!$K$8)),MAX($AE$3:AE1968)+1,""))</f>
        <v/>
      </c>
    </row>
    <row r="1970" customFormat="false" ht="15" hidden="false" customHeight="false" outlineLevel="0" collapsed="false">
      <c r="A1970" s="35" t="str">
        <f aca="false">IF($B1970="","",COUNTA($B$4:$B1970))</f>
        <v/>
      </c>
      <c r="B1970" s="36"/>
      <c r="C1970" s="37"/>
      <c r="D1970" s="37"/>
      <c r="E1970" s="38"/>
      <c r="F1970" s="36"/>
      <c r="G1970" s="39"/>
      <c r="H1970" s="39"/>
      <c r="I1970" s="36"/>
      <c r="J1970" s="36"/>
      <c r="K1970" s="36"/>
      <c r="L1970" s="36"/>
      <c r="M1970" s="40" t="str">
        <f aca="false">IF($F1970="","",$F1970&amp;IF($G1970="",""," - RT "&amp;$G1970&amp;IF($H1970="","","/"&amp;$H1970)))</f>
        <v/>
      </c>
      <c r="N1970" s="36"/>
      <c r="O1970" s="37"/>
      <c r="P1970" s="39"/>
      <c r="Q1970" s="41"/>
      <c r="R1970" s="35" t="str">
        <f aca="true">IF(OR($B1970="",$Q1970=""),"",DATEDIF($Q1970,TODAY(),"Y"))</f>
        <v/>
      </c>
      <c r="S1970" s="40" t="str">
        <f aca="false">IF($R1970="","",INDEX(usia_label,MATCH($R1970,usia_min,1)))</f>
        <v/>
      </c>
      <c r="T1970" s="36"/>
      <c r="U1970" s="41"/>
      <c r="V1970" s="36"/>
      <c r="W1970" s="36"/>
      <c r="X1970" s="40" t="str">
        <f aca="false">IF($M1970="","",$M1970&amp;"#"&amp;COUNTIF($M$4:$M1970,$M1970))</f>
        <v/>
      </c>
      <c r="Y1970" s="40" t="str">
        <f aca="false">IF($B1970="","",IF($C1970="","NIK kosong",IF(LEN($C1970)&lt;&gt;16,"NIK bukan 16 digit",IF(COUNTIF($C$4:$C$2003,$C1970&amp;"*")&gt;1,"NIK ganda",IF(AND($D1970&lt;&gt;"",LEN($D1970)&lt;&gt;16),"No. KK bukan 16 digit",IF(AND($F1970="",$I1970=""),"Alamat kosong",IF($N1970="","Jabatan kosong",IF($O1970="","No. HP kosong",IF(AND($R1970&lt;&gt;"",$R1970&lt;17),"Usia di bawah 17","")))))))))</f>
        <v/>
      </c>
      <c r="Z1970" s="40" t="str">
        <f aca="false">IF($B1970="","",IF(AND(OR(CARI!$C$5="",ISNUMBER(SEARCH(CARI!$C$5,$B1970&amp;" "&amp;$C1970&amp;" "&amp;$D1970&amp;" "&amp;$O1970&amp;" "&amp;$I1970&amp;" "&amp;$F1970&amp;" "&amp;$J1970&amp;" "&amp;$K1970&amp;" "&amp;$L1970&amp;" "&amp;$V1970))),OR(CARI!$C$6="",$F1970=CARI!$C$6),OR(CARI!$C$7="",$G1970=CARI!$C$7),OR(CARI!$C$8="",$T1970=CARI!$C$8)),MAX($Z$3:Z1969)+1,""))</f>
        <v/>
      </c>
      <c r="AA1970" s="40" t="str">
        <f aca="false">IF($Y1970="","",MAX($AA$3:AA1969)+1)</f>
        <v/>
      </c>
      <c r="AB1970" s="40" t="str">
        <f aca="false">IF($F1970="","",$F1970&amp;"#"&amp;COUNTIF($F$4:$F1970,$F1970))</f>
        <v/>
      </c>
      <c r="AC1970" s="40" t="str">
        <f aca="false">IF($B1970="","",IF(AND(OR(CETAK!$J$10="",$F1970=CETAK!$J$10),OR(CETAK!$J$11="",$G1970=CETAK!$J$11),OR(CETAK!$J$12="",$P1970=CETAK!$J$12),OR(CETAK!$J$13="",$N1970=CETAK!$J$13),OR(CETAK!$J$14="",$T1970=CETAK!$J$14)),MAX($AC$3:AC1969)+1,""))</f>
        <v/>
      </c>
      <c r="AD1970" s="40" t="str">
        <f aca="false">IF($B1970="","",IF(AND(OR(ABSENSI!$H$10="",$F1970=ABSENSI!$H$10),OR(ABSENSI!$H$11="",$G1970=ABSENSI!$H$11),OR(ABSENSI!$H$12="",$P1970=ABSENSI!$H$12)),MAX($AD$3:AD1969)+1,""))</f>
        <v/>
      </c>
      <c r="AE1970" s="40" t="str">
        <f aca="false">IF($B1970="","",IF(AND(OR(KARTU!$K$6="",$F1970=KARTU!$K$6),OR(KARTU!$K$7="",$G1970=KARTU!$K$7),OR(KARTU!$K$8="",$P1970=KARTU!$K$8)),MAX($AE$3:AE1969)+1,""))</f>
        <v/>
      </c>
    </row>
    <row r="1971" customFormat="false" ht="15" hidden="false" customHeight="false" outlineLevel="0" collapsed="false">
      <c r="A1971" s="35" t="str">
        <f aca="false">IF($B1971="","",COUNTA($B$4:$B1971))</f>
        <v/>
      </c>
      <c r="B1971" s="36"/>
      <c r="C1971" s="37"/>
      <c r="D1971" s="37"/>
      <c r="E1971" s="38"/>
      <c r="F1971" s="36"/>
      <c r="G1971" s="39"/>
      <c r="H1971" s="39"/>
      <c r="I1971" s="36"/>
      <c r="J1971" s="36"/>
      <c r="K1971" s="36"/>
      <c r="L1971" s="36"/>
      <c r="M1971" s="40" t="str">
        <f aca="false">IF($F1971="","",$F1971&amp;IF($G1971="",""," - RT "&amp;$G1971&amp;IF($H1971="","","/"&amp;$H1971)))</f>
        <v/>
      </c>
      <c r="N1971" s="36"/>
      <c r="O1971" s="37"/>
      <c r="P1971" s="39"/>
      <c r="Q1971" s="41"/>
      <c r="R1971" s="35" t="str">
        <f aca="true">IF(OR($B1971="",$Q1971=""),"",DATEDIF($Q1971,TODAY(),"Y"))</f>
        <v/>
      </c>
      <c r="S1971" s="40" t="str">
        <f aca="false">IF($R1971="","",INDEX(usia_label,MATCH($R1971,usia_min,1)))</f>
        <v/>
      </c>
      <c r="T1971" s="36"/>
      <c r="U1971" s="41"/>
      <c r="V1971" s="36"/>
      <c r="W1971" s="36"/>
      <c r="X1971" s="40" t="str">
        <f aca="false">IF($M1971="","",$M1971&amp;"#"&amp;COUNTIF($M$4:$M1971,$M1971))</f>
        <v/>
      </c>
      <c r="Y1971" s="40" t="str">
        <f aca="false">IF($B1971="","",IF($C1971="","NIK kosong",IF(LEN($C1971)&lt;&gt;16,"NIK bukan 16 digit",IF(COUNTIF($C$4:$C$2003,$C1971&amp;"*")&gt;1,"NIK ganda",IF(AND($D1971&lt;&gt;"",LEN($D1971)&lt;&gt;16),"No. KK bukan 16 digit",IF(AND($F1971="",$I1971=""),"Alamat kosong",IF($N1971="","Jabatan kosong",IF($O1971="","No. HP kosong",IF(AND($R1971&lt;&gt;"",$R1971&lt;17),"Usia di bawah 17","")))))))))</f>
        <v/>
      </c>
      <c r="Z1971" s="40" t="str">
        <f aca="false">IF($B1971="","",IF(AND(OR(CARI!$C$5="",ISNUMBER(SEARCH(CARI!$C$5,$B1971&amp;" "&amp;$C1971&amp;" "&amp;$D1971&amp;" "&amp;$O1971&amp;" "&amp;$I1971&amp;" "&amp;$F1971&amp;" "&amp;$J1971&amp;" "&amp;$K1971&amp;" "&amp;$L1971&amp;" "&amp;$V1971))),OR(CARI!$C$6="",$F1971=CARI!$C$6),OR(CARI!$C$7="",$G1971=CARI!$C$7),OR(CARI!$C$8="",$T1971=CARI!$C$8)),MAX($Z$3:Z1970)+1,""))</f>
        <v/>
      </c>
      <c r="AA1971" s="40" t="str">
        <f aca="false">IF($Y1971="","",MAX($AA$3:AA1970)+1)</f>
        <v/>
      </c>
      <c r="AB1971" s="40" t="str">
        <f aca="false">IF($F1971="","",$F1971&amp;"#"&amp;COUNTIF($F$4:$F1971,$F1971))</f>
        <v/>
      </c>
      <c r="AC1971" s="40" t="str">
        <f aca="false">IF($B1971="","",IF(AND(OR(CETAK!$J$10="",$F1971=CETAK!$J$10),OR(CETAK!$J$11="",$G1971=CETAK!$J$11),OR(CETAK!$J$12="",$P1971=CETAK!$J$12),OR(CETAK!$J$13="",$N1971=CETAK!$J$13),OR(CETAK!$J$14="",$T1971=CETAK!$J$14)),MAX($AC$3:AC1970)+1,""))</f>
        <v/>
      </c>
      <c r="AD1971" s="40" t="str">
        <f aca="false">IF($B1971="","",IF(AND(OR(ABSENSI!$H$10="",$F1971=ABSENSI!$H$10),OR(ABSENSI!$H$11="",$G1971=ABSENSI!$H$11),OR(ABSENSI!$H$12="",$P1971=ABSENSI!$H$12)),MAX($AD$3:AD1970)+1,""))</f>
        <v/>
      </c>
      <c r="AE1971" s="40" t="str">
        <f aca="false">IF($B1971="","",IF(AND(OR(KARTU!$K$6="",$F1971=KARTU!$K$6),OR(KARTU!$K$7="",$G1971=KARTU!$K$7),OR(KARTU!$K$8="",$P1971=KARTU!$K$8)),MAX($AE$3:AE1970)+1,""))</f>
        <v/>
      </c>
    </row>
    <row r="1972" customFormat="false" ht="15" hidden="false" customHeight="false" outlineLevel="0" collapsed="false">
      <c r="A1972" s="35" t="str">
        <f aca="false">IF($B1972="","",COUNTA($B$4:$B1972))</f>
        <v/>
      </c>
      <c r="B1972" s="36"/>
      <c r="C1972" s="37"/>
      <c r="D1972" s="37"/>
      <c r="E1972" s="38"/>
      <c r="F1972" s="36"/>
      <c r="G1972" s="39"/>
      <c r="H1972" s="39"/>
      <c r="I1972" s="36"/>
      <c r="J1972" s="36"/>
      <c r="K1972" s="36"/>
      <c r="L1972" s="36"/>
      <c r="M1972" s="40" t="str">
        <f aca="false">IF($F1972="","",$F1972&amp;IF($G1972="",""," - RT "&amp;$G1972&amp;IF($H1972="","","/"&amp;$H1972)))</f>
        <v/>
      </c>
      <c r="N1972" s="36"/>
      <c r="O1972" s="37"/>
      <c r="P1972" s="39"/>
      <c r="Q1972" s="41"/>
      <c r="R1972" s="35" t="str">
        <f aca="true">IF(OR($B1972="",$Q1972=""),"",DATEDIF($Q1972,TODAY(),"Y"))</f>
        <v/>
      </c>
      <c r="S1972" s="40" t="str">
        <f aca="false">IF($R1972="","",INDEX(usia_label,MATCH($R1972,usia_min,1)))</f>
        <v/>
      </c>
      <c r="T1972" s="36"/>
      <c r="U1972" s="41"/>
      <c r="V1972" s="36"/>
      <c r="W1972" s="36"/>
      <c r="X1972" s="40" t="str">
        <f aca="false">IF($M1972="","",$M1972&amp;"#"&amp;COUNTIF($M$4:$M1972,$M1972))</f>
        <v/>
      </c>
      <c r="Y1972" s="40" t="str">
        <f aca="false">IF($B1972="","",IF($C1972="","NIK kosong",IF(LEN($C1972)&lt;&gt;16,"NIK bukan 16 digit",IF(COUNTIF($C$4:$C$2003,$C1972&amp;"*")&gt;1,"NIK ganda",IF(AND($D1972&lt;&gt;"",LEN($D1972)&lt;&gt;16),"No. KK bukan 16 digit",IF(AND($F1972="",$I1972=""),"Alamat kosong",IF($N1972="","Jabatan kosong",IF($O1972="","No. HP kosong",IF(AND($R1972&lt;&gt;"",$R1972&lt;17),"Usia di bawah 17","")))))))))</f>
        <v/>
      </c>
      <c r="Z1972" s="40" t="str">
        <f aca="false">IF($B1972="","",IF(AND(OR(CARI!$C$5="",ISNUMBER(SEARCH(CARI!$C$5,$B1972&amp;" "&amp;$C1972&amp;" "&amp;$D1972&amp;" "&amp;$O1972&amp;" "&amp;$I1972&amp;" "&amp;$F1972&amp;" "&amp;$J1972&amp;" "&amp;$K1972&amp;" "&amp;$L1972&amp;" "&amp;$V1972))),OR(CARI!$C$6="",$F1972=CARI!$C$6),OR(CARI!$C$7="",$G1972=CARI!$C$7),OR(CARI!$C$8="",$T1972=CARI!$C$8)),MAX($Z$3:Z1971)+1,""))</f>
        <v/>
      </c>
      <c r="AA1972" s="40" t="str">
        <f aca="false">IF($Y1972="","",MAX($AA$3:AA1971)+1)</f>
        <v/>
      </c>
      <c r="AB1972" s="40" t="str">
        <f aca="false">IF($F1972="","",$F1972&amp;"#"&amp;COUNTIF($F$4:$F1972,$F1972))</f>
        <v/>
      </c>
      <c r="AC1972" s="40" t="str">
        <f aca="false">IF($B1972="","",IF(AND(OR(CETAK!$J$10="",$F1972=CETAK!$J$10),OR(CETAK!$J$11="",$G1972=CETAK!$J$11),OR(CETAK!$J$12="",$P1972=CETAK!$J$12),OR(CETAK!$J$13="",$N1972=CETAK!$J$13),OR(CETAK!$J$14="",$T1972=CETAK!$J$14)),MAX($AC$3:AC1971)+1,""))</f>
        <v/>
      </c>
      <c r="AD1972" s="40" t="str">
        <f aca="false">IF($B1972="","",IF(AND(OR(ABSENSI!$H$10="",$F1972=ABSENSI!$H$10),OR(ABSENSI!$H$11="",$G1972=ABSENSI!$H$11),OR(ABSENSI!$H$12="",$P1972=ABSENSI!$H$12)),MAX($AD$3:AD1971)+1,""))</f>
        <v/>
      </c>
      <c r="AE1972" s="40" t="str">
        <f aca="false">IF($B1972="","",IF(AND(OR(KARTU!$K$6="",$F1972=KARTU!$K$6),OR(KARTU!$K$7="",$G1972=KARTU!$K$7),OR(KARTU!$K$8="",$P1972=KARTU!$K$8)),MAX($AE$3:AE1971)+1,""))</f>
        <v/>
      </c>
    </row>
    <row r="1973" customFormat="false" ht="15" hidden="false" customHeight="false" outlineLevel="0" collapsed="false">
      <c r="A1973" s="35" t="str">
        <f aca="false">IF($B1973="","",COUNTA($B$4:$B1973))</f>
        <v/>
      </c>
      <c r="B1973" s="36"/>
      <c r="C1973" s="37"/>
      <c r="D1973" s="37"/>
      <c r="E1973" s="38"/>
      <c r="F1973" s="36"/>
      <c r="G1973" s="39"/>
      <c r="H1973" s="39"/>
      <c r="I1973" s="36"/>
      <c r="J1973" s="36"/>
      <c r="K1973" s="36"/>
      <c r="L1973" s="36"/>
      <c r="M1973" s="40" t="str">
        <f aca="false">IF($F1973="","",$F1973&amp;IF($G1973="",""," - RT "&amp;$G1973&amp;IF($H1973="","","/"&amp;$H1973)))</f>
        <v/>
      </c>
      <c r="N1973" s="36"/>
      <c r="O1973" s="37"/>
      <c r="P1973" s="39"/>
      <c r="Q1973" s="41"/>
      <c r="R1973" s="35" t="str">
        <f aca="true">IF(OR($B1973="",$Q1973=""),"",DATEDIF($Q1973,TODAY(),"Y"))</f>
        <v/>
      </c>
      <c r="S1973" s="40" t="str">
        <f aca="false">IF($R1973="","",INDEX(usia_label,MATCH($R1973,usia_min,1)))</f>
        <v/>
      </c>
      <c r="T1973" s="36"/>
      <c r="U1973" s="41"/>
      <c r="V1973" s="36"/>
      <c r="W1973" s="36"/>
      <c r="X1973" s="40" t="str">
        <f aca="false">IF($M1973="","",$M1973&amp;"#"&amp;COUNTIF($M$4:$M1973,$M1973))</f>
        <v/>
      </c>
      <c r="Y1973" s="40" t="str">
        <f aca="false">IF($B1973="","",IF($C1973="","NIK kosong",IF(LEN($C1973)&lt;&gt;16,"NIK bukan 16 digit",IF(COUNTIF($C$4:$C$2003,$C1973&amp;"*")&gt;1,"NIK ganda",IF(AND($D1973&lt;&gt;"",LEN($D1973)&lt;&gt;16),"No. KK bukan 16 digit",IF(AND($F1973="",$I1973=""),"Alamat kosong",IF($N1973="","Jabatan kosong",IF($O1973="","No. HP kosong",IF(AND($R1973&lt;&gt;"",$R1973&lt;17),"Usia di bawah 17","")))))))))</f>
        <v/>
      </c>
      <c r="Z1973" s="40" t="str">
        <f aca="false">IF($B1973="","",IF(AND(OR(CARI!$C$5="",ISNUMBER(SEARCH(CARI!$C$5,$B1973&amp;" "&amp;$C1973&amp;" "&amp;$D1973&amp;" "&amp;$O1973&amp;" "&amp;$I1973&amp;" "&amp;$F1973&amp;" "&amp;$J1973&amp;" "&amp;$K1973&amp;" "&amp;$L1973&amp;" "&amp;$V1973))),OR(CARI!$C$6="",$F1973=CARI!$C$6),OR(CARI!$C$7="",$G1973=CARI!$C$7),OR(CARI!$C$8="",$T1973=CARI!$C$8)),MAX($Z$3:Z1972)+1,""))</f>
        <v/>
      </c>
      <c r="AA1973" s="40" t="str">
        <f aca="false">IF($Y1973="","",MAX($AA$3:AA1972)+1)</f>
        <v/>
      </c>
      <c r="AB1973" s="40" t="str">
        <f aca="false">IF($F1973="","",$F1973&amp;"#"&amp;COUNTIF($F$4:$F1973,$F1973))</f>
        <v/>
      </c>
      <c r="AC1973" s="40" t="str">
        <f aca="false">IF($B1973="","",IF(AND(OR(CETAK!$J$10="",$F1973=CETAK!$J$10),OR(CETAK!$J$11="",$G1973=CETAK!$J$11),OR(CETAK!$J$12="",$P1973=CETAK!$J$12),OR(CETAK!$J$13="",$N1973=CETAK!$J$13),OR(CETAK!$J$14="",$T1973=CETAK!$J$14)),MAX($AC$3:AC1972)+1,""))</f>
        <v/>
      </c>
      <c r="AD1973" s="40" t="str">
        <f aca="false">IF($B1973="","",IF(AND(OR(ABSENSI!$H$10="",$F1973=ABSENSI!$H$10),OR(ABSENSI!$H$11="",$G1973=ABSENSI!$H$11),OR(ABSENSI!$H$12="",$P1973=ABSENSI!$H$12)),MAX($AD$3:AD1972)+1,""))</f>
        <v/>
      </c>
      <c r="AE1973" s="40" t="str">
        <f aca="false">IF($B1973="","",IF(AND(OR(KARTU!$K$6="",$F1973=KARTU!$K$6),OR(KARTU!$K$7="",$G1973=KARTU!$K$7),OR(KARTU!$K$8="",$P1973=KARTU!$K$8)),MAX($AE$3:AE1972)+1,""))</f>
        <v/>
      </c>
    </row>
    <row r="1974" customFormat="false" ht="15" hidden="false" customHeight="false" outlineLevel="0" collapsed="false">
      <c r="A1974" s="35" t="str">
        <f aca="false">IF($B1974="","",COUNTA($B$4:$B1974))</f>
        <v/>
      </c>
      <c r="B1974" s="36"/>
      <c r="C1974" s="37"/>
      <c r="D1974" s="37"/>
      <c r="E1974" s="38"/>
      <c r="F1974" s="36"/>
      <c r="G1974" s="39"/>
      <c r="H1974" s="39"/>
      <c r="I1974" s="36"/>
      <c r="J1974" s="36"/>
      <c r="K1974" s="36"/>
      <c r="L1974" s="36"/>
      <c r="M1974" s="40" t="str">
        <f aca="false">IF($F1974="","",$F1974&amp;IF($G1974="",""," - RT "&amp;$G1974&amp;IF($H1974="","","/"&amp;$H1974)))</f>
        <v/>
      </c>
      <c r="N1974" s="36"/>
      <c r="O1974" s="37"/>
      <c r="P1974" s="39"/>
      <c r="Q1974" s="41"/>
      <c r="R1974" s="35" t="str">
        <f aca="true">IF(OR($B1974="",$Q1974=""),"",DATEDIF($Q1974,TODAY(),"Y"))</f>
        <v/>
      </c>
      <c r="S1974" s="40" t="str">
        <f aca="false">IF($R1974="","",INDEX(usia_label,MATCH($R1974,usia_min,1)))</f>
        <v/>
      </c>
      <c r="T1974" s="36"/>
      <c r="U1974" s="41"/>
      <c r="V1974" s="36"/>
      <c r="W1974" s="36"/>
      <c r="X1974" s="40" t="str">
        <f aca="false">IF($M1974="","",$M1974&amp;"#"&amp;COUNTIF($M$4:$M1974,$M1974))</f>
        <v/>
      </c>
      <c r="Y1974" s="40" t="str">
        <f aca="false">IF($B1974="","",IF($C1974="","NIK kosong",IF(LEN($C1974)&lt;&gt;16,"NIK bukan 16 digit",IF(COUNTIF($C$4:$C$2003,$C1974&amp;"*")&gt;1,"NIK ganda",IF(AND($D1974&lt;&gt;"",LEN($D1974)&lt;&gt;16),"No. KK bukan 16 digit",IF(AND($F1974="",$I1974=""),"Alamat kosong",IF($N1974="","Jabatan kosong",IF($O1974="","No. HP kosong",IF(AND($R1974&lt;&gt;"",$R1974&lt;17),"Usia di bawah 17","")))))))))</f>
        <v/>
      </c>
      <c r="Z1974" s="40" t="str">
        <f aca="false">IF($B1974="","",IF(AND(OR(CARI!$C$5="",ISNUMBER(SEARCH(CARI!$C$5,$B1974&amp;" "&amp;$C1974&amp;" "&amp;$D1974&amp;" "&amp;$O1974&amp;" "&amp;$I1974&amp;" "&amp;$F1974&amp;" "&amp;$J1974&amp;" "&amp;$K1974&amp;" "&amp;$L1974&amp;" "&amp;$V1974))),OR(CARI!$C$6="",$F1974=CARI!$C$6),OR(CARI!$C$7="",$G1974=CARI!$C$7),OR(CARI!$C$8="",$T1974=CARI!$C$8)),MAX($Z$3:Z1973)+1,""))</f>
        <v/>
      </c>
      <c r="AA1974" s="40" t="str">
        <f aca="false">IF($Y1974="","",MAX($AA$3:AA1973)+1)</f>
        <v/>
      </c>
      <c r="AB1974" s="40" t="str">
        <f aca="false">IF($F1974="","",$F1974&amp;"#"&amp;COUNTIF($F$4:$F1974,$F1974))</f>
        <v/>
      </c>
      <c r="AC1974" s="40" t="str">
        <f aca="false">IF($B1974="","",IF(AND(OR(CETAK!$J$10="",$F1974=CETAK!$J$10),OR(CETAK!$J$11="",$G1974=CETAK!$J$11),OR(CETAK!$J$12="",$P1974=CETAK!$J$12),OR(CETAK!$J$13="",$N1974=CETAK!$J$13),OR(CETAK!$J$14="",$T1974=CETAK!$J$14)),MAX($AC$3:AC1973)+1,""))</f>
        <v/>
      </c>
      <c r="AD1974" s="40" t="str">
        <f aca="false">IF($B1974="","",IF(AND(OR(ABSENSI!$H$10="",$F1974=ABSENSI!$H$10),OR(ABSENSI!$H$11="",$G1974=ABSENSI!$H$11),OR(ABSENSI!$H$12="",$P1974=ABSENSI!$H$12)),MAX($AD$3:AD1973)+1,""))</f>
        <v/>
      </c>
      <c r="AE1974" s="40" t="str">
        <f aca="false">IF($B1974="","",IF(AND(OR(KARTU!$K$6="",$F1974=KARTU!$K$6),OR(KARTU!$K$7="",$G1974=KARTU!$K$7),OR(KARTU!$K$8="",$P1974=KARTU!$K$8)),MAX($AE$3:AE1973)+1,""))</f>
        <v/>
      </c>
    </row>
    <row r="1975" customFormat="false" ht="15" hidden="false" customHeight="false" outlineLevel="0" collapsed="false">
      <c r="A1975" s="35" t="str">
        <f aca="false">IF($B1975="","",COUNTA($B$4:$B1975))</f>
        <v/>
      </c>
      <c r="B1975" s="36"/>
      <c r="C1975" s="37"/>
      <c r="D1975" s="37"/>
      <c r="E1975" s="38"/>
      <c r="F1975" s="36"/>
      <c r="G1975" s="39"/>
      <c r="H1975" s="39"/>
      <c r="I1975" s="36"/>
      <c r="J1975" s="36"/>
      <c r="K1975" s="36"/>
      <c r="L1975" s="36"/>
      <c r="M1975" s="40" t="str">
        <f aca="false">IF($F1975="","",$F1975&amp;IF($G1975="",""," - RT "&amp;$G1975&amp;IF($H1975="","","/"&amp;$H1975)))</f>
        <v/>
      </c>
      <c r="N1975" s="36"/>
      <c r="O1975" s="37"/>
      <c r="P1975" s="39"/>
      <c r="Q1975" s="41"/>
      <c r="R1975" s="35" t="str">
        <f aca="true">IF(OR($B1975="",$Q1975=""),"",DATEDIF($Q1975,TODAY(),"Y"))</f>
        <v/>
      </c>
      <c r="S1975" s="40" t="str">
        <f aca="false">IF($R1975="","",INDEX(usia_label,MATCH($R1975,usia_min,1)))</f>
        <v/>
      </c>
      <c r="T1975" s="36"/>
      <c r="U1975" s="41"/>
      <c r="V1975" s="36"/>
      <c r="W1975" s="36"/>
      <c r="X1975" s="40" t="str">
        <f aca="false">IF($M1975="","",$M1975&amp;"#"&amp;COUNTIF($M$4:$M1975,$M1975))</f>
        <v/>
      </c>
      <c r="Y1975" s="40" t="str">
        <f aca="false">IF($B1975="","",IF($C1975="","NIK kosong",IF(LEN($C1975)&lt;&gt;16,"NIK bukan 16 digit",IF(COUNTIF($C$4:$C$2003,$C1975&amp;"*")&gt;1,"NIK ganda",IF(AND($D1975&lt;&gt;"",LEN($D1975)&lt;&gt;16),"No. KK bukan 16 digit",IF(AND($F1975="",$I1975=""),"Alamat kosong",IF($N1975="","Jabatan kosong",IF($O1975="","No. HP kosong",IF(AND($R1975&lt;&gt;"",$R1975&lt;17),"Usia di bawah 17","")))))))))</f>
        <v/>
      </c>
      <c r="Z1975" s="40" t="str">
        <f aca="false">IF($B1975="","",IF(AND(OR(CARI!$C$5="",ISNUMBER(SEARCH(CARI!$C$5,$B1975&amp;" "&amp;$C1975&amp;" "&amp;$D1975&amp;" "&amp;$O1975&amp;" "&amp;$I1975&amp;" "&amp;$F1975&amp;" "&amp;$J1975&amp;" "&amp;$K1975&amp;" "&amp;$L1975&amp;" "&amp;$V1975))),OR(CARI!$C$6="",$F1975=CARI!$C$6),OR(CARI!$C$7="",$G1975=CARI!$C$7),OR(CARI!$C$8="",$T1975=CARI!$C$8)),MAX($Z$3:Z1974)+1,""))</f>
        <v/>
      </c>
      <c r="AA1975" s="40" t="str">
        <f aca="false">IF($Y1975="","",MAX($AA$3:AA1974)+1)</f>
        <v/>
      </c>
      <c r="AB1975" s="40" t="str">
        <f aca="false">IF($F1975="","",$F1975&amp;"#"&amp;COUNTIF($F$4:$F1975,$F1975))</f>
        <v/>
      </c>
      <c r="AC1975" s="40" t="str">
        <f aca="false">IF($B1975="","",IF(AND(OR(CETAK!$J$10="",$F1975=CETAK!$J$10),OR(CETAK!$J$11="",$G1975=CETAK!$J$11),OR(CETAK!$J$12="",$P1975=CETAK!$J$12),OR(CETAK!$J$13="",$N1975=CETAK!$J$13),OR(CETAK!$J$14="",$T1975=CETAK!$J$14)),MAX($AC$3:AC1974)+1,""))</f>
        <v/>
      </c>
      <c r="AD1975" s="40" t="str">
        <f aca="false">IF($B1975="","",IF(AND(OR(ABSENSI!$H$10="",$F1975=ABSENSI!$H$10),OR(ABSENSI!$H$11="",$G1975=ABSENSI!$H$11),OR(ABSENSI!$H$12="",$P1975=ABSENSI!$H$12)),MAX($AD$3:AD1974)+1,""))</f>
        <v/>
      </c>
      <c r="AE1975" s="40" t="str">
        <f aca="false">IF($B1975="","",IF(AND(OR(KARTU!$K$6="",$F1975=KARTU!$K$6),OR(KARTU!$K$7="",$G1975=KARTU!$K$7),OR(KARTU!$K$8="",$P1975=KARTU!$K$8)),MAX($AE$3:AE1974)+1,""))</f>
        <v/>
      </c>
    </row>
    <row r="1976" customFormat="false" ht="15" hidden="false" customHeight="false" outlineLevel="0" collapsed="false">
      <c r="A1976" s="35" t="str">
        <f aca="false">IF($B1976="","",COUNTA($B$4:$B1976))</f>
        <v/>
      </c>
      <c r="B1976" s="36"/>
      <c r="C1976" s="37"/>
      <c r="D1976" s="37"/>
      <c r="E1976" s="38"/>
      <c r="F1976" s="36"/>
      <c r="G1976" s="39"/>
      <c r="H1976" s="39"/>
      <c r="I1976" s="36"/>
      <c r="J1976" s="36"/>
      <c r="K1976" s="36"/>
      <c r="L1976" s="36"/>
      <c r="M1976" s="40" t="str">
        <f aca="false">IF($F1976="","",$F1976&amp;IF($G1976="",""," - RT "&amp;$G1976&amp;IF($H1976="","","/"&amp;$H1976)))</f>
        <v/>
      </c>
      <c r="N1976" s="36"/>
      <c r="O1976" s="37"/>
      <c r="P1976" s="39"/>
      <c r="Q1976" s="41"/>
      <c r="R1976" s="35" t="str">
        <f aca="true">IF(OR($B1976="",$Q1976=""),"",DATEDIF($Q1976,TODAY(),"Y"))</f>
        <v/>
      </c>
      <c r="S1976" s="40" t="str">
        <f aca="false">IF($R1976="","",INDEX(usia_label,MATCH($R1976,usia_min,1)))</f>
        <v/>
      </c>
      <c r="T1976" s="36"/>
      <c r="U1976" s="41"/>
      <c r="V1976" s="36"/>
      <c r="W1976" s="36"/>
      <c r="X1976" s="40" t="str">
        <f aca="false">IF($M1976="","",$M1976&amp;"#"&amp;COUNTIF($M$4:$M1976,$M1976))</f>
        <v/>
      </c>
      <c r="Y1976" s="40" t="str">
        <f aca="false">IF($B1976="","",IF($C1976="","NIK kosong",IF(LEN($C1976)&lt;&gt;16,"NIK bukan 16 digit",IF(COUNTIF($C$4:$C$2003,$C1976&amp;"*")&gt;1,"NIK ganda",IF(AND($D1976&lt;&gt;"",LEN($D1976)&lt;&gt;16),"No. KK bukan 16 digit",IF(AND($F1976="",$I1976=""),"Alamat kosong",IF($N1976="","Jabatan kosong",IF($O1976="","No. HP kosong",IF(AND($R1976&lt;&gt;"",$R1976&lt;17),"Usia di bawah 17","")))))))))</f>
        <v/>
      </c>
      <c r="Z1976" s="40" t="str">
        <f aca="false">IF($B1976="","",IF(AND(OR(CARI!$C$5="",ISNUMBER(SEARCH(CARI!$C$5,$B1976&amp;" "&amp;$C1976&amp;" "&amp;$D1976&amp;" "&amp;$O1976&amp;" "&amp;$I1976&amp;" "&amp;$F1976&amp;" "&amp;$J1976&amp;" "&amp;$K1976&amp;" "&amp;$L1976&amp;" "&amp;$V1976))),OR(CARI!$C$6="",$F1976=CARI!$C$6),OR(CARI!$C$7="",$G1976=CARI!$C$7),OR(CARI!$C$8="",$T1976=CARI!$C$8)),MAX($Z$3:Z1975)+1,""))</f>
        <v/>
      </c>
      <c r="AA1976" s="40" t="str">
        <f aca="false">IF($Y1976="","",MAX($AA$3:AA1975)+1)</f>
        <v/>
      </c>
      <c r="AB1976" s="40" t="str">
        <f aca="false">IF($F1976="","",$F1976&amp;"#"&amp;COUNTIF($F$4:$F1976,$F1976))</f>
        <v/>
      </c>
      <c r="AC1976" s="40" t="str">
        <f aca="false">IF($B1976="","",IF(AND(OR(CETAK!$J$10="",$F1976=CETAK!$J$10),OR(CETAK!$J$11="",$G1976=CETAK!$J$11),OR(CETAK!$J$12="",$P1976=CETAK!$J$12),OR(CETAK!$J$13="",$N1976=CETAK!$J$13),OR(CETAK!$J$14="",$T1976=CETAK!$J$14)),MAX($AC$3:AC1975)+1,""))</f>
        <v/>
      </c>
      <c r="AD1976" s="40" t="str">
        <f aca="false">IF($B1976="","",IF(AND(OR(ABSENSI!$H$10="",$F1976=ABSENSI!$H$10),OR(ABSENSI!$H$11="",$G1976=ABSENSI!$H$11),OR(ABSENSI!$H$12="",$P1976=ABSENSI!$H$12)),MAX($AD$3:AD1975)+1,""))</f>
        <v/>
      </c>
      <c r="AE1976" s="40" t="str">
        <f aca="false">IF($B1976="","",IF(AND(OR(KARTU!$K$6="",$F1976=KARTU!$K$6),OR(KARTU!$K$7="",$G1976=KARTU!$K$7),OR(KARTU!$K$8="",$P1976=KARTU!$K$8)),MAX($AE$3:AE1975)+1,""))</f>
        <v/>
      </c>
    </row>
    <row r="1977" customFormat="false" ht="15" hidden="false" customHeight="false" outlineLevel="0" collapsed="false">
      <c r="A1977" s="35" t="str">
        <f aca="false">IF($B1977="","",COUNTA($B$4:$B1977))</f>
        <v/>
      </c>
      <c r="B1977" s="36"/>
      <c r="C1977" s="37"/>
      <c r="D1977" s="37"/>
      <c r="E1977" s="38"/>
      <c r="F1977" s="36"/>
      <c r="G1977" s="39"/>
      <c r="H1977" s="39"/>
      <c r="I1977" s="36"/>
      <c r="J1977" s="36"/>
      <c r="K1977" s="36"/>
      <c r="L1977" s="36"/>
      <c r="M1977" s="40" t="str">
        <f aca="false">IF($F1977="","",$F1977&amp;IF($G1977="",""," - RT "&amp;$G1977&amp;IF($H1977="","","/"&amp;$H1977)))</f>
        <v/>
      </c>
      <c r="N1977" s="36"/>
      <c r="O1977" s="37"/>
      <c r="P1977" s="39"/>
      <c r="Q1977" s="41"/>
      <c r="R1977" s="35" t="str">
        <f aca="true">IF(OR($B1977="",$Q1977=""),"",DATEDIF($Q1977,TODAY(),"Y"))</f>
        <v/>
      </c>
      <c r="S1977" s="40" t="str">
        <f aca="false">IF($R1977="","",INDEX(usia_label,MATCH($R1977,usia_min,1)))</f>
        <v/>
      </c>
      <c r="T1977" s="36"/>
      <c r="U1977" s="41"/>
      <c r="V1977" s="36"/>
      <c r="W1977" s="36"/>
      <c r="X1977" s="40" t="str">
        <f aca="false">IF($M1977="","",$M1977&amp;"#"&amp;COUNTIF($M$4:$M1977,$M1977))</f>
        <v/>
      </c>
      <c r="Y1977" s="40" t="str">
        <f aca="false">IF($B1977="","",IF($C1977="","NIK kosong",IF(LEN($C1977)&lt;&gt;16,"NIK bukan 16 digit",IF(COUNTIF($C$4:$C$2003,$C1977&amp;"*")&gt;1,"NIK ganda",IF(AND($D1977&lt;&gt;"",LEN($D1977)&lt;&gt;16),"No. KK bukan 16 digit",IF(AND($F1977="",$I1977=""),"Alamat kosong",IF($N1977="","Jabatan kosong",IF($O1977="","No. HP kosong",IF(AND($R1977&lt;&gt;"",$R1977&lt;17),"Usia di bawah 17","")))))))))</f>
        <v/>
      </c>
      <c r="Z1977" s="40" t="str">
        <f aca="false">IF($B1977="","",IF(AND(OR(CARI!$C$5="",ISNUMBER(SEARCH(CARI!$C$5,$B1977&amp;" "&amp;$C1977&amp;" "&amp;$D1977&amp;" "&amp;$O1977&amp;" "&amp;$I1977&amp;" "&amp;$F1977&amp;" "&amp;$J1977&amp;" "&amp;$K1977&amp;" "&amp;$L1977&amp;" "&amp;$V1977))),OR(CARI!$C$6="",$F1977=CARI!$C$6),OR(CARI!$C$7="",$G1977=CARI!$C$7),OR(CARI!$C$8="",$T1977=CARI!$C$8)),MAX($Z$3:Z1976)+1,""))</f>
        <v/>
      </c>
      <c r="AA1977" s="40" t="str">
        <f aca="false">IF($Y1977="","",MAX($AA$3:AA1976)+1)</f>
        <v/>
      </c>
      <c r="AB1977" s="40" t="str">
        <f aca="false">IF($F1977="","",$F1977&amp;"#"&amp;COUNTIF($F$4:$F1977,$F1977))</f>
        <v/>
      </c>
      <c r="AC1977" s="40" t="str">
        <f aca="false">IF($B1977="","",IF(AND(OR(CETAK!$J$10="",$F1977=CETAK!$J$10),OR(CETAK!$J$11="",$G1977=CETAK!$J$11),OR(CETAK!$J$12="",$P1977=CETAK!$J$12),OR(CETAK!$J$13="",$N1977=CETAK!$J$13),OR(CETAK!$J$14="",$T1977=CETAK!$J$14)),MAX($AC$3:AC1976)+1,""))</f>
        <v/>
      </c>
      <c r="AD1977" s="40" t="str">
        <f aca="false">IF($B1977="","",IF(AND(OR(ABSENSI!$H$10="",$F1977=ABSENSI!$H$10),OR(ABSENSI!$H$11="",$G1977=ABSENSI!$H$11),OR(ABSENSI!$H$12="",$P1977=ABSENSI!$H$12)),MAX($AD$3:AD1976)+1,""))</f>
        <v/>
      </c>
      <c r="AE1977" s="40" t="str">
        <f aca="false">IF($B1977="","",IF(AND(OR(KARTU!$K$6="",$F1977=KARTU!$K$6),OR(KARTU!$K$7="",$G1977=KARTU!$K$7),OR(KARTU!$K$8="",$P1977=KARTU!$K$8)),MAX($AE$3:AE1976)+1,""))</f>
        <v/>
      </c>
    </row>
    <row r="1978" customFormat="false" ht="15" hidden="false" customHeight="false" outlineLevel="0" collapsed="false">
      <c r="A1978" s="35" t="str">
        <f aca="false">IF($B1978="","",COUNTA($B$4:$B1978))</f>
        <v/>
      </c>
      <c r="B1978" s="36"/>
      <c r="C1978" s="37"/>
      <c r="D1978" s="37"/>
      <c r="E1978" s="38"/>
      <c r="F1978" s="36"/>
      <c r="G1978" s="39"/>
      <c r="H1978" s="39"/>
      <c r="I1978" s="36"/>
      <c r="J1978" s="36"/>
      <c r="K1978" s="36"/>
      <c r="L1978" s="36"/>
      <c r="M1978" s="40" t="str">
        <f aca="false">IF($F1978="","",$F1978&amp;IF($G1978="",""," - RT "&amp;$G1978&amp;IF($H1978="","","/"&amp;$H1978)))</f>
        <v/>
      </c>
      <c r="N1978" s="36"/>
      <c r="O1978" s="37"/>
      <c r="P1978" s="39"/>
      <c r="Q1978" s="41"/>
      <c r="R1978" s="35" t="str">
        <f aca="true">IF(OR($B1978="",$Q1978=""),"",DATEDIF($Q1978,TODAY(),"Y"))</f>
        <v/>
      </c>
      <c r="S1978" s="40" t="str">
        <f aca="false">IF($R1978="","",INDEX(usia_label,MATCH($R1978,usia_min,1)))</f>
        <v/>
      </c>
      <c r="T1978" s="36"/>
      <c r="U1978" s="41"/>
      <c r="V1978" s="36"/>
      <c r="W1978" s="36"/>
      <c r="X1978" s="40" t="str">
        <f aca="false">IF($M1978="","",$M1978&amp;"#"&amp;COUNTIF($M$4:$M1978,$M1978))</f>
        <v/>
      </c>
      <c r="Y1978" s="40" t="str">
        <f aca="false">IF($B1978="","",IF($C1978="","NIK kosong",IF(LEN($C1978)&lt;&gt;16,"NIK bukan 16 digit",IF(COUNTIF($C$4:$C$2003,$C1978&amp;"*")&gt;1,"NIK ganda",IF(AND($D1978&lt;&gt;"",LEN($D1978)&lt;&gt;16),"No. KK bukan 16 digit",IF(AND($F1978="",$I1978=""),"Alamat kosong",IF($N1978="","Jabatan kosong",IF($O1978="","No. HP kosong",IF(AND($R1978&lt;&gt;"",$R1978&lt;17),"Usia di bawah 17","")))))))))</f>
        <v/>
      </c>
      <c r="Z1978" s="40" t="str">
        <f aca="false">IF($B1978="","",IF(AND(OR(CARI!$C$5="",ISNUMBER(SEARCH(CARI!$C$5,$B1978&amp;" "&amp;$C1978&amp;" "&amp;$D1978&amp;" "&amp;$O1978&amp;" "&amp;$I1978&amp;" "&amp;$F1978&amp;" "&amp;$J1978&amp;" "&amp;$K1978&amp;" "&amp;$L1978&amp;" "&amp;$V1978))),OR(CARI!$C$6="",$F1978=CARI!$C$6),OR(CARI!$C$7="",$G1978=CARI!$C$7),OR(CARI!$C$8="",$T1978=CARI!$C$8)),MAX($Z$3:Z1977)+1,""))</f>
        <v/>
      </c>
      <c r="AA1978" s="40" t="str">
        <f aca="false">IF($Y1978="","",MAX($AA$3:AA1977)+1)</f>
        <v/>
      </c>
      <c r="AB1978" s="40" t="str">
        <f aca="false">IF($F1978="","",$F1978&amp;"#"&amp;COUNTIF($F$4:$F1978,$F1978))</f>
        <v/>
      </c>
      <c r="AC1978" s="40" t="str">
        <f aca="false">IF($B1978="","",IF(AND(OR(CETAK!$J$10="",$F1978=CETAK!$J$10),OR(CETAK!$J$11="",$G1978=CETAK!$J$11),OR(CETAK!$J$12="",$P1978=CETAK!$J$12),OR(CETAK!$J$13="",$N1978=CETAK!$J$13),OR(CETAK!$J$14="",$T1978=CETAK!$J$14)),MAX($AC$3:AC1977)+1,""))</f>
        <v/>
      </c>
      <c r="AD1978" s="40" t="str">
        <f aca="false">IF($B1978="","",IF(AND(OR(ABSENSI!$H$10="",$F1978=ABSENSI!$H$10),OR(ABSENSI!$H$11="",$G1978=ABSENSI!$H$11),OR(ABSENSI!$H$12="",$P1978=ABSENSI!$H$12)),MAX($AD$3:AD1977)+1,""))</f>
        <v/>
      </c>
      <c r="AE1978" s="40" t="str">
        <f aca="false">IF($B1978="","",IF(AND(OR(KARTU!$K$6="",$F1978=KARTU!$K$6),OR(KARTU!$K$7="",$G1978=KARTU!$K$7),OR(KARTU!$K$8="",$P1978=KARTU!$K$8)),MAX($AE$3:AE1977)+1,""))</f>
        <v/>
      </c>
    </row>
    <row r="1979" customFormat="false" ht="15" hidden="false" customHeight="false" outlineLevel="0" collapsed="false">
      <c r="A1979" s="35" t="str">
        <f aca="false">IF($B1979="","",COUNTA($B$4:$B1979))</f>
        <v/>
      </c>
      <c r="B1979" s="36"/>
      <c r="C1979" s="37"/>
      <c r="D1979" s="37"/>
      <c r="E1979" s="38"/>
      <c r="F1979" s="36"/>
      <c r="G1979" s="39"/>
      <c r="H1979" s="39"/>
      <c r="I1979" s="36"/>
      <c r="J1979" s="36"/>
      <c r="K1979" s="36"/>
      <c r="L1979" s="36"/>
      <c r="M1979" s="40" t="str">
        <f aca="false">IF($F1979="","",$F1979&amp;IF($G1979="",""," - RT "&amp;$G1979&amp;IF($H1979="","","/"&amp;$H1979)))</f>
        <v/>
      </c>
      <c r="N1979" s="36"/>
      <c r="O1979" s="37"/>
      <c r="P1979" s="39"/>
      <c r="Q1979" s="41"/>
      <c r="R1979" s="35" t="str">
        <f aca="true">IF(OR($B1979="",$Q1979=""),"",DATEDIF($Q1979,TODAY(),"Y"))</f>
        <v/>
      </c>
      <c r="S1979" s="40" t="str">
        <f aca="false">IF($R1979="","",INDEX(usia_label,MATCH($R1979,usia_min,1)))</f>
        <v/>
      </c>
      <c r="T1979" s="36"/>
      <c r="U1979" s="41"/>
      <c r="V1979" s="36"/>
      <c r="W1979" s="36"/>
      <c r="X1979" s="40" t="str">
        <f aca="false">IF($M1979="","",$M1979&amp;"#"&amp;COUNTIF($M$4:$M1979,$M1979))</f>
        <v/>
      </c>
      <c r="Y1979" s="40" t="str">
        <f aca="false">IF($B1979="","",IF($C1979="","NIK kosong",IF(LEN($C1979)&lt;&gt;16,"NIK bukan 16 digit",IF(COUNTIF($C$4:$C$2003,$C1979&amp;"*")&gt;1,"NIK ganda",IF(AND($D1979&lt;&gt;"",LEN($D1979)&lt;&gt;16),"No. KK bukan 16 digit",IF(AND($F1979="",$I1979=""),"Alamat kosong",IF($N1979="","Jabatan kosong",IF($O1979="","No. HP kosong",IF(AND($R1979&lt;&gt;"",$R1979&lt;17),"Usia di bawah 17","")))))))))</f>
        <v/>
      </c>
      <c r="Z1979" s="40" t="str">
        <f aca="false">IF($B1979="","",IF(AND(OR(CARI!$C$5="",ISNUMBER(SEARCH(CARI!$C$5,$B1979&amp;" "&amp;$C1979&amp;" "&amp;$D1979&amp;" "&amp;$O1979&amp;" "&amp;$I1979&amp;" "&amp;$F1979&amp;" "&amp;$J1979&amp;" "&amp;$K1979&amp;" "&amp;$L1979&amp;" "&amp;$V1979))),OR(CARI!$C$6="",$F1979=CARI!$C$6),OR(CARI!$C$7="",$G1979=CARI!$C$7),OR(CARI!$C$8="",$T1979=CARI!$C$8)),MAX($Z$3:Z1978)+1,""))</f>
        <v/>
      </c>
      <c r="AA1979" s="40" t="str">
        <f aca="false">IF($Y1979="","",MAX($AA$3:AA1978)+1)</f>
        <v/>
      </c>
      <c r="AB1979" s="40" t="str">
        <f aca="false">IF($F1979="","",$F1979&amp;"#"&amp;COUNTIF($F$4:$F1979,$F1979))</f>
        <v/>
      </c>
      <c r="AC1979" s="40" t="str">
        <f aca="false">IF($B1979="","",IF(AND(OR(CETAK!$J$10="",$F1979=CETAK!$J$10),OR(CETAK!$J$11="",$G1979=CETAK!$J$11),OR(CETAK!$J$12="",$P1979=CETAK!$J$12),OR(CETAK!$J$13="",$N1979=CETAK!$J$13),OR(CETAK!$J$14="",$T1979=CETAK!$J$14)),MAX($AC$3:AC1978)+1,""))</f>
        <v/>
      </c>
      <c r="AD1979" s="40" t="str">
        <f aca="false">IF($B1979="","",IF(AND(OR(ABSENSI!$H$10="",$F1979=ABSENSI!$H$10),OR(ABSENSI!$H$11="",$G1979=ABSENSI!$H$11),OR(ABSENSI!$H$12="",$P1979=ABSENSI!$H$12)),MAX($AD$3:AD1978)+1,""))</f>
        <v/>
      </c>
      <c r="AE1979" s="40" t="str">
        <f aca="false">IF($B1979="","",IF(AND(OR(KARTU!$K$6="",$F1979=KARTU!$K$6),OR(KARTU!$K$7="",$G1979=KARTU!$K$7),OR(KARTU!$K$8="",$P1979=KARTU!$K$8)),MAX($AE$3:AE1978)+1,""))</f>
        <v/>
      </c>
    </row>
    <row r="1980" customFormat="false" ht="15" hidden="false" customHeight="false" outlineLevel="0" collapsed="false">
      <c r="A1980" s="35" t="str">
        <f aca="false">IF($B1980="","",COUNTA($B$4:$B1980))</f>
        <v/>
      </c>
      <c r="B1980" s="36"/>
      <c r="C1980" s="37"/>
      <c r="D1980" s="37"/>
      <c r="E1980" s="38"/>
      <c r="F1980" s="36"/>
      <c r="G1980" s="39"/>
      <c r="H1980" s="39"/>
      <c r="I1980" s="36"/>
      <c r="J1980" s="36"/>
      <c r="K1980" s="36"/>
      <c r="L1980" s="36"/>
      <c r="M1980" s="40" t="str">
        <f aca="false">IF($F1980="","",$F1980&amp;IF($G1980="",""," - RT "&amp;$G1980&amp;IF($H1980="","","/"&amp;$H1980)))</f>
        <v/>
      </c>
      <c r="N1980" s="36"/>
      <c r="O1980" s="37"/>
      <c r="P1980" s="39"/>
      <c r="Q1980" s="41"/>
      <c r="R1980" s="35" t="str">
        <f aca="true">IF(OR($B1980="",$Q1980=""),"",DATEDIF($Q1980,TODAY(),"Y"))</f>
        <v/>
      </c>
      <c r="S1980" s="40" t="str">
        <f aca="false">IF($R1980="","",INDEX(usia_label,MATCH($R1980,usia_min,1)))</f>
        <v/>
      </c>
      <c r="T1980" s="36"/>
      <c r="U1980" s="41"/>
      <c r="V1980" s="36"/>
      <c r="W1980" s="36"/>
      <c r="X1980" s="40" t="str">
        <f aca="false">IF($M1980="","",$M1980&amp;"#"&amp;COUNTIF($M$4:$M1980,$M1980))</f>
        <v/>
      </c>
      <c r="Y1980" s="40" t="str">
        <f aca="false">IF($B1980="","",IF($C1980="","NIK kosong",IF(LEN($C1980)&lt;&gt;16,"NIK bukan 16 digit",IF(COUNTIF($C$4:$C$2003,$C1980&amp;"*")&gt;1,"NIK ganda",IF(AND($D1980&lt;&gt;"",LEN($D1980)&lt;&gt;16),"No. KK bukan 16 digit",IF(AND($F1980="",$I1980=""),"Alamat kosong",IF($N1980="","Jabatan kosong",IF($O1980="","No. HP kosong",IF(AND($R1980&lt;&gt;"",$R1980&lt;17),"Usia di bawah 17","")))))))))</f>
        <v/>
      </c>
      <c r="Z1980" s="40" t="str">
        <f aca="false">IF($B1980="","",IF(AND(OR(CARI!$C$5="",ISNUMBER(SEARCH(CARI!$C$5,$B1980&amp;" "&amp;$C1980&amp;" "&amp;$D1980&amp;" "&amp;$O1980&amp;" "&amp;$I1980&amp;" "&amp;$F1980&amp;" "&amp;$J1980&amp;" "&amp;$K1980&amp;" "&amp;$L1980&amp;" "&amp;$V1980))),OR(CARI!$C$6="",$F1980=CARI!$C$6),OR(CARI!$C$7="",$G1980=CARI!$C$7),OR(CARI!$C$8="",$T1980=CARI!$C$8)),MAX($Z$3:Z1979)+1,""))</f>
        <v/>
      </c>
      <c r="AA1980" s="40" t="str">
        <f aca="false">IF($Y1980="","",MAX($AA$3:AA1979)+1)</f>
        <v/>
      </c>
      <c r="AB1980" s="40" t="str">
        <f aca="false">IF($F1980="","",$F1980&amp;"#"&amp;COUNTIF($F$4:$F1980,$F1980))</f>
        <v/>
      </c>
      <c r="AC1980" s="40" t="str">
        <f aca="false">IF($B1980="","",IF(AND(OR(CETAK!$J$10="",$F1980=CETAK!$J$10),OR(CETAK!$J$11="",$G1980=CETAK!$J$11),OR(CETAK!$J$12="",$P1980=CETAK!$J$12),OR(CETAK!$J$13="",$N1980=CETAK!$J$13),OR(CETAK!$J$14="",$T1980=CETAK!$J$14)),MAX($AC$3:AC1979)+1,""))</f>
        <v/>
      </c>
      <c r="AD1980" s="40" t="str">
        <f aca="false">IF($B1980="","",IF(AND(OR(ABSENSI!$H$10="",$F1980=ABSENSI!$H$10),OR(ABSENSI!$H$11="",$G1980=ABSENSI!$H$11),OR(ABSENSI!$H$12="",$P1980=ABSENSI!$H$12)),MAX($AD$3:AD1979)+1,""))</f>
        <v/>
      </c>
      <c r="AE1980" s="40" t="str">
        <f aca="false">IF($B1980="","",IF(AND(OR(KARTU!$K$6="",$F1980=KARTU!$K$6),OR(KARTU!$K$7="",$G1980=KARTU!$K$7),OR(KARTU!$K$8="",$P1980=KARTU!$K$8)),MAX($AE$3:AE1979)+1,""))</f>
        <v/>
      </c>
    </row>
    <row r="1981" customFormat="false" ht="15" hidden="false" customHeight="false" outlineLevel="0" collapsed="false">
      <c r="A1981" s="35" t="str">
        <f aca="false">IF($B1981="","",COUNTA($B$4:$B1981))</f>
        <v/>
      </c>
      <c r="B1981" s="36"/>
      <c r="C1981" s="37"/>
      <c r="D1981" s="37"/>
      <c r="E1981" s="38"/>
      <c r="F1981" s="36"/>
      <c r="G1981" s="39"/>
      <c r="H1981" s="39"/>
      <c r="I1981" s="36"/>
      <c r="J1981" s="36"/>
      <c r="K1981" s="36"/>
      <c r="L1981" s="36"/>
      <c r="M1981" s="40" t="str">
        <f aca="false">IF($F1981="","",$F1981&amp;IF($G1981="",""," - RT "&amp;$G1981&amp;IF($H1981="","","/"&amp;$H1981)))</f>
        <v/>
      </c>
      <c r="N1981" s="36"/>
      <c r="O1981" s="37"/>
      <c r="P1981" s="39"/>
      <c r="Q1981" s="41"/>
      <c r="R1981" s="35" t="str">
        <f aca="true">IF(OR($B1981="",$Q1981=""),"",DATEDIF($Q1981,TODAY(),"Y"))</f>
        <v/>
      </c>
      <c r="S1981" s="40" t="str">
        <f aca="false">IF($R1981="","",INDEX(usia_label,MATCH($R1981,usia_min,1)))</f>
        <v/>
      </c>
      <c r="T1981" s="36"/>
      <c r="U1981" s="41"/>
      <c r="V1981" s="36"/>
      <c r="W1981" s="36"/>
      <c r="X1981" s="40" t="str">
        <f aca="false">IF($M1981="","",$M1981&amp;"#"&amp;COUNTIF($M$4:$M1981,$M1981))</f>
        <v/>
      </c>
      <c r="Y1981" s="40" t="str">
        <f aca="false">IF($B1981="","",IF($C1981="","NIK kosong",IF(LEN($C1981)&lt;&gt;16,"NIK bukan 16 digit",IF(COUNTIF($C$4:$C$2003,$C1981&amp;"*")&gt;1,"NIK ganda",IF(AND($D1981&lt;&gt;"",LEN($D1981)&lt;&gt;16),"No. KK bukan 16 digit",IF(AND($F1981="",$I1981=""),"Alamat kosong",IF($N1981="","Jabatan kosong",IF($O1981="","No. HP kosong",IF(AND($R1981&lt;&gt;"",$R1981&lt;17),"Usia di bawah 17","")))))))))</f>
        <v/>
      </c>
      <c r="Z1981" s="40" t="str">
        <f aca="false">IF($B1981="","",IF(AND(OR(CARI!$C$5="",ISNUMBER(SEARCH(CARI!$C$5,$B1981&amp;" "&amp;$C1981&amp;" "&amp;$D1981&amp;" "&amp;$O1981&amp;" "&amp;$I1981&amp;" "&amp;$F1981&amp;" "&amp;$J1981&amp;" "&amp;$K1981&amp;" "&amp;$L1981&amp;" "&amp;$V1981))),OR(CARI!$C$6="",$F1981=CARI!$C$6),OR(CARI!$C$7="",$G1981=CARI!$C$7),OR(CARI!$C$8="",$T1981=CARI!$C$8)),MAX($Z$3:Z1980)+1,""))</f>
        <v/>
      </c>
      <c r="AA1981" s="40" t="str">
        <f aca="false">IF($Y1981="","",MAX($AA$3:AA1980)+1)</f>
        <v/>
      </c>
      <c r="AB1981" s="40" t="str">
        <f aca="false">IF($F1981="","",$F1981&amp;"#"&amp;COUNTIF($F$4:$F1981,$F1981))</f>
        <v/>
      </c>
      <c r="AC1981" s="40" t="str">
        <f aca="false">IF($B1981="","",IF(AND(OR(CETAK!$J$10="",$F1981=CETAK!$J$10),OR(CETAK!$J$11="",$G1981=CETAK!$J$11),OR(CETAK!$J$12="",$P1981=CETAK!$J$12),OR(CETAK!$J$13="",$N1981=CETAK!$J$13),OR(CETAK!$J$14="",$T1981=CETAK!$J$14)),MAX($AC$3:AC1980)+1,""))</f>
        <v/>
      </c>
      <c r="AD1981" s="40" t="str">
        <f aca="false">IF($B1981="","",IF(AND(OR(ABSENSI!$H$10="",$F1981=ABSENSI!$H$10),OR(ABSENSI!$H$11="",$G1981=ABSENSI!$H$11),OR(ABSENSI!$H$12="",$P1981=ABSENSI!$H$12)),MAX($AD$3:AD1980)+1,""))</f>
        <v/>
      </c>
      <c r="AE1981" s="40" t="str">
        <f aca="false">IF($B1981="","",IF(AND(OR(KARTU!$K$6="",$F1981=KARTU!$K$6),OR(KARTU!$K$7="",$G1981=KARTU!$K$7),OR(KARTU!$K$8="",$P1981=KARTU!$K$8)),MAX($AE$3:AE1980)+1,""))</f>
        <v/>
      </c>
    </row>
    <row r="1982" customFormat="false" ht="15" hidden="false" customHeight="false" outlineLevel="0" collapsed="false">
      <c r="A1982" s="35" t="str">
        <f aca="false">IF($B1982="","",COUNTA($B$4:$B1982))</f>
        <v/>
      </c>
      <c r="B1982" s="36"/>
      <c r="C1982" s="37"/>
      <c r="D1982" s="37"/>
      <c r="E1982" s="38"/>
      <c r="F1982" s="36"/>
      <c r="G1982" s="39"/>
      <c r="H1982" s="39"/>
      <c r="I1982" s="36"/>
      <c r="J1982" s="36"/>
      <c r="K1982" s="36"/>
      <c r="L1982" s="36"/>
      <c r="M1982" s="40" t="str">
        <f aca="false">IF($F1982="","",$F1982&amp;IF($G1982="",""," - RT "&amp;$G1982&amp;IF($H1982="","","/"&amp;$H1982)))</f>
        <v/>
      </c>
      <c r="N1982" s="36"/>
      <c r="O1982" s="37"/>
      <c r="P1982" s="39"/>
      <c r="Q1982" s="41"/>
      <c r="R1982" s="35" t="str">
        <f aca="true">IF(OR($B1982="",$Q1982=""),"",DATEDIF($Q1982,TODAY(),"Y"))</f>
        <v/>
      </c>
      <c r="S1982" s="40" t="str">
        <f aca="false">IF($R1982="","",INDEX(usia_label,MATCH($R1982,usia_min,1)))</f>
        <v/>
      </c>
      <c r="T1982" s="36"/>
      <c r="U1982" s="41"/>
      <c r="V1982" s="36"/>
      <c r="W1982" s="36"/>
      <c r="X1982" s="40" t="str">
        <f aca="false">IF($M1982="","",$M1982&amp;"#"&amp;COUNTIF($M$4:$M1982,$M1982))</f>
        <v/>
      </c>
      <c r="Y1982" s="40" t="str">
        <f aca="false">IF($B1982="","",IF($C1982="","NIK kosong",IF(LEN($C1982)&lt;&gt;16,"NIK bukan 16 digit",IF(COUNTIF($C$4:$C$2003,$C1982&amp;"*")&gt;1,"NIK ganda",IF(AND($D1982&lt;&gt;"",LEN($D1982)&lt;&gt;16),"No. KK bukan 16 digit",IF(AND($F1982="",$I1982=""),"Alamat kosong",IF($N1982="","Jabatan kosong",IF($O1982="","No. HP kosong",IF(AND($R1982&lt;&gt;"",$R1982&lt;17),"Usia di bawah 17","")))))))))</f>
        <v/>
      </c>
      <c r="Z1982" s="40" t="str">
        <f aca="false">IF($B1982="","",IF(AND(OR(CARI!$C$5="",ISNUMBER(SEARCH(CARI!$C$5,$B1982&amp;" "&amp;$C1982&amp;" "&amp;$D1982&amp;" "&amp;$O1982&amp;" "&amp;$I1982&amp;" "&amp;$F1982&amp;" "&amp;$J1982&amp;" "&amp;$K1982&amp;" "&amp;$L1982&amp;" "&amp;$V1982))),OR(CARI!$C$6="",$F1982=CARI!$C$6),OR(CARI!$C$7="",$G1982=CARI!$C$7),OR(CARI!$C$8="",$T1982=CARI!$C$8)),MAX($Z$3:Z1981)+1,""))</f>
        <v/>
      </c>
      <c r="AA1982" s="40" t="str">
        <f aca="false">IF($Y1982="","",MAX($AA$3:AA1981)+1)</f>
        <v/>
      </c>
      <c r="AB1982" s="40" t="str">
        <f aca="false">IF($F1982="","",$F1982&amp;"#"&amp;COUNTIF($F$4:$F1982,$F1982))</f>
        <v/>
      </c>
      <c r="AC1982" s="40" t="str">
        <f aca="false">IF($B1982="","",IF(AND(OR(CETAK!$J$10="",$F1982=CETAK!$J$10),OR(CETAK!$J$11="",$G1982=CETAK!$J$11),OR(CETAK!$J$12="",$P1982=CETAK!$J$12),OR(CETAK!$J$13="",$N1982=CETAK!$J$13),OR(CETAK!$J$14="",$T1982=CETAK!$J$14)),MAX($AC$3:AC1981)+1,""))</f>
        <v/>
      </c>
      <c r="AD1982" s="40" t="str">
        <f aca="false">IF($B1982="","",IF(AND(OR(ABSENSI!$H$10="",$F1982=ABSENSI!$H$10),OR(ABSENSI!$H$11="",$G1982=ABSENSI!$H$11),OR(ABSENSI!$H$12="",$P1982=ABSENSI!$H$12)),MAX($AD$3:AD1981)+1,""))</f>
        <v/>
      </c>
      <c r="AE1982" s="40" t="str">
        <f aca="false">IF($B1982="","",IF(AND(OR(KARTU!$K$6="",$F1982=KARTU!$K$6),OR(KARTU!$K$7="",$G1982=KARTU!$K$7),OR(KARTU!$K$8="",$P1982=KARTU!$K$8)),MAX($AE$3:AE1981)+1,""))</f>
        <v/>
      </c>
    </row>
    <row r="1983" customFormat="false" ht="15" hidden="false" customHeight="false" outlineLevel="0" collapsed="false">
      <c r="A1983" s="35" t="str">
        <f aca="false">IF($B1983="","",COUNTA($B$4:$B1983))</f>
        <v/>
      </c>
      <c r="B1983" s="36"/>
      <c r="C1983" s="37"/>
      <c r="D1983" s="37"/>
      <c r="E1983" s="38"/>
      <c r="F1983" s="36"/>
      <c r="G1983" s="39"/>
      <c r="H1983" s="39"/>
      <c r="I1983" s="36"/>
      <c r="J1983" s="36"/>
      <c r="K1983" s="36"/>
      <c r="L1983" s="36"/>
      <c r="M1983" s="40" t="str">
        <f aca="false">IF($F1983="","",$F1983&amp;IF($G1983="",""," - RT "&amp;$G1983&amp;IF($H1983="","","/"&amp;$H1983)))</f>
        <v/>
      </c>
      <c r="N1983" s="36"/>
      <c r="O1983" s="37"/>
      <c r="P1983" s="39"/>
      <c r="Q1983" s="41"/>
      <c r="R1983" s="35" t="str">
        <f aca="true">IF(OR($B1983="",$Q1983=""),"",DATEDIF($Q1983,TODAY(),"Y"))</f>
        <v/>
      </c>
      <c r="S1983" s="40" t="str">
        <f aca="false">IF($R1983="","",INDEX(usia_label,MATCH($R1983,usia_min,1)))</f>
        <v/>
      </c>
      <c r="T1983" s="36"/>
      <c r="U1983" s="41"/>
      <c r="V1983" s="36"/>
      <c r="W1983" s="36"/>
      <c r="X1983" s="40" t="str">
        <f aca="false">IF($M1983="","",$M1983&amp;"#"&amp;COUNTIF($M$4:$M1983,$M1983))</f>
        <v/>
      </c>
      <c r="Y1983" s="40" t="str">
        <f aca="false">IF($B1983="","",IF($C1983="","NIK kosong",IF(LEN($C1983)&lt;&gt;16,"NIK bukan 16 digit",IF(COUNTIF($C$4:$C$2003,$C1983&amp;"*")&gt;1,"NIK ganda",IF(AND($D1983&lt;&gt;"",LEN($D1983)&lt;&gt;16),"No. KK bukan 16 digit",IF(AND($F1983="",$I1983=""),"Alamat kosong",IF($N1983="","Jabatan kosong",IF($O1983="","No. HP kosong",IF(AND($R1983&lt;&gt;"",$R1983&lt;17),"Usia di bawah 17","")))))))))</f>
        <v/>
      </c>
      <c r="Z1983" s="40" t="str">
        <f aca="false">IF($B1983="","",IF(AND(OR(CARI!$C$5="",ISNUMBER(SEARCH(CARI!$C$5,$B1983&amp;" "&amp;$C1983&amp;" "&amp;$D1983&amp;" "&amp;$O1983&amp;" "&amp;$I1983&amp;" "&amp;$F1983&amp;" "&amp;$J1983&amp;" "&amp;$K1983&amp;" "&amp;$L1983&amp;" "&amp;$V1983))),OR(CARI!$C$6="",$F1983=CARI!$C$6),OR(CARI!$C$7="",$G1983=CARI!$C$7),OR(CARI!$C$8="",$T1983=CARI!$C$8)),MAX($Z$3:Z1982)+1,""))</f>
        <v/>
      </c>
      <c r="AA1983" s="40" t="str">
        <f aca="false">IF($Y1983="","",MAX($AA$3:AA1982)+1)</f>
        <v/>
      </c>
      <c r="AB1983" s="40" t="str">
        <f aca="false">IF($F1983="","",$F1983&amp;"#"&amp;COUNTIF($F$4:$F1983,$F1983))</f>
        <v/>
      </c>
      <c r="AC1983" s="40" t="str">
        <f aca="false">IF($B1983="","",IF(AND(OR(CETAK!$J$10="",$F1983=CETAK!$J$10),OR(CETAK!$J$11="",$G1983=CETAK!$J$11),OR(CETAK!$J$12="",$P1983=CETAK!$J$12),OR(CETAK!$J$13="",$N1983=CETAK!$J$13),OR(CETAK!$J$14="",$T1983=CETAK!$J$14)),MAX($AC$3:AC1982)+1,""))</f>
        <v/>
      </c>
      <c r="AD1983" s="40" t="str">
        <f aca="false">IF($B1983="","",IF(AND(OR(ABSENSI!$H$10="",$F1983=ABSENSI!$H$10),OR(ABSENSI!$H$11="",$G1983=ABSENSI!$H$11),OR(ABSENSI!$H$12="",$P1983=ABSENSI!$H$12)),MAX($AD$3:AD1982)+1,""))</f>
        <v/>
      </c>
      <c r="AE1983" s="40" t="str">
        <f aca="false">IF($B1983="","",IF(AND(OR(KARTU!$K$6="",$F1983=KARTU!$K$6),OR(KARTU!$K$7="",$G1983=KARTU!$K$7),OR(KARTU!$K$8="",$P1983=KARTU!$K$8)),MAX($AE$3:AE1982)+1,""))</f>
        <v/>
      </c>
    </row>
    <row r="1984" customFormat="false" ht="15" hidden="false" customHeight="false" outlineLevel="0" collapsed="false">
      <c r="A1984" s="35" t="str">
        <f aca="false">IF($B1984="","",COUNTA($B$4:$B1984))</f>
        <v/>
      </c>
      <c r="B1984" s="36"/>
      <c r="C1984" s="37"/>
      <c r="D1984" s="37"/>
      <c r="E1984" s="38"/>
      <c r="F1984" s="36"/>
      <c r="G1984" s="39"/>
      <c r="H1984" s="39"/>
      <c r="I1984" s="36"/>
      <c r="J1984" s="36"/>
      <c r="K1984" s="36"/>
      <c r="L1984" s="36"/>
      <c r="M1984" s="40" t="str">
        <f aca="false">IF($F1984="","",$F1984&amp;IF($G1984="",""," - RT "&amp;$G1984&amp;IF($H1984="","","/"&amp;$H1984)))</f>
        <v/>
      </c>
      <c r="N1984" s="36"/>
      <c r="O1984" s="37"/>
      <c r="P1984" s="39"/>
      <c r="Q1984" s="41"/>
      <c r="R1984" s="35" t="str">
        <f aca="true">IF(OR($B1984="",$Q1984=""),"",DATEDIF($Q1984,TODAY(),"Y"))</f>
        <v/>
      </c>
      <c r="S1984" s="40" t="str">
        <f aca="false">IF($R1984="","",INDEX(usia_label,MATCH($R1984,usia_min,1)))</f>
        <v/>
      </c>
      <c r="T1984" s="36"/>
      <c r="U1984" s="41"/>
      <c r="V1984" s="36"/>
      <c r="W1984" s="36"/>
      <c r="X1984" s="40" t="str">
        <f aca="false">IF($M1984="","",$M1984&amp;"#"&amp;COUNTIF($M$4:$M1984,$M1984))</f>
        <v/>
      </c>
      <c r="Y1984" s="40" t="str">
        <f aca="false">IF($B1984="","",IF($C1984="","NIK kosong",IF(LEN($C1984)&lt;&gt;16,"NIK bukan 16 digit",IF(COUNTIF($C$4:$C$2003,$C1984&amp;"*")&gt;1,"NIK ganda",IF(AND($D1984&lt;&gt;"",LEN($D1984)&lt;&gt;16),"No. KK bukan 16 digit",IF(AND($F1984="",$I1984=""),"Alamat kosong",IF($N1984="","Jabatan kosong",IF($O1984="","No. HP kosong",IF(AND($R1984&lt;&gt;"",$R1984&lt;17),"Usia di bawah 17","")))))))))</f>
        <v/>
      </c>
      <c r="Z1984" s="40" t="str">
        <f aca="false">IF($B1984="","",IF(AND(OR(CARI!$C$5="",ISNUMBER(SEARCH(CARI!$C$5,$B1984&amp;" "&amp;$C1984&amp;" "&amp;$D1984&amp;" "&amp;$O1984&amp;" "&amp;$I1984&amp;" "&amp;$F1984&amp;" "&amp;$J1984&amp;" "&amp;$K1984&amp;" "&amp;$L1984&amp;" "&amp;$V1984))),OR(CARI!$C$6="",$F1984=CARI!$C$6),OR(CARI!$C$7="",$G1984=CARI!$C$7),OR(CARI!$C$8="",$T1984=CARI!$C$8)),MAX($Z$3:Z1983)+1,""))</f>
        <v/>
      </c>
      <c r="AA1984" s="40" t="str">
        <f aca="false">IF($Y1984="","",MAX($AA$3:AA1983)+1)</f>
        <v/>
      </c>
      <c r="AB1984" s="40" t="str">
        <f aca="false">IF($F1984="","",$F1984&amp;"#"&amp;COUNTIF($F$4:$F1984,$F1984))</f>
        <v/>
      </c>
      <c r="AC1984" s="40" t="str">
        <f aca="false">IF($B1984="","",IF(AND(OR(CETAK!$J$10="",$F1984=CETAK!$J$10),OR(CETAK!$J$11="",$G1984=CETAK!$J$11),OR(CETAK!$J$12="",$P1984=CETAK!$J$12),OR(CETAK!$J$13="",$N1984=CETAK!$J$13),OR(CETAK!$J$14="",$T1984=CETAK!$J$14)),MAX($AC$3:AC1983)+1,""))</f>
        <v/>
      </c>
      <c r="AD1984" s="40" t="str">
        <f aca="false">IF($B1984="","",IF(AND(OR(ABSENSI!$H$10="",$F1984=ABSENSI!$H$10),OR(ABSENSI!$H$11="",$G1984=ABSENSI!$H$11),OR(ABSENSI!$H$12="",$P1984=ABSENSI!$H$12)),MAX($AD$3:AD1983)+1,""))</f>
        <v/>
      </c>
      <c r="AE1984" s="40" t="str">
        <f aca="false">IF($B1984="","",IF(AND(OR(KARTU!$K$6="",$F1984=KARTU!$K$6),OR(KARTU!$K$7="",$G1984=KARTU!$K$7),OR(KARTU!$K$8="",$P1984=KARTU!$K$8)),MAX($AE$3:AE1983)+1,""))</f>
        <v/>
      </c>
    </row>
    <row r="1985" customFormat="false" ht="15" hidden="false" customHeight="false" outlineLevel="0" collapsed="false">
      <c r="A1985" s="35" t="str">
        <f aca="false">IF($B1985="","",COUNTA($B$4:$B1985))</f>
        <v/>
      </c>
      <c r="B1985" s="36"/>
      <c r="C1985" s="37"/>
      <c r="D1985" s="37"/>
      <c r="E1985" s="38"/>
      <c r="F1985" s="36"/>
      <c r="G1985" s="39"/>
      <c r="H1985" s="39"/>
      <c r="I1985" s="36"/>
      <c r="J1985" s="36"/>
      <c r="K1985" s="36"/>
      <c r="L1985" s="36"/>
      <c r="M1985" s="40" t="str">
        <f aca="false">IF($F1985="","",$F1985&amp;IF($G1985="",""," - RT "&amp;$G1985&amp;IF($H1985="","","/"&amp;$H1985)))</f>
        <v/>
      </c>
      <c r="N1985" s="36"/>
      <c r="O1985" s="37"/>
      <c r="P1985" s="39"/>
      <c r="Q1985" s="41"/>
      <c r="R1985" s="35" t="str">
        <f aca="true">IF(OR($B1985="",$Q1985=""),"",DATEDIF($Q1985,TODAY(),"Y"))</f>
        <v/>
      </c>
      <c r="S1985" s="40" t="str">
        <f aca="false">IF($R1985="","",INDEX(usia_label,MATCH($R1985,usia_min,1)))</f>
        <v/>
      </c>
      <c r="T1985" s="36"/>
      <c r="U1985" s="41"/>
      <c r="V1985" s="36"/>
      <c r="W1985" s="36"/>
      <c r="X1985" s="40" t="str">
        <f aca="false">IF($M1985="","",$M1985&amp;"#"&amp;COUNTIF($M$4:$M1985,$M1985))</f>
        <v/>
      </c>
      <c r="Y1985" s="40" t="str">
        <f aca="false">IF($B1985="","",IF($C1985="","NIK kosong",IF(LEN($C1985)&lt;&gt;16,"NIK bukan 16 digit",IF(COUNTIF($C$4:$C$2003,$C1985&amp;"*")&gt;1,"NIK ganda",IF(AND($D1985&lt;&gt;"",LEN($D1985)&lt;&gt;16),"No. KK bukan 16 digit",IF(AND($F1985="",$I1985=""),"Alamat kosong",IF($N1985="","Jabatan kosong",IF($O1985="","No. HP kosong",IF(AND($R1985&lt;&gt;"",$R1985&lt;17),"Usia di bawah 17","")))))))))</f>
        <v/>
      </c>
      <c r="Z1985" s="40" t="str">
        <f aca="false">IF($B1985="","",IF(AND(OR(CARI!$C$5="",ISNUMBER(SEARCH(CARI!$C$5,$B1985&amp;" "&amp;$C1985&amp;" "&amp;$D1985&amp;" "&amp;$O1985&amp;" "&amp;$I1985&amp;" "&amp;$F1985&amp;" "&amp;$J1985&amp;" "&amp;$K1985&amp;" "&amp;$L1985&amp;" "&amp;$V1985))),OR(CARI!$C$6="",$F1985=CARI!$C$6),OR(CARI!$C$7="",$G1985=CARI!$C$7),OR(CARI!$C$8="",$T1985=CARI!$C$8)),MAX($Z$3:Z1984)+1,""))</f>
        <v/>
      </c>
      <c r="AA1985" s="40" t="str">
        <f aca="false">IF($Y1985="","",MAX($AA$3:AA1984)+1)</f>
        <v/>
      </c>
      <c r="AB1985" s="40" t="str">
        <f aca="false">IF($F1985="","",$F1985&amp;"#"&amp;COUNTIF($F$4:$F1985,$F1985))</f>
        <v/>
      </c>
      <c r="AC1985" s="40" t="str">
        <f aca="false">IF($B1985="","",IF(AND(OR(CETAK!$J$10="",$F1985=CETAK!$J$10),OR(CETAK!$J$11="",$G1985=CETAK!$J$11),OR(CETAK!$J$12="",$P1985=CETAK!$J$12),OR(CETAK!$J$13="",$N1985=CETAK!$J$13),OR(CETAK!$J$14="",$T1985=CETAK!$J$14)),MAX($AC$3:AC1984)+1,""))</f>
        <v/>
      </c>
      <c r="AD1985" s="40" t="str">
        <f aca="false">IF($B1985="","",IF(AND(OR(ABSENSI!$H$10="",$F1985=ABSENSI!$H$10),OR(ABSENSI!$H$11="",$G1985=ABSENSI!$H$11),OR(ABSENSI!$H$12="",$P1985=ABSENSI!$H$12)),MAX($AD$3:AD1984)+1,""))</f>
        <v/>
      </c>
      <c r="AE1985" s="40" t="str">
        <f aca="false">IF($B1985="","",IF(AND(OR(KARTU!$K$6="",$F1985=KARTU!$K$6),OR(KARTU!$K$7="",$G1985=KARTU!$K$7),OR(KARTU!$K$8="",$P1985=KARTU!$K$8)),MAX($AE$3:AE1984)+1,""))</f>
        <v/>
      </c>
    </row>
    <row r="1986" customFormat="false" ht="15" hidden="false" customHeight="false" outlineLevel="0" collapsed="false">
      <c r="A1986" s="35" t="str">
        <f aca="false">IF($B1986="","",COUNTA($B$4:$B1986))</f>
        <v/>
      </c>
      <c r="B1986" s="36"/>
      <c r="C1986" s="37"/>
      <c r="D1986" s="37"/>
      <c r="E1986" s="38"/>
      <c r="F1986" s="36"/>
      <c r="G1986" s="39"/>
      <c r="H1986" s="39"/>
      <c r="I1986" s="36"/>
      <c r="J1986" s="36"/>
      <c r="K1986" s="36"/>
      <c r="L1986" s="36"/>
      <c r="M1986" s="40" t="str">
        <f aca="false">IF($F1986="","",$F1986&amp;IF($G1986="",""," - RT "&amp;$G1986&amp;IF($H1986="","","/"&amp;$H1986)))</f>
        <v/>
      </c>
      <c r="N1986" s="36"/>
      <c r="O1986" s="37"/>
      <c r="P1986" s="39"/>
      <c r="Q1986" s="41"/>
      <c r="R1986" s="35" t="str">
        <f aca="true">IF(OR($B1986="",$Q1986=""),"",DATEDIF($Q1986,TODAY(),"Y"))</f>
        <v/>
      </c>
      <c r="S1986" s="40" t="str">
        <f aca="false">IF($R1986="","",INDEX(usia_label,MATCH($R1986,usia_min,1)))</f>
        <v/>
      </c>
      <c r="T1986" s="36"/>
      <c r="U1986" s="41"/>
      <c r="V1986" s="36"/>
      <c r="W1986" s="36"/>
      <c r="X1986" s="40" t="str">
        <f aca="false">IF($M1986="","",$M1986&amp;"#"&amp;COUNTIF($M$4:$M1986,$M1986))</f>
        <v/>
      </c>
      <c r="Y1986" s="40" t="str">
        <f aca="false">IF($B1986="","",IF($C1986="","NIK kosong",IF(LEN($C1986)&lt;&gt;16,"NIK bukan 16 digit",IF(COUNTIF($C$4:$C$2003,$C1986&amp;"*")&gt;1,"NIK ganda",IF(AND($D1986&lt;&gt;"",LEN($D1986)&lt;&gt;16),"No. KK bukan 16 digit",IF(AND($F1986="",$I1986=""),"Alamat kosong",IF($N1986="","Jabatan kosong",IF($O1986="","No. HP kosong",IF(AND($R1986&lt;&gt;"",$R1986&lt;17),"Usia di bawah 17","")))))))))</f>
        <v/>
      </c>
      <c r="Z1986" s="40" t="str">
        <f aca="false">IF($B1986="","",IF(AND(OR(CARI!$C$5="",ISNUMBER(SEARCH(CARI!$C$5,$B1986&amp;" "&amp;$C1986&amp;" "&amp;$D1986&amp;" "&amp;$O1986&amp;" "&amp;$I1986&amp;" "&amp;$F1986&amp;" "&amp;$J1986&amp;" "&amp;$K1986&amp;" "&amp;$L1986&amp;" "&amp;$V1986))),OR(CARI!$C$6="",$F1986=CARI!$C$6),OR(CARI!$C$7="",$G1986=CARI!$C$7),OR(CARI!$C$8="",$T1986=CARI!$C$8)),MAX($Z$3:Z1985)+1,""))</f>
        <v/>
      </c>
      <c r="AA1986" s="40" t="str">
        <f aca="false">IF($Y1986="","",MAX($AA$3:AA1985)+1)</f>
        <v/>
      </c>
      <c r="AB1986" s="40" t="str">
        <f aca="false">IF($F1986="","",$F1986&amp;"#"&amp;COUNTIF($F$4:$F1986,$F1986))</f>
        <v/>
      </c>
      <c r="AC1986" s="40" t="str">
        <f aca="false">IF($B1986="","",IF(AND(OR(CETAK!$J$10="",$F1986=CETAK!$J$10),OR(CETAK!$J$11="",$G1986=CETAK!$J$11),OR(CETAK!$J$12="",$P1986=CETAK!$J$12),OR(CETAK!$J$13="",$N1986=CETAK!$J$13),OR(CETAK!$J$14="",$T1986=CETAK!$J$14)),MAX($AC$3:AC1985)+1,""))</f>
        <v/>
      </c>
      <c r="AD1986" s="40" t="str">
        <f aca="false">IF($B1986="","",IF(AND(OR(ABSENSI!$H$10="",$F1986=ABSENSI!$H$10),OR(ABSENSI!$H$11="",$G1986=ABSENSI!$H$11),OR(ABSENSI!$H$12="",$P1986=ABSENSI!$H$12)),MAX($AD$3:AD1985)+1,""))</f>
        <v/>
      </c>
      <c r="AE1986" s="40" t="str">
        <f aca="false">IF($B1986="","",IF(AND(OR(KARTU!$K$6="",$F1986=KARTU!$K$6),OR(KARTU!$K$7="",$G1986=KARTU!$K$7),OR(KARTU!$K$8="",$P1986=KARTU!$K$8)),MAX($AE$3:AE1985)+1,""))</f>
        <v/>
      </c>
    </row>
    <row r="1987" customFormat="false" ht="15" hidden="false" customHeight="false" outlineLevel="0" collapsed="false">
      <c r="A1987" s="35" t="str">
        <f aca="false">IF($B1987="","",COUNTA($B$4:$B1987))</f>
        <v/>
      </c>
      <c r="B1987" s="36"/>
      <c r="C1987" s="37"/>
      <c r="D1987" s="37"/>
      <c r="E1987" s="38"/>
      <c r="F1987" s="36"/>
      <c r="G1987" s="39"/>
      <c r="H1987" s="39"/>
      <c r="I1987" s="36"/>
      <c r="J1987" s="36"/>
      <c r="K1987" s="36"/>
      <c r="L1987" s="36"/>
      <c r="M1987" s="40" t="str">
        <f aca="false">IF($F1987="","",$F1987&amp;IF($G1987="",""," - RT "&amp;$G1987&amp;IF($H1987="","","/"&amp;$H1987)))</f>
        <v/>
      </c>
      <c r="N1987" s="36"/>
      <c r="O1987" s="37"/>
      <c r="P1987" s="39"/>
      <c r="Q1987" s="41"/>
      <c r="R1987" s="35" t="str">
        <f aca="true">IF(OR($B1987="",$Q1987=""),"",DATEDIF($Q1987,TODAY(),"Y"))</f>
        <v/>
      </c>
      <c r="S1987" s="40" t="str">
        <f aca="false">IF($R1987="","",INDEX(usia_label,MATCH($R1987,usia_min,1)))</f>
        <v/>
      </c>
      <c r="T1987" s="36"/>
      <c r="U1987" s="41"/>
      <c r="V1987" s="36"/>
      <c r="W1987" s="36"/>
      <c r="X1987" s="40" t="str">
        <f aca="false">IF($M1987="","",$M1987&amp;"#"&amp;COUNTIF($M$4:$M1987,$M1987))</f>
        <v/>
      </c>
      <c r="Y1987" s="40" t="str">
        <f aca="false">IF($B1987="","",IF($C1987="","NIK kosong",IF(LEN($C1987)&lt;&gt;16,"NIK bukan 16 digit",IF(COUNTIF($C$4:$C$2003,$C1987&amp;"*")&gt;1,"NIK ganda",IF(AND($D1987&lt;&gt;"",LEN($D1987)&lt;&gt;16),"No. KK bukan 16 digit",IF(AND($F1987="",$I1987=""),"Alamat kosong",IF($N1987="","Jabatan kosong",IF($O1987="","No. HP kosong",IF(AND($R1987&lt;&gt;"",$R1987&lt;17),"Usia di bawah 17","")))))))))</f>
        <v/>
      </c>
      <c r="Z1987" s="40" t="str">
        <f aca="false">IF($B1987="","",IF(AND(OR(CARI!$C$5="",ISNUMBER(SEARCH(CARI!$C$5,$B1987&amp;" "&amp;$C1987&amp;" "&amp;$D1987&amp;" "&amp;$O1987&amp;" "&amp;$I1987&amp;" "&amp;$F1987&amp;" "&amp;$J1987&amp;" "&amp;$K1987&amp;" "&amp;$L1987&amp;" "&amp;$V1987))),OR(CARI!$C$6="",$F1987=CARI!$C$6),OR(CARI!$C$7="",$G1987=CARI!$C$7),OR(CARI!$C$8="",$T1987=CARI!$C$8)),MAX($Z$3:Z1986)+1,""))</f>
        <v/>
      </c>
      <c r="AA1987" s="40" t="str">
        <f aca="false">IF($Y1987="","",MAX($AA$3:AA1986)+1)</f>
        <v/>
      </c>
      <c r="AB1987" s="40" t="str">
        <f aca="false">IF($F1987="","",$F1987&amp;"#"&amp;COUNTIF($F$4:$F1987,$F1987))</f>
        <v/>
      </c>
      <c r="AC1987" s="40" t="str">
        <f aca="false">IF($B1987="","",IF(AND(OR(CETAK!$J$10="",$F1987=CETAK!$J$10),OR(CETAK!$J$11="",$G1987=CETAK!$J$11),OR(CETAK!$J$12="",$P1987=CETAK!$J$12),OR(CETAK!$J$13="",$N1987=CETAK!$J$13),OR(CETAK!$J$14="",$T1987=CETAK!$J$14)),MAX($AC$3:AC1986)+1,""))</f>
        <v/>
      </c>
      <c r="AD1987" s="40" t="str">
        <f aca="false">IF($B1987="","",IF(AND(OR(ABSENSI!$H$10="",$F1987=ABSENSI!$H$10),OR(ABSENSI!$H$11="",$G1987=ABSENSI!$H$11),OR(ABSENSI!$H$12="",$P1987=ABSENSI!$H$12)),MAX($AD$3:AD1986)+1,""))</f>
        <v/>
      </c>
      <c r="AE1987" s="40" t="str">
        <f aca="false">IF($B1987="","",IF(AND(OR(KARTU!$K$6="",$F1987=KARTU!$K$6),OR(KARTU!$K$7="",$G1987=KARTU!$K$7),OR(KARTU!$K$8="",$P1987=KARTU!$K$8)),MAX($AE$3:AE1986)+1,""))</f>
        <v/>
      </c>
    </row>
    <row r="1988" customFormat="false" ht="15" hidden="false" customHeight="false" outlineLevel="0" collapsed="false">
      <c r="A1988" s="35" t="str">
        <f aca="false">IF($B1988="","",COUNTA($B$4:$B1988))</f>
        <v/>
      </c>
      <c r="B1988" s="36"/>
      <c r="C1988" s="37"/>
      <c r="D1988" s="37"/>
      <c r="E1988" s="38"/>
      <c r="F1988" s="36"/>
      <c r="G1988" s="39"/>
      <c r="H1988" s="39"/>
      <c r="I1988" s="36"/>
      <c r="J1988" s="36"/>
      <c r="K1988" s="36"/>
      <c r="L1988" s="36"/>
      <c r="M1988" s="40" t="str">
        <f aca="false">IF($F1988="","",$F1988&amp;IF($G1988="",""," - RT "&amp;$G1988&amp;IF($H1988="","","/"&amp;$H1988)))</f>
        <v/>
      </c>
      <c r="N1988" s="36"/>
      <c r="O1988" s="37"/>
      <c r="P1988" s="39"/>
      <c r="Q1988" s="41"/>
      <c r="R1988" s="35" t="str">
        <f aca="true">IF(OR($B1988="",$Q1988=""),"",DATEDIF($Q1988,TODAY(),"Y"))</f>
        <v/>
      </c>
      <c r="S1988" s="40" t="str">
        <f aca="false">IF($R1988="","",INDEX(usia_label,MATCH($R1988,usia_min,1)))</f>
        <v/>
      </c>
      <c r="T1988" s="36"/>
      <c r="U1988" s="41"/>
      <c r="V1988" s="36"/>
      <c r="W1988" s="36"/>
      <c r="X1988" s="40" t="str">
        <f aca="false">IF($M1988="","",$M1988&amp;"#"&amp;COUNTIF($M$4:$M1988,$M1988))</f>
        <v/>
      </c>
      <c r="Y1988" s="40" t="str">
        <f aca="false">IF($B1988="","",IF($C1988="","NIK kosong",IF(LEN($C1988)&lt;&gt;16,"NIK bukan 16 digit",IF(COUNTIF($C$4:$C$2003,$C1988&amp;"*")&gt;1,"NIK ganda",IF(AND($D1988&lt;&gt;"",LEN($D1988)&lt;&gt;16),"No. KK bukan 16 digit",IF(AND($F1988="",$I1988=""),"Alamat kosong",IF($N1988="","Jabatan kosong",IF($O1988="","No. HP kosong",IF(AND($R1988&lt;&gt;"",$R1988&lt;17),"Usia di bawah 17","")))))))))</f>
        <v/>
      </c>
      <c r="Z1988" s="40" t="str">
        <f aca="false">IF($B1988="","",IF(AND(OR(CARI!$C$5="",ISNUMBER(SEARCH(CARI!$C$5,$B1988&amp;" "&amp;$C1988&amp;" "&amp;$D1988&amp;" "&amp;$O1988&amp;" "&amp;$I1988&amp;" "&amp;$F1988&amp;" "&amp;$J1988&amp;" "&amp;$K1988&amp;" "&amp;$L1988&amp;" "&amp;$V1988))),OR(CARI!$C$6="",$F1988=CARI!$C$6),OR(CARI!$C$7="",$G1988=CARI!$C$7),OR(CARI!$C$8="",$T1988=CARI!$C$8)),MAX($Z$3:Z1987)+1,""))</f>
        <v/>
      </c>
      <c r="AA1988" s="40" t="str">
        <f aca="false">IF($Y1988="","",MAX($AA$3:AA1987)+1)</f>
        <v/>
      </c>
      <c r="AB1988" s="40" t="str">
        <f aca="false">IF($F1988="","",$F1988&amp;"#"&amp;COUNTIF($F$4:$F1988,$F1988))</f>
        <v/>
      </c>
      <c r="AC1988" s="40" t="str">
        <f aca="false">IF($B1988="","",IF(AND(OR(CETAK!$J$10="",$F1988=CETAK!$J$10),OR(CETAK!$J$11="",$G1988=CETAK!$J$11),OR(CETAK!$J$12="",$P1988=CETAK!$J$12),OR(CETAK!$J$13="",$N1988=CETAK!$J$13),OR(CETAK!$J$14="",$T1988=CETAK!$J$14)),MAX($AC$3:AC1987)+1,""))</f>
        <v/>
      </c>
      <c r="AD1988" s="40" t="str">
        <f aca="false">IF($B1988="","",IF(AND(OR(ABSENSI!$H$10="",$F1988=ABSENSI!$H$10),OR(ABSENSI!$H$11="",$G1988=ABSENSI!$H$11),OR(ABSENSI!$H$12="",$P1988=ABSENSI!$H$12)),MAX($AD$3:AD1987)+1,""))</f>
        <v/>
      </c>
      <c r="AE1988" s="40" t="str">
        <f aca="false">IF($B1988="","",IF(AND(OR(KARTU!$K$6="",$F1988=KARTU!$K$6),OR(KARTU!$K$7="",$G1988=KARTU!$K$7),OR(KARTU!$K$8="",$P1988=KARTU!$K$8)),MAX($AE$3:AE1987)+1,""))</f>
        <v/>
      </c>
    </row>
    <row r="1989" customFormat="false" ht="15" hidden="false" customHeight="false" outlineLevel="0" collapsed="false">
      <c r="A1989" s="35" t="str">
        <f aca="false">IF($B1989="","",COUNTA($B$4:$B1989))</f>
        <v/>
      </c>
      <c r="B1989" s="36"/>
      <c r="C1989" s="37"/>
      <c r="D1989" s="37"/>
      <c r="E1989" s="38"/>
      <c r="F1989" s="36"/>
      <c r="G1989" s="39"/>
      <c r="H1989" s="39"/>
      <c r="I1989" s="36"/>
      <c r="J1989" s="36"/>
      <c r="K1989" s="36"/>
      <c r="L1989" s="36"/>
      <c r="M1989" s="40" t="str">
        <f aca="false">IF($F1989="","",$F1989&amp;IF($G1989="",""," - RT "&amp;$G1989&amp;IF($H1989="","","/"&amp;$H1989)))</f>
        <v/>
      </c>
      <c r="N1989" s="36"/>
      <c r="O1989" s="37"/>
      <c r="P1989" s="39"/>
      <c r="Q1989" s="41"/>
      <c r="R1989" s="35" t="str">
        <f aca="true">IF(OR($B1989="",$Q1989=""),"",DATEDIF($Q1989,TODAY(),"Y"))</f>
        <v/>
      </c>
      <c r="S1989" s="40" t="str">
        <f aca="false">IF($R1989="","",INDEX(usia_label,MATCH($R1989,usia_min,1)))</f>
        <v/>
      </c>
      <c r="T1989" s="36"/>
      <c r="U1989" s="41"/>
      <c r="V1989" s="36"/>
      <c r="W1989" s="36"/>
      <c r="X1989" s="40" t="str">
        <f aca="false">IF($M1989="","",$M1989&amp;"#"&amp;COUNTIF($M$4:$M1989,$M1989))</f>
        <v/>
      </c>
      <c r="Y1989" s="40" t="str">
        <f aca="false">IF($B1989="","",IF($C1989="","NIK kosong",IF(LEN($C1989)&lt;&gt;16,"NIK bukan 16 digit",IF(COUNTIF($C$4:$C$2003,$C1989&amp;"*")&gt;1,"NIK ganda",IF(AND($D1989&lt;&gt;"",LEN($D1989)&lt;&gt;16),"No. KK bukan 16 digit",IF(AND($F1989="",$I1989=""),"Alamat kosong",IF($N1989="","Jabatan kosong",IF($O1989="","No. HP kosong",IF(AND($R1989&lt;&gt;"",$R1989&lt;17),"Usia di bawah 17","")))))))))</f>
        <v/>
      </c>
      <c r="Z1989" s="40" t="str">
        <f aca="false">IF($B1989="","",IF(AND(OR(CARI!$C$5="",ISNUMBER(SEARCH(CARI!$C$5,$B1989&amp;" "&amp;$C1989&amp;" "&amp;$D1989&amp;" "&amp;$O1989&amp;" "&amp;$I1989&amp;" "&amp;$F1989&amp;" "&amp;$J1989&amp;" "&amp;$K1989&amp;" "&amp;$L1989&amp;" "&amp;$V1989))),OR(CARI!$C$6="",$F1989=CARI!$C$6),OR(CARI!$C$7="",$G1989=CARI!$C$7),OR(CARI!$C$8="",$T1989=CARI!$C$8)),MAX($Z$3:Z1988)+1,""))</f>
        <v/>
      </c>
      <c r="AA1989" s="40" t="str">
        <f aca="false">IF($Y1989="","",MAX($AA$3:AA1988)+1)</f>
        <v/>
      </c>
      <c r="AB1989" s="40" t="str">
        <f aca="false">IF($F1989="","",$F1989&amp;"#"&amp;COUNTIF($F$4:$F1989,$F1989))</f>
        <v/>
      </c>
      <c r="AC1989" s="40" t="str">
        <f aca="false">IF($B1989="","",IF(AND(OR(CETAK!$J$10="",$F1989=CETAK!$J$10),OR(CETAK!$J$11="",$G1989=CETAK!$J$11),OR(CETAK!$J$12="",$P1989=CETAK!$J$12),OR(CETAK!$J$13="",$N1989=CETAK!$J$13),OR(CETAK!$J$14="",$T1989=CETAK!$J$14)),MAX($AC$3:AC1988)+1,""))</f>
        <v/>
      </c>
      <c r="AD1989" s="40" t="str">
        <f aca="false">IF($B1989="","",IF(AND(OR(ABSENSI!$H$10="",$F1989=ABSENSI!$H$10),OR(ABSENSI!$H$11="",$G1989=ABSENSI!$H$11),OR(ABSENSI!$H$12="",$P1989=ABSENSI!$H$12)),MAX($AD$3:AD1988)+1,""))</f>
        <v/>
      </c>
      <c r="AE1989" s="40" t="str">
        <f aca="false">IF($B1989="","",IF(AND(OR(KARTU!$K$6="",$F1989=KARTU!$K$6),OR(KARTU!$K$7="",$G1989=KARTU!$K$7),OR(KARTU!$K$8="",$P1989=KARTU!$K$8)),MAX($AE$3:AE1988)+1,""))</f>
        <v/>
      </c>
    </row>
    <row r="1990" customFormat="false" ht="15" hidden="false" customHeight="false" outlineLevel="0" collapsed="false">
      <c r="A1990" s="35" t="str">
        <f aca="false">IF($B1990="","",COUNTA($B$4:$B1990))</f>
        <v/>
      </c>
      <c r="B1990" s="36"/>
      <c r="C1990" s="37"/>
      <c r="D1990" s="37"/>
      <c r="E1990" s="38"/>
      <c r="F1990" s="36"/>
      <c r="G1990" s="39"/>
      <c r="H1990" s="39"/>
      <c r="I1990" s="36"/>
      <c r="J1990" s="36"/>
      <c r="K1990" s="36"/>
      <c r="L1990" s="36"/>
      <c r="M1990" s="40" t="str">
        <f aca="false">IF($F1990="","",$F1990&amp;IF($G1990="",""," - RT "&amp;$G1990&amp;IF($H1990="","","/"&amp;$H1990)))</f>
        <v/>
      </c>
      <c r="N1990" s="36"/>
      <c r="O1990" s="37"/>
      <c r="P1990" s="39"/>
      <c r="Q1990" s="41"/>
      <c r="R1990" s="35" t="str">
        <f aca="true">IF(OR($B1990="",$Q1990=""),"",DATEDIF($Q1990,TODAY(),"Y"))</f>
        <v/>
      </c>
      <c r="S1990" s="40" t="str">
        <f aca="false">IF($R1990="","",INDEX(usia_label,MATCH($R1990,usia_min,1)))</f>
        <v/>
      </c>
      <c r="T1990" s="36"/>
      <c r="U1990" s="41"/>
      <c r="V1990" s="36"/>
      <c r="W1990" s="36"/>
      <c r="X1990" s="40" t="str">
        <f aca="false">IF($M1990="","",$M1990&amp;"#"&amp;COUNTIF($M$4:$M1990,$M1990))</f>
        <v/>
      </c>
      <c r="Y1990" s="40" t="str">
        <f aca="false">IF($B1990="","",IF($C1990="","NIK kosong",IF(LEN($C1990)&lt;&gt;16,"NIK bukan 16 digit",IF(COUNTIF($C$4:$C$2003,$C1990&amp;"*")&gt;1,"NIK ganda",IF(AND($D1990&lt;&gt;"",LEN($D1990)&lt;&gt;16),"No. KK bukan 16 digit",IF(AND($F1990="",$I1990=""),"Alamat kosong",IF($N1990="","Jabatan kosong",IF($O1990="","No. HP kosong",IF(AND($R1990&lt;&gt;"",$R1990&lt;17),"Usia di bawah 17","")))))))))</f>
        <v/>
      </c>
      <c r="Z1990" s="40" t="str">
        <f aca="false">IF($B1990="","",IF(AND(OR(CARI!$C$5="",ISNUMBER(SEARCH(CARI!$C$5,$B1990&amp;" "&amp;$C1990&amp;" "&amp;$D1990&amp;" "&amp;$O1990&amp;" "&amp;$I1990&amp;" "&amp;$F1990&amp;" "&amp;$J1990&amp;" "&amp;$K1990&amp;" "&amp;$L1990&amp;" "&amp;$V1990))),OR(CARI!$C$6="",$F1990=CARI!$C$6),OR(CARI!$C$7="",$G1990=CARI!$C$7),OR(CARI!$C$8="",$T1990=CARI!$C$8)),MAX($Z$3:Z1989)+1,""))</f>
        <v/>
      </c>
      <c r="AA1990" s="40" t="str">
        <f aca="false">IF($Y1990="","",MAX($AA$3:AA1989)+1)</f>
        <v/>
      </c>
      <c r="AB1990" s="40" t="str">
        <f aca="false">IF($F1990="","",$F1990&amp;"#"&amp;COUNTIF($F$4:$F1990,$F1990))</f>
        <v/>
      </c>
      <c r="AC1990" s="40" t="str">
        <f aca="false">IF($B1990="","",IF(AND(OR(CETAK!$J$10="",$F1990=CETAK!$J$10),OR(CETAK!$J$11="",$G1990=CETAK!$J$11),OR(CETAK!$J$12="",$P1990=CETAK!$J$12),OR(CETAK!$J$13="",$N1990=CETAK!$J$13),OR(CETAK!$J$14="",$T1990=CETAK!$J$14)),MAX($AC$3:AC1989)+1,""))</f>
        <v/>
      </c>
      <c r="AD1990" s="40" t="str">
        <f aca="false">IF($B1990="","",IF(AND(OR(ABSENSI!$H$10="",$F1990=ABSENSI!$H$10),OR(ABSENSI!$H$11="",$G1990=ABSENSI!$H$11),OR(ABSENSI!$H$12="",$P1990=ABSENSI!$H$12)),MAX($AD$3:AD1989)+1,""))</f>
        <v/>
      </c>
      <c r="AE1990" s="40" t="str">
        <f aca="false">IF($B1990="","",IF(AND(OR(KARTU!$K$6="",$F1990=KARTU!$K$6),OR(KARTU!$K$7="",$G1990=KARTU!$K$7),OR(KARTU!$K$8="",$P1990=KARTU!$K$8)),MAX($AE$3:AE1989)+1,""))</f>
        <v/>
      </c>
    </row>
    <row r="1991" customFormat="false" ht="15" hidden="false" customHeight="false" outlineLevel="0" collapsed="false">
      <c r="A1991" s="35" t="str">
        <f aca="false">IF($B1991="","",COUNTA($B$4:$B1991))</f>
        <v/>
      </c>
      <c r="B1991" s="36"/>
      <c r="C1991" s="37"/>
      <c r="D1991" s="37"/>
      <c r="E1991" s="38"/>
      <c r="F1991" s="36"/>
      <c r="G1991" s="39"/>
      <c r="H1991" s="39"/>
      <c r="I1991" s="36"/>
      <c r="J1991" s="36"/>
      <c r="K1991" s="36"/>
      <c r="L1991" s="36"/>
      <c r="M1991" s="40" t="str">
        <f aca="false">IF($F1991="","",$F1991&amp;IF($G1991="",""," - RT "&amp;$G1991&amp;IF($H1991="","","/"&amp;$H1991)))</f>
        <v/>
      </c>
      <c r="N1991" s="36"/>
      <c r="O1991" s="37"/>
      <c r="P1991" s="39"/>
      <c r="Q1991" s="41"/>
      <c r="R1991" s="35" t="str">
        <f aca="true">IF(OR($B1991="",$Q1991=""),"",DATEDIF($Q1991,TODAY(),"Y"))</f>
        <v/>
      </c>
      <c r="S1991" s="40" t="str">
        <f aca="false">IF($R1991="","",INDEX(usia_label,MATCH($R1991,usia_min,1)))</f>
        <v/>
      </c>
      <c r="T1991" s="36"/>
      <c r="U1991" s="41"/>
      <c r="V1991" s="36"/>
      <c r="W1991" s="36"/>
      <c r="X1991" s="40" t="str">
        <f aca="false">IF($M1991="","",$M1991&amp;"#"&amp;COUNTIF($M$4:$M1991,$M1991))</f>
        <v/>
      </c>
      <c r="Y1991" s="40" t="str">
        <f aca="false">IF($B1991="","",IF($C1991="","NIK kosong",IF(LEN($C1991)&lt;&gt;16,"NIK bukan 16 digit",IF(COUNTIF($C$4:$C$2003,$C1991&amp;"*")&gt;1,"NIK ganda",IF(AND($D1991&lt;&gt;"",LEN($D1991)&lt;&gt;16),"No. KK bukan 16 digit",IF(AND($F1991="",$I1991=""),"Alamat kosong",IF($N1991="","Jabatan kosong",IF($O1991="","No. HP kosong",IF(AND($R1991&lt;&gt;"",$R1991&lt;17),"Usia di bawah 17","")))))))))</f>
        <v/>
      </c>
      <c r="Z1991" s="40" t="str">
        <f aca="false">IF($B1991="","",IF(AND(OR(CARI!$C$5="",ISNUMBER(SEARCH(CARI!$C$5,$B1991&amp;" "&amp;$C1991&amp;" "&amp;$D1991&amp;" "&amp;$O1991&amp;" "&amp;$I1991&amp;" "&amp;$F1991&amp;" "&amp;$J1991&amp;" "&amp;$K1991&amp;" "&amp;$L1991&amp;" "&amp;$V1991))),OR(CARI!$C$6="",$F1991=CARI!$C$6),OR(CARI!$C$7="",$G1991=CARI!$C$7),OR(CARI!$C$8="",$T1991=CARI!$C$8)),MAX($Z$3:Z1990)+1,""))</f>
        <v/>
      </c>
      <c r="AA1991" s="40" t="str">
        <f aca="false">IF($Y1991="","",MAX($AA$3:AA1990)+1)</f>
        <v/>
      </c>
      <c r="AB1991" s="40" t="str">
        <f aca="false">IF($F1991="","",$F1991&amp;"#"&amp;COUNTIF($F$4:$F1991,$F1991))</f>
        <v/>
      </c>
      <c r="AC1991" s="40" t="str">
        <f aca="false">IF($B1991="","",IF(AND(OR(CETAK!$J$10="",$F1991=CETAK!$J$10),OR(CETAK!$J$11="",$G1991=CETAK!$J$11),OR(CETAK!$J$12="",$P1991=CETAK!$J$12),OR(CETAK!$J$13="",$N1991=CETAK!$J$13),OR(CETAK!$J$14="",$T1991=CETAK!$J$14)),MAX($AC$3:AC1990)+1,""))</f>
        <v/>
      </c>
      <c r="AD1991" s="40" t="str">
        <f aca="false">IF($B1991="","",IF(AND(OR(ABSENSI!$H$10="",$F1991=ABSENSI!$H$10),OR(ABSENSI!$H$11="",$G1991=ABSENSI!$H$11),OR(ABSENSI!$H$12="",$P1991=ABSENSI!$H$12)),MAX($AD$3:AD1990)+1,""))</f>
        <v/>
      </c>
      <c r="AE1991" s="40" t="str">
        <f aca="false">IF($B1991="","",IF(AND(OR(KARTU!$K$6="",$F1991=KARTU!$K$6),OR(KARTU!$K$7="",$G1991=KARTU!$K$7),OR(KARTU!$K$8="",$P1991=KARTU!$K$8)),MAX($AE$3:AE1990)+1,""))</f>
        <v/>
      </c>
    </row>
    <row r="1992" customFormat="false" ht="15" hidden="false" customHeight="false" outlineLevel="0" collapsed="false">
      <c r="A1992" s="35" t="str">
        <f aca="false">IF($B1992="","",COUNTA($B$4:$B1992))</f>
        <v/>
      </c>
      <c r="B1992" s="36"/>
      <c r="C1992" s="37"/>
      <c r="D1992" s="37"/>
      <c r="E1992" s="38"/>
      <c r="F1992" s="36"/>
      <c r="G1992" s="39"/>
      <c r="H1992" s="39"/>
      <c r="I1992" s="36"/>
      <c r="J1992" s="36"/>
      <c r="K1992" s="36"/>
      <c r="L1992" s="36"/>
      <c r="M1992" s="40" t="str">
        <f aca="false">IF($F1992="","",$F1992&amp;IF($G1992="",""," - RT "&amp;$G1992&amp;IF($H1992="","","/"&amp;$H1992)))</f>
        <v/>
      </c>
      <c r="N1992" s="36"/>
      <c r="O1992" s="37"/>
      <c r="P1992" s="39"/>
      <c r="Q1992" s="41"/>
      <c r="R1992" s="35" t="str">
        <f aca="true">IF(OR($B1992="",$Q1992=""),"",DATEDIF($Q1992,TODAY(),"Y"))</f>
        <v/>
      </c>
      <c r="S1992" s="40" t="str">
        <f aca="false">IF($R1992="","",INDEX(usia_label,MATCH($R1992,usia_min,1)))</f>
        <v/>
      </c>
      <c r="T1992" s="36"/>
      <c r="U1992" s="41"/>
      <c r="V1992" s="36"/>
      <c r="W1992" s="36"/>
      <c r="X1992" s="40" t="str">
        <f aca="false">IF($M1992="","",$M1992&amp;"#"&amp;COUNTIF($M$4:$M1992,$M1992))</f>
        <v/>
      </c>
      <c r="Y1992" s="40" t="str">
        <f aca="false">IF($B1992="","",IF($C1992="","NIK kosong",IF(LEN($C1992)&lt;&gt;16,"NIK bukan 16 digit",IF(COUNTIF($C$4:$C$2003,$C1992&amp;"*")&gt;1,"NIK ganda",IF(AND($D1992&lt;&gt;"",LEN($D1992)&lt;&gt;16),"No. KK bukan 16 digit",IF(AND($F1992="",$I1992=""),"Alamat kosong",IF($N1992="","Jabatan kosong",IF($O1992="","No. HP kosong",IF(AND($R1992&lt;&gt;"",$R1992&lt;17),"Usia di bawah 17","")))))))))</f>
        <v/>
      </c>
      <c r="Z1992" s="40" t="str">
        <f aca="false">IF($B1992="","",IF(AND(OR(CARI!$C$5="",ISNUMBER(SEARCH(CARI!$C$5,$B1992&amp;" "&amp;$C1992&amp;" "&amp;$D1992&amp;" "&amp;$O1992&amp;" "&amp;$I1992&amp;" "&amp;$F1992&amp;" "&amp;$J1992&amp;" "&amp;$K1992&amp;" "&amp;$L1992&amp;" "&amp;$V1992))),OR(CARI!$C$6="",$F1992=CARI!$C$6),OR(CARI!$C$7="",$G1992=CARI!$C$7),OR(CARI!$C$8="",$T1992=CARI!$C$8)),MAX($Z$3:Z1991)+1,""))</f>
        <v/>
      </c>
      <c r="AA1992" s="40" t="str">
        <f aca="false">IF($Y1992="","",MAX($AA$3:AA1991)+1)</f>
        <v/>
      </c>
      <c r="AB1992" s="40" t="str">
        <f aca="false">IF($F1992="","",$F1992&amp;"#"&amp;COUNTIF($F$4:$F1992,$F1992))</f>
        <v/>
      </c>
      <c r="AC1992" s="40" t="str">
        <f aca="false">IF($B1992="","",IF(AND(OR(CETAK!$J$10="",$F1992=CETAK!$J$10),OR(CETAK!$J$11="",$G1992=CETAK!$J$11),OR(CETAK!$J$12="",$P1992=CETAK!$J$12),OR(CETAK!$J$13="",$N1992=CETAK!$J$13),OR(CETAK!$J$14="",$T1992=CETAK!$J$14)),MAX($AC$3:AC1991)+1,""))</f>
        <v/>
      </c>
      <c r="AD1992" s="40" t="str">
        <f aca="false">IF($B1992="","",IF(AND(OR(ABSENSI!$H$10="",$F1992=ABSENSI!$H$10),OR(ABSENSI!$H$11="",$G1992=ABSENSI!$H$11),OR(ABSENSI!$H$12="",$P1992=ABSENSI!$H$12)),MAX($AD$3:AD1991)+1,""))</f>
        <v/>
      </c>
      <c r="AE1992" s="40" t="str">
        <f aca="false">IF($B1992="","",IF(AND(OR(KARTU!$K$6="",$F1992=KARTU!$K$6),OR(KARTU!$K$7="",$G1992=KARTU!$K$7),OR(KARTU!$K$8="",$P1992=KARTU!$K$8)),MAX($AE$3:AE1991)+1,""))</f>
        <v/>
      </c>
    </row>
    <row r="1993" customFormat="false" ht="15" hidden="false" customHeight="false" outlineLevel="0" collapsed="false">
      <c r="A1993" s="35" t="str">
        <f aca="false">IF($B1993="","",COUNTA($B$4:$B1993))</f>
        <v/>
      </c>
      <c r="B1993" s="36"/>
      <c r="C1993" s="37"/>
      <c r="D1993" s="37"/>
      <c r="E1993" s="38"/>
      <c r="F1993" s="36"/>
      <c r="G1993" s="39"/>
      <c r="H1993" s="39"/>
      <c r="I1993" s="36"/>
      <c r="J1993" s="36"/>
      <c r="K1993" s="36"/>
      <c r="L1993" s="36"/>
      <c r="M1993" s="40" t="str">
        <f aca="false">IF($F1993="","",$F1993&amp;IF($G1993="",""," - RT "&amp;$G1993&amp;IF($H1993="","","/"&amp;$H1993)))</f>
        <v/>
      </c>
      <c r="N1993" s="36"/>
      <c r="O1993" s="37"/>
      <c r="P1993" s="39"/>
      <c r="Q1993" s="41"/>
      <c r="R1993" s="35" t="str">
        <f aca="true">IF(OR($B1993="",$Q1993=""),"",DATEDIF($Q1993,TODAY(),"Y"))</f>
        <v/>
      </c>
      <c r="S1993" s="40" t="str">
        <f aca="false">IF($R1993="","",INDEX(usia_label,MATCH($R1993,usia_min,1)))</f>
        <v/>
      </c>
      <c r="T1993" s="36"/>
      <c r="U1993" s="41"/>
      <c r="V1993" s="36"/>
      <c r="W1993" s="36"/>
      <c r="X1993" s="40" t="str">
        <f aca="false">IF($M1993="","",$M1993&amp;"#"&amp;COUNTIF($M$4:$M1993,$M1993))</f>
        <v/>
      </c>
      <c r="Y1993" s="40" t="str">
        <f aca="false">IF($B1993="","",IF($C1993="","NIK kosong",IF(LEN($C1993)&lt;&gt;16,"NIK bukan 16 digit",IF(COUNTIF($C$4:$C$2003,$C1993&amp;"*")&gt;1,"NIK ganda",IF(AND($D1993&lt;&gt;"",LEN($D1993)&lt;&gt;16),"No. KK bukan 16 digit",IF(AND($F1993="",$I1993=""),"Alamat kosong",IF($N1993="","Jabatan kosong",IF($O1993="","No. HP kosong",IF(AND($R1993&lt;&gt;"",$R1993&lt;17),"Usia di bawah 17","")))))))))</f>
        <v/>
      </c>
      <c r="Z1993" s="40" t="str">
        <f aca="false">IF($B1993="","",IF(AND(OR(CARI!$C$5="",ISNUMBER(SEARCH(CARI!$C$5,$B1993&amp;" "&amp;$C1993&amp;" "&amp;$D1993&amp;" "&amp;$O1993&amp;" "&amp;$I1993&amp;" "&amp;$F1993&amp;" "&amp;$J1993&amp;" "&amp;$K1993&amp;" "&amp;$L1993&amp;" "&amp;$V1993))),OR(CARI!$C$6="",$F1993=CARI!$C$6),OR(CARI!$C$7="",$G1993=CARI!$C$7),OR(CARI!$C$8="",$T1993=CARI!$C$8)),MAX($Z$3:Z1992)+1,""))</f>
        <v/>
      </c>
      <c r="AA1993" s="40" t="str">
        <f aca="false">IF($Y1993="","",MAX($AA$3:AA1992)+1)</f>
        <v/>
      </c>
      <c r="AB1993" s="40" t="str">
        <f aca="false">IF($F1993="","",$F1993&amp;"#"&amp;COUNTIF($F$4:$F1993,$F1993))</f>
        <v/>
      </c>
      <c r="AC1993" s="40" t="str">
        <f aca="false">IF($B1993="","",IF(AND(OR(CETAK!$J$10="",$F1993=CETAK!$J$10),OR(CETAK!$J$11="",$G1993=CETAK!$J$11),OR(CETAK!$J$12="",$P1993=CETAK!$J$12),OR(CETAK!$J$13="",$N1993=CETAK!$J$13),OR(CETAK!$J$14="",$T1993=CETAK!$J$14)),MAX($AC$3:AC1992)+1,""))</f>
        <v/>
      </c>
      <c r="AD1993" s="40" t="str">
        <f aca="false">IF($B1993="","",IF(AND(OR(ABSENSI!$H$10="",$F1993=ABSENSI!$H$10),OR(ABSENSI!$H$11="",$G1993=ABSENSI!$H$11),OR(ABSENSI!$H$12="",$P1993=ABSENSI!$H$12)),MAX($AD$3:AD1992)+1,""))</f>
        <v/>
      </c>
      <c r="AE1993" s="40" t="str">
        <f aca="false">IF($B1993="","",IF(AND(OR(KARTU!$K$6="",$F1993=KARTU!$K$6),OR(KARTU!$K$7="",$G1993=KARTU!$K$7),OR(KARTU!$K$8="",$P1993=KARTU!$K$8)),MAX($AE$3:AE1992)+1,""))</f>
        <v/>
      </c>
    </row>
    <row r="1994" customFormat="false" ht="15" hidden="false" customHeight="false" outlineLevel="0" collapsed="false">
      <c r="A1994" s="35" t="str">
        <f aca="false">IF($B1994="","",COUNTA($B$4:$B1994))</f>
        <v/>
      </c>
      <c r="B1994" s="36"/>
      <c r="C1994" s="37"/>
      <c r="D1994" s="37"/>
      <c r="E1994" s="38"/>
      <c r="F1994" s="36"/>
      <c r="G1994" s="39"/>
      <c r="H1994" s="39"/>
      <c r="I1994" s="36"/>
      <c r="J1994" s="36"/>
      <c r="K1994" s="36"/>
      <c r="L1994" s="36"/>
      <c r="M1994" s="40" t="str">
        <f aca="false">IF($F1994="","",$F1994&amp;IF($G1994="",""," - RT "&amp;$G1994&amp;IF($H1994="","","/"&amp;$H1994)))</f>
        <v/>
      </c>
      <c r="N1994" s="36"/>
      <c r="O1994" s="37"/>
      <c r="P1994" s="39"/>
      <c r="Q1994" s="41"/>
      <c r="R1994" s="35" t="str">
        <f aca="true">IF(OR($B1994="",$Q1994=""),"",DATEDIF($Q1994,TODAY(),"Y"))</f>
        <v/>
      </c>
      <c r="S1994" s="40" t="str">
        <f aca="false">IF($R1994="","",INDEX(usia_label,MATCH($R1994,usia_min,1)))</f>
        <v/>
      </c>
      <c r="T1994" s="36"/>
      <c r="U1994" s="41"/>
      <c r="V1994" s="36"/>
      <c r="W1994" s="36"/>
      <c r="X1994" s="40" t="str">
        <f aca="false">IF($M1994="","",$M1994&amp;"#"&amp;COUNTIF($M$4:$M1994,$M1994))</f>
        <v/>
      </c>
      <c r="Y1994" s="40" t="str">
        <f aca="false">IF($B1994="","",IF($C1994="","NIK kosong",IF(LEN($C1994)&lt;&gt;16,"NIK bukan 16 digit",IF(COUNTIF($C$4:$C$2003,$C1994&amp;"*")&gt;1,"NIK ganda",IF(AND($D1994&lt;&gt;"",LEN($D1994)&lt;&gt;16),"No. KK bukan 16 digit",IF(AND($F1994="",$I1994=""),"Alamat kosong",IF($N1994="","Jabatan kosong",IF($O1994="","No. HP kosong",IF(AND($R1994&lt;&gt;"",$R1994&lt;17),"Usia di bawah 17","")))))))))</f>
        <v/>
      </c>
      <c r="Z1994" s="40" t="str">
        <f aca="false">IF($B1994="","",IF(AND(OR(CARI!$C$5="",ISNUMBER(SEARCH(CARI!$C$5,$B1994&amp;" "&amp;$C1994&amp;" "&amp;$D1994&amp;" "&amp;$O1994&amp;" "&amp;$I1994&amp;" "&amp;$F1994&amp;" "&amp;$J1994&amp;" "&amp;$K1994&amp;" "&amp;$L1994&amp;" "&amp;$V1994))),OR(CARI!$C$6="",$F1994=CARI!$C$6),OR(CARI!$C$7="",$G1994=CARI!$C$7),OR(CARI!$C$8="",$T1994=CARI!$C$8)),MAX($Z$3:Z1993)+1,""))</f>
        <v/>
      </c>
      <c r="AA1994" s="40" t="str">
        <f aca="false">IF($Y1994="","",MAX($AA$3:AA1993)+1)</f>
        <v/>
      </c>
      <c r="AB1994" s="40" t="str">
        <f aca="false">IF($F1994="","",$F1994&amp;"#"&amp;COUNTIF($F$4:$F1994,$F1994))</f>
        <v/>
      </c>
      <c r="AC1994" s="40" t="str">
        <f aca="false">IF($B1994="","",IF(AND(OR(CETAK!$J$10="",$F1994=CETAK!$J$10),OR(CETAK!$J$11="",$G1994=CETAK!$J$11),OR(CETAK!$J$12="",$P1994=CETAK!$J$12),OR(CETAK!$J$13="",$N1994=CETAK!$J$13),OR(CETAK!$J$14="",$T1994=CETAK!$J$14)),MAX($AC$3:AC1993)+1,""))</f>
        <v/>
      </c>
      <c r="AD1994" s="40" t="str">
        <f aca="false">IF($B1994="","",IF(AND(OR(ABSENSI!$H$10="",$F1994=ABSENSI!$H$10),OR(ABSENSI!$H$11="",$G1994=ABSENSI!$H$11),OR(ABSENSI!$H$12="",$P1994=ABSENSI!$H$12)),MAX($AD$3:AD1993)+1,""))</f>
        <v/>
      </c>
      <c r="AE1994" s="40" t="str">
        <f aca="false">IF($B1994="","",IF(AND(OR(KARTU!$K$6="",$F1994=KARTU!$K$6),OR(KARTU!$K$7="",$G1994=KARTU!$K$7),OR(KARTU!$K$8="",$P1994=KARTU!$K$8)),MAX($AE$3:AE1993)+1,""))</f>
        <v/>
      </c>
    </row>
    <row r="1995" customFormat="false" ht="15" hidden="false" customHeight="false" outlineLevel="0" collapsed="false">
      <c r="A1995" s="35" t="str">
        <f aca="false">IF($B1995="","",COUNTA($B$4:$B1995))</f>
        <v/>
      </c>
      <c r="B1995" s="36"/>
      <c r="C1995" s="37"/>
      <c r="D1995" s="37"/>
      <c r="E1995" s="38"/>
      <c r="F1995" s="36"/>
      <c r="G1995" s="39"/>
      <c r="H1995" s="39"/>
      <c r="I1995" s="36"/>
      <c r="J1995" s="36"/>
      <c r="K1995" s="36"/>
      <c r="L1995" s="36"/>
      <c r="M1995" s="40" t="str">
        <f aca="false">IF($F1995="","",$F1995&amp;IF($G1995="",""," - RT "&amp;$G1995&amp;IF($H1995="","","/"&amp;$H1995)))</f>
        <v/>
      </c>
      <c r="N1995" s="36"/>
      <c r="O1995" s="37"/>
      <c r="P1995" s="39"/>
      <c r="Q1995" s="41"/>
      <c r="R1995" s="35" t="str">
        <f aca="true">IF(OR($B1995="",$Q1995=""),"",DATEDIF($Q1995,TODAY(),"Y"))</f>
        <v/>
      </c>
      <c r="S1995" s="40" t="str">
        <f aca="false">IF($R1995="","",INDEX(usia_label,MATCH($R1995,usia_min,1)))</f>
        <v/>
      </c>
      <c r="T1995" s="36"/>
      <c r="U1995" s="41"/>
      <c r="V1995" s="36"/>
      <c r="W1995" s="36"/>
      <c r="X1995" s="40" t="str">
        <f aca="false">IF($M1995="","",$M1995&amp;"#"&amp;COUNTIF($M$4:$M1995,$M1995))</f>
        <v/>
      </c>
      <c r="Y1995" s="40" t="str">
        <f aca="false">IF($B1995="","",IF($C1995="","NIK kosong",IF(LEN($C1995)&lt;&gt;16,"NIK bukan 16 digit",IF(COUNTIF($C$4:$C$2003,$C1995&amp;"*")&gt;1,"NIK ganda",IF(AND($D1995&lt;&gt;"",LEN($D1995)&lt;&gt;16),"No. KK bukan 16 digit",IF(AND($F1995="",$I1995=""),"Alamat kosong",IF($N1995="","Jabatan kosong",IF($O1995="","No. HP kosong",IF(AND($R1995&lt;&gt;"",$R1995&lt;17),"Usia di bawah 17","")))))))))</f>
        <v/>
      </c>
      <c r="Z1995" s="40" t="str">
        <f aca="false">IF($B1995="","",IF(AND(OR(CARI!$C$5="",ISNUMBER(SEARCH(CARI!$C$5,$B1995&amp;" "&amp;$C1995&amp;" "&amp;$D1995&amp;" "&amp;$O1995&amp;" "&amp;$I1995&amp;" "&amp;$F1995&amp;" "&amp;$J1995&amp;" "&amp;$K1995&amp;" "&amp;$L1995&amp;" "&amp;$V1995))),OR(CARI!$C$6="",$F1995=CARI!$C$6),OR(CARI!$C$7="",$G1995=CARI!$C$7),OR(CARI!$C$8="",$T1995=CARI!$C$8)),MAX($Z$3:Z1994)+1,""))</f>
        <v/>
      </c>
      <c r="AA1995" s="40" t="str">
        <f aca="false">IF($Y1995="","",MAX($AA$3:AA1994)+1)</f>
        <v/>
      </c>
      <c r="AB1995" s="40" t="str">
        <f aca="false">IF($F1995="","",$F1995&amp;"#"&amp;COUNTIF($F$4:$F1995,$F1995))</f>
        <v/>
      </c>
      <c r="AC1995" s="40" t="str">
        <f aca="false">IF($B1995="","",IF(AND(OR(CETAK!$J$10="",$F1995=CETAK!$J$10),OR(CETAK!$J$11="",$G1995=CETAK!$J$11),OR(CETAK!$J$12="",$P1995=CETAK!$J$12),OR(CETAK!$J$13="",$N1995=CETAK!$J$13),OR(CETAK!$J$14="",$T1995=CETAK!$J$14)),MAX($AC$3:AC1994)+1,""))</f>
        <v/>
      </c>
      <c r="AD1995" s="40" t="str">
        <f aca="false">IF($B1995="","",IF(AND(OR(ABSENSI!$H$10="",$F1995=ABSENSI!$H$10),OR(ABSENSI!$H$11="",$G1995=ABSENSI!$H$11),OR(ABSENSI!$H$12="",$P1995=ABSENSI!$H$12)),MAX($AD$3:AD1994)+1,""))</f>
        <v/>
      </c>
      <c r="AE1995" s="40" t="str">
        <f aca="false">IF($B1995="","",IF(AND(OR(KARTU!$K$6="",$F1995=KARTU!$K$6),OR(KARTU!$K$7="",$G1995=KARTU!$K$7),OR(KARTU!$K$8="",$P1995=KARTU!$K$8)),MAX($AE$3:AE1994)+1,""))</f>
        <v/>
      </c>
    </row>
    <row r="1996" customFormat="false" ht="15" hidden="false" customHeight="false" outlineLevel="0" collapsed="false">
      <c r="A1996" s="35" t="str">
        <f aca="false">IF($B1996="","",COUNTA($B$4:$B1996))</f>
        <v/>
      </c>
      <c r="B1996" s="36"/>
      <c r="C1996" s="37"/>
      <c r="D1996" s="37"/>
      <c r="E1996" s="38"/>
      <c r="F1996" s="36"/>
      <c r="G1996" s="39"/>
      <c r="H1996" s="39"/>
      <c r="I1996" s="36"/>
      <c r="J1996" s="36"/>
      <c r="K1996" s="36"/>
      <c r="L1996" s="36"/>
      <c r="M1996" s="40" t="str">
        <f aca="false">IF($F1996="","",$F1996&amp;IF($G1996="",""," - RT "&amp;$G1996&amp;IF($H1996="","","/"&amp;$H1996)))</f>
        <v/>
      </c>
      <c r="N1996" s="36"/>
      <c r="O1996" s="37"/>
      <c r="P1996" s="39"/>
      <c r="Q1996" s="41"/>
      <c r="R1996" s="35" t="str">
        <f aca="true">IF(OR($B1996="",$Q1996=""),"",DATEDIF($Q1996,TODAY(),"Y"))</f>
        <v/>
      </c>
      <c r="S1996" s="40" t="str">
        <f aca="false">IF($R1996="","",INDEX(usia_label,MATCH($R1996,usia_min,1)))</f>
        <v/>
      </c>
      <c r="T1996" s="36"/>
      <c r="U1996" s="41"/>
      <c r="V1996" s="36"/>
      <c r="W1996" s="36"/>
      <c r="X1996" s="40" t="str">
        <f aca="false">IF($M1996="","",$M1996&amp;"#"&amp;COUNTIF($M$4:$M1996,$M1996))</f>
        <v/>
      </c>
      <c r="Y1996" s="40" t="str">
        <f aca="false">IF($B1996="","",IF($C1996="","NIK kosong",IF(LEN($C1996)&lt;&gt;16,"NIK bukan 16 digit",IF(COUNTIF($C$4:$C$2003,$C1996&amp;"*")&gt;1,"NIK ganda",IF(AND($D1996&lt;&gt;"",LEN($D1996)&lt;&gt;16),"No. KK bukan 16 digit",IF(AND($F1996="",$I1996=""),"Alamat kosong",IF($N1996="","Jabatan kosong",IF($O1996="","No. HP kosong",IF(AND($R1996&lt;&gt;"",$R1996&lt;17),"Usia di bawah 17","")))))))))</f>
        <v/>
      </c>
      <c r="Z1996" s="40" t="str">
        <f aca="false">IF($B1996="","",IF(AND(OR(CARI!$C$5="",ISNUMBER(SEARCH(CARI!$C$5,$B1996&amp;" "&amp;$C1996&amp;" "&amp;$D1996&amp;" "&amp;$O1996&amp;" "&amp;$I1996&amp;" "&amp;$F1996&amp;" "&amp;$J1996&amp;" "&amp;$K1996&amp;" "&amp;$L1996&amp;" "&amp;$V1996))),OR(CARI!$C$6="",$F1996=CARI!$C$6),OR(CARI!$C$7="",$G1996=CARI!$C$7),OR(CARI!$C$8="",$T1996=CARI!$C$8)),MAX($Z$3:Z1995)+1,""))</f>
        <v/>
      </c>
      <c r="AA1996" s="40" t="str">
        <f aca="false">IF($Y1996="","",MAX($AA$3:AA1995)+1)</f>
        <v/>
      </c>
      <c r="AB1996" s="40" t="str">
        <f aca="false">IF($F1996="","",$F1996&amp;"#"&amp;COUNTIF($F$4:$F1996,$F1996))</f>
        <v/>
      </c>
      <c r="AC1996" s="40" t="str">
        <f aca="false">IF($B1996="","",IF(AND(OR(CETAK!$J$10="",$F1996=CETAK!$J$10),OR(CETAK!$J$11="",$G1996=CETAK!$J$11),OR(CETAK!$J$12="",$P1996=CETAK!$J$12),OR(CETAK!$J$13="",$N1996=CETAK!$J$13),OR(CETAK!$J$14="",$T1996=CETAK!$J$14)),MAX($AC$3:AC1995)+1,""))</f>
        <v/>
      </c>
      <c r="AD1996" s="40" t="str">
        <f aca="false">IF($B1996="","",IF(AND(OR(ABSENSI!$H$10="",$F1996=ABSENSI!$H$10),OR(ABSENSI!$H$11="",$G1996=ABSENSI!$H$11),OR(ABSENSI!$H$12="",$P1996=ABSENSI!$H$12)),MAX($AD$3:AD1995)+1,""))</f>
        <v/>
      </c>
      <c r="AE1996" s="40" t="str">
        <f aca="false">IF($B1996="","",IF(AND(OR(KARTU!$K$6="",$F1996=KARTU!$K$6),OR(KARTU!$K$7="",$G1996=KARTU!$K$7),OR(KARTU!$K$8="",$P1996=KARTU!$K$8)),MAX($AE$3:AE1995)+1,""))</f>
        <v/>
      </c>
    </row>
    <row r="1997" customFormat="false" ht="15" hidden="false" customHeight="false" outlineLevel="0" collapsed="false">
      <c r="A1997" s="35" t="str">
        <f aca="false">IF($B1997="","",COUNTA($B$4:$B1997))</f>
        <v/>
      </c>
      <c r="B1997" s="36"/>
      <c r="C1997" s="37"/>
      <c r="D1997" s="37"/>
      <c r="E1997" s="38"/>
      <c r="F1997" s="36"/>
      <c r="G1997" s="39"/>
      <c r="H1997" s="39"/>
      <c r="I1997" s="36"/>
      <c r="J1997" s="36"/>
      <c r="K1997" s="36"/>
      <c r="L1997" s="36"/>
      <c r="M1997" s="40" t="str">
        <f aca="false">IF($F1997="","",$F1997&amp;IF($G1997="",""," - RT "&amp;$G1997&amp;IF($H1997="","","/"&amp;$H1997)))</f>
        <v/>
      </c>
      <c r="N1997" s="36"/>
      <c r="O1997" s="37"/>
      <c r="P1997" s="39"/>
      <c r="Q1997" s="41"/>
      <c r="R1997" s="35" t="str">
        <f aca="true">IF(OR($B1997="",$Q1997=""),"",DATEDIF($Q1997,TODAY(),"Y"))</f>
        <v/>
      </c>
      <c r="S1997" s="40" t="str">
        <f aca="false">IF($R1997="","",INDEX(usia_label,MATCH($R1997,usia_min,1)))</f>
        <v/>
      </c>
      <c r="T1997" s="36"/>
      <c r="U1997" s="41"/>
      <c r="V1997" s="36"/>
      <c r="W1997" s="36"/>
      <c r="X1997" s="40" t="str">
        <f aca="false">IF($M1997="","",$M1997&amp;"#"&amp;COUNTIF($M$4:$M1997,$M1997))</f>
        <v/>
      </c>
      <c r="Y1997" s="40" t="str">
        <f aca="false">IF($B1997="","",IF($C1997="","NIK kosong",IF(LEN($C1997)&lt;&gt;16,"NIK bukan 16 digit",IF(COUNTIF($C$4:$C$2003,$C1997&amp;"*")&gt;1,"NIK ganda",IF(AND($D1997&lt;&gt;"",LEN($D1997)&lt;&gt;16),"No. KK bukan 16 digit",IF(AND($F1997="",$I1997=""),"Alamat kosong",IF($N1997="","Jabatan kosong",IF($O1997="","No. HP kosong",IF(AND($R1997&lt;&gt;"",$R1997&lt;17),"Usia di bawah 17","")))))))))</f>
        <v/>
      </c>
      <c r="Z1997" s="40" t="str">
        <f aca="false">IF($B1997="","",IF(AND(OR(CARI!$C$5="",ISNUMBER(SEARCH(CARI!$C$5,$B1997&amp;" "&amp;$C1997&amp;" "&amp;$D1997&amp;" "&amp;$O1997&amp;" "&amp;$I1997&amp;" "&amp;$F1997&amp;" "&amp;$J1997&amp;" "&amp;$K1997&amp;" "&amp;$L1997&amp;" "&amp;$V1997))),OR(CARI!$C$6="",$F1997=CARI!$C$6),OR(CARI!$C$7="",$G1997=CARI!$C$7),OR(CARI!$C$8="",$T1997=CARI!$C$8)),MAX($Z$3:Z1996)+1,""))</f>
        <v/>
      </c>
      <c r="AA1997" s="40" t="str">
        <f aca="false">IF($Y1997="","",MAX($AA$3:AA1996)+1)</f>
        <v/>
      </c>
      <c r="AB1997" s="40" t="str">
        <f aca="false">IF($F1997="","",$F1997&amp;"#"&amp;COUNTIF($F$4:$F1997,$F1997))</f>
        <v/>
      </c>
      <c r="AC1997" s="40" t="str">
        <f aca="false">IF($B1997="","",IF(AND(OR(CETAK!$J$10="",$F1997=CETAK!$J$10),OR(CETAK!$J$11="",$G1997=CETAK!$J$11),OR(CETAK!$J$12="",$P1997=CETAK!$J$12),OR(CETAK!$J$13="",$N1997=CETAK!$J$13),OR(CETAK!$J$14="",$T1997=CETAK!$J$14)),MAX($AC$3:AC1996)+1,""))</f>
        <v/>
      </c>
      <c r="AD1997" s="40" t="str">
        <f aca="false">IF($B1997="","",IF(AND(OR(ABSENSI!$H$10="",$F1997=ABSENSI!$H$10),OR(ABSENSI!$H$11="",$G1997=ABSENSI!$H$11),OR(ABSENSI!$H$12="",$P1997=ABSENSI!$H$12)),MAX($AD$3:AD1996)+1,""))</f>
        <v/>
      </c>
      <c r="AE1997" s="40" t="str">
        <f aca="false">IF($B1997="","",IF(AND(OR(KARTU!$K$6="",$F1997=KARTU!$K$6),OR(KARTU!$K$7="",$G1997=KARTU!$K$7),OR(KARTU!$K$8="",$P1997=KARTU!$K$8)),MAX($AE$3:AE1996)+1,""))</f>
        <v/>
      </c>
    </row>
    <row r="1998" customFormat="false" ht="15" hidden="false" customHeight="false" outlineLevel="0" collapsed="false">
      <c r="A1998" s="35" t="str">
        <f aca="false">IF($B1998="","",COUNTA($B$4:$B1998))</f>
        <v/>
      </c>
      <c r="B1998" s="36"/>
      <c r="C1998" s="37"/>
      <c r="D1998" s="37"/>
      <c r="E1998" s="38"/>
      <c r="F1998" s="36"/>
      <c r="G1998" s="39"/>
      <c r="H1998" s="39"/>
      <c r="I1998" s="36"/>
      <c r="J1998" s="36"/>
      <c r="K1998" s="36"/>
      <c r="L1998" s="36"/>
      <c r="M1998" s="40" t="str">
        <f aca="false">IF($F1998="","",$F1998&amp;IF($G1998="",""," - RT "&amp;$G1998&amp;IF($H1998="","","/"&amp;$H1998)))</f>
        <v/>
      </c>
      <c r="N1998" s="36"/>
      <c r="O1998" s="37"/>
      <c r="P1998" s="39"/>
      <c r="Q1998" s="41"/>
      <c r="R1998" s="35" t="str">
        <f aca="true">IF(OR($B1998="",$Q1998=""),"",DATEDIF($Q1998,TODAY(),"Y"))</f>
        <v/>
      </c>
      <c r="S1998" s="40" t="str">
        <f aca="false">IF($R1998="","",INDEX(usia_label,MATCH($R1998,usia_min,1)))</f>
        <v/>
      </c>
      <c r="T1998" s="36"/>
      <c r="U1998" s="41"/>
      <c r="V1998" s="36"/>
      <c r="W1998" s="36"/>
      <c r="X1998" s="40" t="str">
        <f aca="false">IF($M1998="","",$M1998&amp;"#"&amp;COUNTIF($M$4:$M1998,$M1998))</f>
        <v/>
      </c>
      <c r="Y1998" s="40" t="str">
        <f aca="false">IF($B1998="","",IF($C1998="","NIK kosong",IF(LEN($C1998)&lt;&gt;16,"NIK bukan 16 digit",IF(COUNTIF($C$4:$C$2003,$C1998&amp;"*")&gt;1,"NIK ganda",IF(AND($D1998&lt;&gt;"",LEN($D1998)&lt;&gt;16),"No. KK bukan 16 digit",IF(AND($F1998="",$I1998=""),"Alamat kosong",IF($N1998="","Jabatan kosong",IF($O1998="","No. HP kosong",IF(AND($R1998&lt;&gt;"",$R1998&lt;17),"Usia di bawah 17","")))))))))</f>
        <v/>
      </c>
      <c r="Z1998" s="40" t="str">
        <f aca="false">IF($B1998="","",IF(AND(OR(CARI!$C$5="",ISNUMBER(SEARCH(CARI!$C$5,$B1998&amp;" "&amp;$C1998&amp;" "&amp;$D1998&amp;" "&amp;$O1998&amp;" "&amp;$I1998&amp;" "&amp;$F1998&amp;" "&amp;$J1998&amp;" "&amp;$K1998&amp;" "&amp;$L1998&amp;" "&amp;$V1998))),OR(CARI!$C$6="",$F1998=CARI!$C$6),OR(CARI!$C$7="",$G1998=CARI!$C$7),OR(CARI!$C$8="",$T1998=CARI!$C$8)),MAX($Z$3:Z1997)+1,""))</f>
        <v/>
      </c>
      <c r="AA1998" s="40" t="str">
        <f aca="false">IF($Y1998="","",MAX($AA$3:AA1997)+1)</f>
        <v/>
      </c>
      <c r="AB1998" s="40" t="str">
        <f aca="false">IF($F1998="","",$F1998&amp;"#"&amp;COUNTIF($F$4:$F1998,$F1998))</f>
        <v/>
      </c>
      <c r="AC1998" s="40" t="str">
        <f aca="false">IF($B1998="","",IF(AND(OR(CETAK!$J$10="",$F1998=CETAK!$J$10),OR(CETAK!$J$11="",$G1998=CETAK!$J$11),OR(CETAK!$J$12="",$P1998=CETAK!$J$12),OR(CETAK!$J$13="",$N1998=CETAK!$J$13),OR(CETAK!$J$14="",$T1998=CETAK!$J$14)),MAX($AC$3:AC1997)+1,""))</f>
        <v/>
      </c>
      <c r="AD1998" s="40" t="str">
        <f aca="false">IF($B1998="","",IF(AND(OR(ABSENSI!$H$10="",$F1998=ABSENSI!$H$10),OR(ABSENSI!$H$11="",$G1998=ABSENSI!$H$11),OR(ABSENSI!$H$12="",$P1998=ABSENSI!$H$12)),MAX($AD$3:AD1997)+1,""))</f>
        <v/>
      </c>
      <c r="AE1998" s="40" t="str">
        <f aca="false">IF($B1998="","",IF(AND(OR(KARTU!$K$6="",$F1998=KARTU!$K$6),OR(KARTU!$K$7="",$G1998=KARTU!$K$7),OR(KARTU!$K$8="",$P1998=KARTU!$K$8)),MAX($AE$3:AE1997)+1,""))</f>
        <v/>
      </c>
    </row>
    <row r="1999" customFormat="false" ht="15" hidden="false" customHeight="false" outlineLevel="0" collapsed="false">
      <c r="A1999" s="35" t="str">
        <f aca="false">IF($B1999="","",COUNTA($B$4:$B1999))</f>
        <v/>
      </c>
      <c r="B1999" s="36"/>
      <c r="C1999" s="37"/>
      <c r="D1999" s="37"/>
      <c r="E1999" s="38"/>
      <c r="F1999" s="36"/>
      <c r="G1999" s="39"/>
      <c r="H1999" s="39"/>
      <c r="I1999" s="36"/>
      <c r="J1999" s="36"/>
      <c r="K1999" s="36"/>
      <c r="L1999" s="36"/>
      <c r="M1999" s="40" t="str">
        <f aca="false">IF($F1999="","",$F1999&amp;IF($G1999="",""," - RT "&amp;$G1999&amp;IF($H1999="","","/"&amp;$H1999)))</f>
        <v/>
      </c>
      <c r="N1999" s="36"/>
      <c r="O1999" s="37"/>
      <c r="P1999" s="39"/>
      <c r="Q1999" s="41"/>
      <c r="R1999" s="35" t="str">
        <f aca="true">IF(OR($B1999="",$Q1999=""),"",DATEDIF($Q1999,TODAY(),"Y"))</f>
        <v/>
      </c>
      <c r="S1999" s="40" t="str">
        <f aca="false">IF($R1999="","",INDEX(usia_label,MATCH($R1999,usia_min,1)))</f>
        <v/>
      </c>
      <c r="T1999" s="36"/>
      <c r="U1999" s="41"/>
      <c r="V1999" s="36"/>
      <c r="W1999" s="36"/>
      <c r="X1999" s="40" t="str">
        <f aca="false">IF($M1999="","",$M1999&amp;"#"&amp;COUNTIF($M$4:$M1999,$M1999))</f>
        <v/>
      </c>
      <c r="Y1999" s="40" t="str">
        <f aca="false">IF($B1999="","",IF($C1999="","NIK kosong",IF(LEN($C1999)&lt;&gt;16,"NIK bukan 16 digit",IF(COUNTIF($C$4:$C$2003,$C1999&amp;"*")&gt;1,"NIK ganda",IF(AND($D1999&lt;&gt;"",LEN($D1999)&lt;&gt;16),"No. KK bukan 16 digit",IF(AND($F1999="",$I1999=""),"Alamat kosong",IF($N1999="","Jabatan kosong",IF($O1999="","No. HP kosong",IF(AND($R1999&lt;&gt;"",$R1999&lt;17),"Usia di bawah 17","")))))))))</f>
        <v/>
      </c>
      <c r="Z1999" s="40" t="str">
        <f aca="false">IF($B1999="","",IF(AND(OR(CARI!$C$5="",ISNUMBER(SEARCH(CARI!$C$5,$B1999&amp;" "&amp;$C1999&amp;" "&amp;$D1999&amp;" "&amp;$O1999&amp;" "&amp;$I1999&amp;" "&amp;$F1999&amp;" "&amp;$J1999&amp;" "&amp;$K1999&amp;" "&amp;$L1999&amp;" "&amp;$V1999))),OR(CARI!$C$6="",$F1999=CARI!$C$6),OR(CARI!$C$7="",$G1999=CARI!$C$7),OR(CARI!$C$8="",$T1999=CARI!$C$8)),MAX($Z$3:Z1998)+1,""))</f>
        <v/>
      </c>
      <c r="AA1999" s="40" t="str">
        <f aca="false">IF($Y1999="","",MAX($AA$3:AA1998)+1)</f>
        <v/>
      </c>
      <c r="AB1999" s="40" t="str">
        <f aca="false">IF($F1999="","",$F1999&amp;"#"&amp;COUNTIF($F$4:$F1999,$F1999))</f>
        <v/>
      </c>
      <c r="AC1999" s="40" t="str">
        <f aca="false">IF($B1999="","",IF(AND(OR(CETAK!$J$10="",$F1999=CETAK!$J$10),OR(CETAK!$J$11="",$G1999=CETAK!$J$11),OR(CETAK!$J$12="",$P1999=CETAK!$J$12),OR(CETAK!$J$13="",$N1999=CETAK!$J$13),OR(CETAK!$J$14="",$T1999=CETAK!$J$14)),MAX($AC$3:AC1998)+1,""))</f>
        <v/>
      </c>
      <c r="AD1999" s="40" t="str">
        <f aca="false">IF($B1999="","",IF(AND(OR(ABSENSI!$H$10="",$F1999=ABSENSI!$H$10),OR(ABSENSI!$H$11="",$G1999=ABSENSI!$H$11),OR(ABSENSI!$H$12="",$P1999=ABSENSI!$H$12)),MAX($AD$3:AD1998)+1,""))</f>
        <v/>
      </c>
      <c r="AE1999" s="40" t="str">
        <f aca="false">IF($B1999="","",IF(AND(OR(KARTU!$K$6="",$F1999=KARTU!$K$6),OR(KARTU!$K$7="",$G1999=KARTU!$K$7),OR(KARTU!$K$8="",$P1999=KARTU!$K$8)),MAX($AE$3:AE1998)+1,""))</f>
        <v/>
      </c>
    </row>
    <row r="2000" customFormat="false" ht="15" hidden="false" customHeight="false" outlineLevel="0" collapsed="false">
      <c r="A2000" s="35" t="str">
        <f aca="false">IF($B2000="","",COUNTA($B$4:$B2000))</f>
        <v/>
      </c>
      <c r="B2000" s="36"/>
      <c r="C2000" s="37"/>
      <c r="D2000" s="37"/>
      <c r="E2000" s="38"/>
      <c r="F2000" s="36"/>
      <c r="G2000" s="39"/>
      <c r="H2000" s="39"/>
      <c r="I2000" s="36"/>
      <c r="J2000" s="36"/>
      <c r="K2000" s="36"/>
      <c r="L2000" s="36"/>
      <c r="M2000" s="40" t="str">
        <f aca="false">IF($F2000="","",$F2000&amp;IF($G2000="",""," - RT "&amp;$G2000&amp;IF($H2000="","","/"&amp;$H2000)))</f>
        <v/>
      </c>
      <c r="N2000" s="36"/>
      <c r="O2000" s="37"/>
      <c r="P2000" s="39"/>
      <c r="Q2000" s="41"/>
      <c r="R2000" s="35" t="str">
        <f aca="true">IF(OR($B2000="",$Q2000=""),"",DATEDIF($Q2000,TODAY(),"Y"))</f>
        <v/>
      </c>
      <c r="S2000" s="40" t="str">
        <f aca="false">IF($R2000="","",INDEX(usia_label,MATCH($R2000,usia_min,1)))</f>
        <v/>
      </c>
      <c r="T2000" s="36"/>
      <c r="U2000" s="41"/>
      <c r="V2000" s="36"/>
      <c r="W2000" s="36"/>
      <c r="X2000" s="40" t="str">
        <f aca="false">IF($M2000="","",$M2000&amp;"#"&amp;COUNTIF($M$4:$M2000,$M2000))</f>
        <v/>
      </c>
      <c r="Y2000" s="40" t="str">
        <f aca="false">IF($B2000="","",IF($C2000="","NIK kosong",IF(LEN($C2000)&lt;&gt;16,"NIK bukan 16 digit",IF(COUNTIF($C$4:$C$2003,$C2000&amp;"*")&gt;1,"NIK ganda",IF(AND($D2000&lt;&gt;"",LEN($D2000)&lt;&gt;16),"No. KK bukan 16 digit",IF(AND($F2000="",$I2000=""),"Alamat kosong",IF($N2000="","Jabatan kosong",IF($O2000="","No. HP kosong",IF(AND($R2000&lt;&gt;"",$R2000&lt;17),"Usia di bawah 17","")))))))))</f>
        <v/>
      </c>
      <c r="Z2000" s="40" t="str">
        <f aca="false">IF($B2000="","",IF(AND(OR(CARI!$C$5="",ISNUMBER(SEARCH(CARI!$C$5,$B2000&amp;" "&amp;$C2000&amp;" "&amp;$D2000&amp;" "&amp;$O2000&amp;" "&amp;$I2000&amp;" "&amp;$F2000&amp;" "&amp;$J2000&amp;" "&amp;$K2000&amp;" "&amp;$L2000&amp;" "&amp;$V2000))),OR(CARI!$C$6="",$F2000=CARI!$C$6),OR(CARI!$C$7="",$G2000=CARI!$C$7),OR(CARI!$C$8="",$T2000=CARI!$C$8)),MAX($Z$3:Z1999)+1,""))</f>
        <v/>
      </c>
      <c r="AA2000" s="40" t="str">
        <f aca="false">IF($Y2000="","",MAX($AA$3:AA1999)+1)</f>
        <v/>
      </c>
      <c r="AB2000" s="40" t="str">
        <f aca="false">IF($F2000="","",$F2000&amp;"#"&amp;COUNTIF($F$4:$F2000,$F2000))</f>
        <v/>
      </c>
      <c r="AC2000" s="40" t="str">
        <f aca="false">IF($B2000="","",IF(AND(OR(CETAK!$J$10="",$F2000=CETAK!$J$10),OR(CETAK!$J$11="",$G2000=CETAK!$J$11),OR(CETAK!$J$12="",$P2000=CETAK!$J$12),OR(CETAK!$J$13="",$N2000=CETAK!$J$13),OR(CETAK!$J$14="",$T2000=CETAK!$J$14)),MAX($AC$3:AC1999)+1,""))</f>
        <v/>
      </c>
      <c r="AD2000" s="40" t="str">
        <f aca="false">IF($B2000="","",IF(AND(OR(ABSENSI!$H$10="",$F2000=ABSENSI!$H$10),OR(ABSENSI!$H$11="",$G2000=ABSENSI!$H$11),OR(ABSENSI!$H$12="",$P2000=ABSENSI!$H$12)),MAX($AD$3:AD1999)+1,""))</f>
        <v/>
      </c>
      <c r="AE2000" s="40" t="str">
        <f aca="false">IF($B2000="","",IF(AND(OR(KARTU!$K$6="",$F2000=KARTU!$K$6),OR(KARTU!$K$7="",$G2000=KARTU!$K$7),OR(KARTU!$K$8="",$P2000=KARTU!$K$8)),MAX($AE$3:AE1999)+1,""))</f>
        <v/>
      </c>
    </row>
    <row r="2001" customFormat="false" ht="15" hidden="false" customHeight="false" outlineLevel="0" collapsed="false">
      <c r="A2001" s="35" t="str">
        <f aca="false">IF($B2001="","",COUNTA($B$4:$B2001))</f>
        <v/>
      </c>
      <c r="B2001" s="36"/>
      <c r="C2001" s="37"/>
      <c r="D2001" s="37"/>
      <c r="E2001" s="38"/>
      <c r="F2001" s="36"/>
      <c r="G2001" s="39"/>
      <c r="H2001" s="39"/>
      <c r="I2001" s="36"/>
      <c r="J2001" s="36"/>
      <c r="K2001" s="36"/>
      <c r="L2001" s="36"/>
      <c r="M2001" s="40" t="str">
        <f aca="false">IF($F2001="","",$F2001&amp;IF($G2001="",""," - RT "&amp;$G2001&amp;IF($H2001="","","/"&amp;$H2001)))</f>
        <v/>
      </c>
      <c r="N2001" s="36"/>
      <c r="O2001" s="37"/>
      <c r="P2001" s="39"/>
      <c r="Q2001" s="41"/>
      <c r="R2001" s="35" t="str">
        <f aca="true">IF(OR($B2001="",$Q2001=""),"",DATEDIF($Q2001,TODAY(),"Y"))</f>
        <v/>
      </c>
      <c r="S2001" s="40" t="str">
        <f aca="false">IF($R2001="","",INDEX(usia_label,MATCH($R2001,usia_min,1)))</f>
        <v/>
      </c>
      <c r="T2001" s="36"/>
      <c r="U2001" s="41"/>
      <c r="V2001" s="36"/>
      <c r="W2001" s="36"/>
      <c r="X2001" s="40" t="str">
        <f aca="false">IF($M2001="","",$M2001&amp;"#"&amp;COUNTIF($M$4:$M2001,$M2001))</f>
        <v/>
      </c>
      <c r="Y2001" s="40" t="str">
        <f aca="false">IF($B2001="","",IF($C2001="","NIK kosong",IF(LEN($C2001)&lt;&gt;16,"NIK bukan 16 digit",IF(COUNTIF($C$4:$C$2003,$C2001&amp;"*")&gt;1,"NIK ganda",IF(AND($D2001&lt;&gt;"",LEN($D2001)&lt;&gt;16),"No. KK bukan 16 digit",IF(AND($F2001="",$I2001=""),"Alamat kosong",IF($N2001="","Jabatan kosong",IF($O2001="","No. HP kosong",IF(AND($R2001&lt;&gt;"",$R2001&lt;17),"Usia di bawah 17","")))))))))</f>
        <v/>
      </c>
      <c r="Z2001" s="40" t="str">
        <f aca="false">IF($B2001="","",IF(AND(OR(CARI!$C$5="",ISNUMBER(SEARCH(CARI!$C$5,$B2001&amp;" "&amp;$C2001&amp;" "&amp;$D2001&amp;" "&amp;$O2001&amp;" "&amp;$I2001&amp;" "&amp;$F2001&amp;" "&amp;$J2001&amp;" "&amp;$K2001&amp;" "&amp;$L2001&amp;" "&amp;$V2001))),OR(CARI!$C$6="",$F2001=CARI!$C$6),OR(CARI!$C$7="",$G2001=CARI!$C$7),OR(CARI!$C$8="",$T2001=CARI!$C$8)),MAX($Z$3:Z2000)+1,""))</f>
        <v/>
      </c>
      <c r="AA2001" s="40" t="str">
        <f aca="false">IF($Y2001="","",MAX($AA$3:AA2000)+1)</f>
        <v/>
      </c>
      <c r="AB2001" s="40" t="str">
        <f aca="false">IF($F2001="","",$F2001&amp;"#"&amp;COUNTIF($F$4:$F2001,$F2001))</f>
        <v/>
      </c>
      <c r="AC2001" s="40" t="str">
        <f aca="false">IF($B2001="","",IF(AND(OR(CETAK!$J$10="",$F2001=CETAK!$J$10),OR(CETAK!$J$11="",$G2001=CETAK!$J$11),OR(CETAK!$J$12="",$P2001=CETAK!$J$12),OR(CETAK!$J$13="",$N2001=CETAK!$J$13),OR(CETAK!$J$14="",$T2001=CETAK!$J$14)),MAX($AC$3:AC2000)+1,""))</f>
        <v/>
      </c>
      <c r="AD2001" s="40" t="str">
        <f aca="false">IF($B2001="","",IF(AND(OR(ABSENSI!$H$10="",$F2001=ABSENSI!$H$10),OR(ABSENSI!$H$11="",$G2001=ABSENSI!$H$11),OR(ABSENSI!$H$12="",$P2001=ABSENSI!$H$12)),MAX($AD$3:AD2000)+1,""))</f>
        <v/>
      </c>
      <c r="AE2001" s="40" t="str">
        <f aca="false">IF($B2001="","",IF(AND(OR(KARTU!$K$6="",$F2001=KARTU!$K$6),OR(KARTU!$K$7="",$G2001=KARTU!$K$7),OR(KARTU!$K$8="",$P2001=KARTU!$K$8)),MAX($AE$3:AE2000)+1,""))</f>
        <v/>
      </c>
    </row>
    <row r="2002" customFormat="false" ht="15" hidden="false" customHeight="false" outlineLevel="0" collapsed="false">
      <c r="A2002" s="35" t="str">
        <f aca="false">IF($B2002="","",COUNTA($B$4:$B2002))</f>
        <v/>
      </c>
      <c r="B2002" s="36"/>
      <c r="C2002" s="37"/>
      <c r="D2002" s="37"/>
      <c r="E2002" s="38"/>
      <c r="F2002" s="36"/>
      <c r="G2002" s="39"/>
      <c r="H2002" s="39"/>
      <c r="I2002" s="36"/>
      <c r="J2002" s="36"/>
      <c r="K2002" s="36"/>
      <c r="L2002" s="36"/>
      <c r="M2002" s="40" t="str">
        <f aca="false">IF($F2002="","",$F2002&amp;IF($G2002="",""," - RT "&amp;$G2002&amp;IF($H2002="","","/"&amp;$H2002)))</f>
        <v/>
      </c>
      <c r="N2002" s="36"/>
      <c r="O2002" s="37"/>
      <c r="P2002" s="39"/>
      <c r="Q2002" s="41"/>
      <c r="R2002" s="35" t="str">
        <f aca="true">IF(OR($B2002="",$Q2002=""),"",DATEDIF($Q2002,TODAY(),"Y"))</f>
        <v/>
      </c>
      <c r="S2002" s="40" t="str">
        <f aca="false">IF($R2002="","",INDEX(usia_label,MATCH($R2002,usia_min,1)))</f>
        <v/>
      </c>
      <c r="T2002" s="36"/>
      <c r="U2002" s="41"/>
      <c r="V2002" s="36"/>
      <c r="W2002" s="36"/>
      <c r="X2002" s="40" t="str">
        <f aca="false">IF($M2002="","",$M2002&amp;"#"&amp;COUNTIF($M$4:$M2002,$M2002))</f>
        <v/>
      </c>
      <c r="Y2002" s="40" t="str">
        <f aca="false">IF($B2002="","",IF($C2002="","NIK kosong",IF(LEN($C2002)&lt;&gt;16,"NIK bukan 16 digit",IF(COUNTIF($C$4:$C$2003,$C2002&amp;"*")&gt;1,"NIK ganda",IF(AND($D2002&lt;&gt;"",LEN($D2002)&lt;&gt;16),"No. KK bukan 16 digit",IF(AND($F2002="",$I2002=""),"Alamat kosong",IF($N2002="","Jabatan kosong",IF($O2002="","No. HP kosong",IF(AND($R2002&lt;&gt;"",$R2002&lt;17),"Usia di bawah 17","")))))))))</f>
        <v/>
      </c>
      <c r="Z2002" s="40" t="str">
        <f aca="false">IF($B2002="","",IF(AND(OR(CARI!$C$5="",ISNUMBER(SEARCH(CARI!$C$5,$B2002&amp;" "&amp;$C2002&amp;" "&amp;$D2002&amp;" "&amp;$O2002&amp;" "&amp;$I2002&amp;" "&amp;$F2002&amp;" "&amp;$J2002&amp;" "&amp;$K2002&amp;" "&amp;$L2002&amp;" "&amp;$V2002))),OR(CARI!$C$6="",$F2002=CARI!$C$6),OR(CARI!$C$7="",$G2002=CARI!$C$7),OR(CARI!$C$8="",$T2002=CARI!$C$8)),MAX($Z$3:Z2001)+1,""))</f>
        <v/>
      </c>
      <c r="AA2002" s="40" t="str">
        <f aca="false">IF($Y2002="","",MAX($AA$3:AA2001)+1)</f>
        <v/>
      </c>
      <c r="AB2002" s="40" t="str">
        <f aca="false">IF($F2002="","",$F2002&amp;"#"&amp;COUNTIF($F$4:$F2002,$F2002))</f>
        <v/>
      </c>
      <c r="AC2002" s="40" t="str">
        <f aca="false">IF($B2002="","",IF(AND(OR(CETAK!$J$10="",$F2002=CETAK!$J$10),OR(CETAK!$J$11="",$G2002=CETAK!$J$11),OR(CETAK!$J$12="",$P2002=CETAK!$J$12),OR(CETAK!$J$13="",$N2002=CETAK!$J$13),OR(CETAK!$J$14="",$T2002=CETAK!$J$14)),MAX($AC$3:AC2001)+1,""))</f>
        <v/>
      </c>
      <c r="AD2002" s="40" t="str">
        <f aca="false">IF($B2002="","",IF(AND(OR(ABSENSI!$H$10="",$F2002=ABSENSI!$H$10),OR(ABSENSI!$H$11="",$G2002=ABSENSI!$H$11),OR(ABSENSI!$H$12="",$P2002=ABSENSI!$H$12)),MAX($AD$3:AD2001)+1,""))</f>
        <v/>
      </c>
      <c r="AE2002" s="40" t="str">
        <f aca="false">IF($B2002="","",IF(AND(OR(KARTU!$K$6="",$F2002=KARTU!$K$6),OR(KARTU!$K$7="",$G2002=KARTU!$K$7),OR(KARTU!$K$8="",$P2002=KARTU!$K$8)),MAX($AE$3:AE2001)+1,""))</f>
        <v/>
      </c>
    </row>
    <row r="2003" customFormat="false" ht="15" hidden="false" customHeight="false" outlineLevel="0" collapsed="false">
      <c r="A2003" s="35" t="str">
        <f aca="false">IF($B2003="","",COUNTA($B$4:$B2003))</f>
        <v/>
      </c>
      <c r="B2003" s="36"/>
      <c r="C2003" s="37"/>
      <c r="D2003" s="37"/>
      <c r="E2003" s="38"/>
      <c r="F2003" s="36"/>
      <c r="G2003" s="39"/>
      <c r="H2003" s="39"/>
      <c r="I2003" s="36"/>
      <c r="J2003" s="36"/>
      <c r="K2003" s="36"/>
      <c r="L2003" s="36"/>
      <c r="M2003" s="40" t="str">
        <f aca="false">IF($F2003="","",$F2003&amp;IF($G2003="",""," - RT "&amp;$G2003&amp;IF($H2003="","","/"&amp;$H2003)))</f>
        <v/>
      </c>
      <c r="N2003" s="36"/>
      <c r="O2003" s="37"/>
      <c r="P2003" s="39"/>
      <c r="Q2003" s="41"/>
      <c r="R2003" s="35" t="str">
        <f aca="true">IF(OR($B2003="",$Q2003=""),"",DATEDIF($Q2003,TODAY(),"Y"))</f>
        <v/>
      </c>
      <c r="S2003" s="40" t="str">
        <f aca="false">IF($R2003="","",INDEX(usia_label,MATCH($R2003,usia_min,1)))</f>
        <v/>
      </c>
      <c r="T2003" s="36"/>
      <c r="U2003" s="41"/>
      <c r="V2003" s="36"/>
      <c r="W2003" s="36"/>
      <c r="X2003" s="40" t="str">
        <f aca="false">IF($M2003="","",$M2003&amp;"#"&amp;COUNTIF($M$4:$M2003,$M2003))</f>
        <v/>
      </c>
      <c r="Y2003" s="40" t="str">
        <f aca="false">IF($B2003="","",IF($C2003="","NIK kosong",IF(LEN($C2003)&lt;&gt;16,"NIK bukan 16 digit",IF(COUNTIF($C$4:$C$2003,$C2003&amp;"*")&gt;1,"NIK ganda",IF(AND($D2003&lt;&gt;"",LEN($D2003)&lt;&gt;16),"No. KK bukan 16 digit",IF(AND($F2003="",$I2003=""),"Alamat kosong",IF($N2003="","Jabatan kosong",IF($O2003="","No. HP kosong",IF(AND($R2003&lt;&gt;"",$R2003&lt;17),"Usia di bawah 17","")))))))))</f>
        <v/>
      </c>
      <c r="Z2003" s="40" t="str">
        <f aca="false">IF($B2003="","",IF(AND(OR(CARI!$C$5="",ISNUMBER(SEARCH(CARI!$C$5,$B2003&amp;" "&amp;$C2003&amp;" "&amp;$D2003&amp;" "&amp;$O2003&amp;" "&amp;$I2003&amp;" "&amp;$F2003&amp;" "&amp;$J2003&amp;" "&amp;$K2003&amp;" "&amp;$L2003&amp;" "&amp;$V2003))),OR(CARI!$C$6="",$F2003=CARI!$C$6),OR(CARI!$C$7="",$G2003=CARI!$C$7),OR(CARI!$C$8="",$T2003=CARI!$C$8)),MAX($Z$3:Z2002)+1,""))</f>
        <v/>
      </c>
      <c r="AA2003" s="40" t="str">
        <f aca="false">IF($Y2003="","",MAX($AA$3:AA2002)+1)</f>
        <v/>
      </c>
      <c r="AB2003" s="40" t="str">
        <f aca="false">IF($F2003="","",$F2003&amp;"#"&amp;COUNTIF($F$4:$F2003,$F2003))</f>
        <v/>
      </c>
      <c r="AC2003" s="40" t="str">
        <f aca="false">IF($B2003="","",IF(AND(OR(CETAK!$J$10="",$F2003=CETAK!$J$10),OR(CETAK!$J$11="",$G2003=CETAK!$J$11),OR(CETAK!$J$12="",$P2003=CETAK!$J$12),OR(CETAK!$J$13="",$N2003=CETAK!$J$13),OR(CETAK!$J$14="",$T2003=CETAK!$J$14)),MAX($AC$3:AC2002)+1,""))</f>
        <v/>
      </c>
      <c r="AD2003" s="40" t="str">
        <f aca="false">IF($B2003="","",IF(AND(OR(ABSENSI!$H$10="",$F2003=ABSENSI!$H$10),OR(ABSENSI!$H$11="",$G2003=ABSENSI!$H$11),OR(ABSENSI!$H$12="",$P2003=ABSENSI!$H$12)),MAX($AD$3:AD2002)+1,""))</f>
        <v/>
      </c>
      <c r="AE2003" s="40" t="str">
        <f aca="false">IF($B2003="","",IF(AND(OR(KARTU!$K$6="",$F2003=KARTU!$K$6),OR(KARTU!$K$7="",$G2003=KARTU!$K$7),OR(KARTU!$K$8="",$P2003=KARTU!$K$8)),MAX($AE$3:AE2002)+1,""))</f>
        <v/>
      </c>
    </row>
  </sheetData>
  <mergeCells count="1">
    <mergeCell ref="A1:W1"/>
  </mergeCells>
  <conditionalFormatting sqref="A4:W2003">
    <cfRule type="expression" priority="2" aboveAverage="0" equalAverage="0" bottom="0" percent="0" rank="0" text="" dxfId="9">
      <formula>$Y4="NIK ganda"</formula>
    </cfRule>
    <cfRule type="expression" priority="3" aboveAverage="0" equalAverage="0" bottom="0" percent="0" rank="0" text="" dxfId="2">
      <formula>OR($Y4="NIK bukan 16 digit",$Y4="NIK kosong")</formula>
    </cfRule>
    <cfRule type="expression" priority="4" aboveAverage="0" equalAverage="0" bottom="0" percent="0" rank="0" text="" dxfId="10">
      <formula>$T4="Nonaktif"</formula>
    </cfRule>
  </conditionalFormatting>
  <dataValidations count="13">
    <dataValidation allowBlank="true" errorStyle="stop" operator="between" showDropDown="false" showErrorMessage="false" showInputMessage="false" sqref="E4:E2003" type="list">
      <formula1>"L,P"</formula1>
      <formula2>0</formula2>
    </dataValidation>
    <dataValidation allowBlank="true" errorStyle="stop" operator="between" showDropDown="false" showErrorMessage="false" showInputMessage="false" sqref="F4:F2003" type="list">
      <formula1>daftar_kampung</formula1>
      <formula2>0</formula2>
    </dataValidation>
    <dataValidation allowBlank="true" errorStyle="stop" operator="between" showDropDown="false" showErrorMessage="false" showInputMessage="false" sqref="G4:G2003" type="list">
      <formula1>daftar_rt</formula1>
      <formula2>0</formula2>
    </dataValidation>
    <dataValidation allowBlank="true" errorStyle="stop" operator="between" showDropDown="false" showErrorMessage="false" showInputMessage="false" sqref="H4:H2003" type="list">
      <formula1>daftar_rw</formula1>
      <formula2>0</formula2>
    </dataValidation>
    <dataValidation allowBlank="true" errorStyle="stop" operator="between" showDropDown="false" showErrorMessage="false" showInputMessage="false" sqref="J4:J2003" type="list">
      <formula1>daftar_nama_rt</formula1>
      <formula2>0</formula2>
    </dataValidation>
    <dataValidation allowBlank="true" errorStyle="stop" operator="between" showDropDown="false" showErrorMessage="false" showInputMessage="false" sqref="K4:K2003" type="list">
      <formula1>daftar_nama_rw</formula1>
      <formula2>0</formula2>
    </dataValidation>
    <dataValidation allowBlank="true" errorStyle="stop" operator="between" showDropDown="false" showErrorMessage="false" showInputMessage="false" sqref="L4:L2003" type="list">
      <formula1>daftar_kadus</formula1>
      <formula2>0</formula2>
    </dataValidation>
    <dataValidation allowBlank="true" errorStyle="stop" operator="between" showDropDown="false" showErrorMessage="false" showInputMessage="false" sqref="N4:N2003" type="list">
      <formula1>daftar_jabatan</formula1>
      <formula2>0</formula2>
    </dataValidation>
    <dataValidation allowBlank="true" errorStyle="stop" operator="between" showDropDown="false" showErrorMessage="false" showInputMessage="false" sqref="P4:P2003" type="list">
      <formula1>daftar_tps</formula1>
      <formula2>0</formula2>
    </dataValidation>
    <dataValidation allowBlank="true" errorStyle="stop" operator="between" showDropDown="false" showErrorMessage="false" showInputMessage="false" sqref="T4:T2003" type="list">
      <formula1>daftar_status</formula1>
      <formula2>0</formula2>
    </dataValidation>
    <dataValidation allowBlank="true" errorStyle="stop" operator="between" showDropDown="false" showErrorMessage="false" showInputMessage="false" sqref="V4:V2003" type="list">
      <formula1>nama_anggota</formula1>
      <formula2>0</formula2>
    </dataValidation>
    <dataValidation allowBlank="true" error="NIK sebaiknya 16 angka tanpa spasi. Tekan Ya bila memang ingin menyimpan apa adanya." errorStyle="warning" errorTitle="Periksa NIK" operator="between" showDropDown="false" showErrorMessage="true" showInputMessage="false" sqref="C4:D2003" type="custom">
      <formula1>OR($C4="",AND(LEN($C4)=16,ISNUMBER($C4*1)))</formula1>
      <formula2>0</formula2>
    </dataValidation>
    <dataValidation allowBlank="true" error="Isi tanggal dengan format hh/bb/tttt, contoh 12/03/1980." errorStyle="warning" errorTitle="Format tanggal" operator="between" showDropDown="false" showErrorMessage="true" showInputMessage="false" sqref="Q4:Q2003 U4:U2003" type="date">
      <formula1>DATE(1900,1,1)</formula1>
      <formula2>DATE(2100,12,31)</formula2>
    </dataValidation>
  </dataValidations>
  <hyperlinks>
    <hyperlink ref="A2" location="MENU!A1" display="◀  MENU"/>
  </hyperlinks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&amp;C&amp;"Arial,Bold"&amp;12 DAFTAR ANGGOTA TEAM PEMENANGAN&amp;R&amp;"Arial,Italic"&amp;9 &amp;D</oddHeader>
    <oddFooter>&amp;R&amp;"Arial,Regular"&amp;9 Halaman &amp;P dari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K1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28"/>
  </cols>
  <sheetData>
    <row r="1" customFormat="false" ht="25.5" hidden="false" customHeight="true" outlineLevel="0" collapsed="false">
      <c r="A1" s="29" t="s">
        <v>204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customFormat="false" ht="15" hidden="false" customHeight="false" outlineLevel="0" collapsed="false">
      <c r="A2" s="30" t="s">
        <v>34</v>
      </c>
      <c r="C2" s="31" t="s">
        <v>205</v>
      </c>
    </row>
    <row r="4" customFormat="false" ht="19.5" hidden="false" customHeight="true" outlineLevel="0" collapsed="false">
      <c r="B4" s="6" t="s">
        <v>206</v>
      </c>
      <c r="C4" s="6"/>
      <c r="D4" s="6"/>
      <c r="E4" s="6"/>
      <c r="F4" s="6"/>
      <c r="G4" s="6"/>
      <c r="H4" s="6"/>
      <c r="I4" s="6"/>
      <c r="J4" s="6"/>
      <c r="K4" s="6"/>
    </row>
    <row r="5" customFormat="false" ht="15" hidden="false" customHeight="false" outlineLevel="0" collapsed="false">
      <c r="B5" s="42" t="s">
        <v>207</v>
      </c>
      <c r="C5" s="43"/>
      <c r="D5" s="31" t="s">
        <v>208</v>
      </c>
    </row>
    <row r="6" customFormat="false" ht="15" hidden="false" customHeight="false" outlineLevel="0" collapsed="false">
      <c r="B6" s="42" t="s">
        <v>209</v>
      </c>
      <c r="C6" s="43"/>
      <c r="D6" s="31" t="s">
        <v>210</v>
      </c>
    </row>
    <row r="7" customFormat="false" ht="15" hidden="false" customHeight="false" outlineLevel="0" collapsed="false">
      <c r="B7" s="42" t="s">
        <v>211</v>
      </c>
      <c r="C7" s="43"/>
      <c r="D7" s="31" t="s">
        <v>212</v>
      </c>
    </row>
    <row r="8" customFormat="false" ht="15" hidden="false" customHeight="false" outlineLevel="0" collapsed="false">
      <c r="B8" s="42" t="s">
        <v>213</v>
      </c>
      <c r="C8" s="43"/>
      <c r="D8" s="31" t="s">
        <v>214</v>
      </c>
    </row>
    <row r="10" customFormat="false" ht="15" hidden="false" customHeight="false" outlineLevel="0" collapsed="false">
      <c r="B10" s="44" t="s">
        <v>215</v>
      </c>
      <c r="C10" s="45" t="str">
        <f aca="false">COUNT(DATABASE!$Z$4:$Z$2003)&amp;" data"</f>
        <v>52 data</v>
      </c>
      <c r="D10" s="31" t="s">
        <v>216</v>
      </c>
    </row>
    <row r="12" customFormat="false" ht="21.75" hidden="false" customHeight="true" outlineLevel="0" collapsed="false">
      <c r="B12" s="17" t="s">
        <v>38</v>
      </c>
      <c r="C12" s="17" t="s">
        <v>39</v>
      </c>
      <c r="D12" s="17" t="s">
        <v>217</v>
      </c>
      <c r="E12" s="17" t="s">
        <v>42</v>
      </c>
      <c r="F12" s="17" t="s">
        <v>24</v>
      </c>
      <c r="G12" s="17" t="s">
        <v>43</v>
      </c>
      <c r="H12" s="17" t="s">
        <v>50</v>
      </c>
      <c r="I12" s="17" t="s">
        <v>51</v>
      </c>
      <c r="J12" s="17" t="s">
        <v>56</v>
      </c>
      <c r="K12" s="17" t="s">
        <v>45</v>
      </c>
    </row>
    <row r="13" customFormat="false" ht="15" hidden="false" customHeight="false" outlineLevel="0" collapsed="false">
      <c r="B13" s="46" t="n">
        <v>1</v>
      </c>
      <c r="C13" s="47" t="str">
        <f aca="false">IFERROR(INDEX(DATABASE!$B$4:$B$2003,MATCH($B13,DATABASE!$Z$4:$Z$2003,0))&amp;"","")</f>
        <v>GURU BADRI</v>
      </c>
      <c r="D13" s="48" t="str">
        <f aca="false">IFERROR(INDEX(DATABASE!$C$4:$C$2003,MATCH($B13,DATABASE!$Z$4:$Z$2003,0))&amp;"","")</f>
        <v/>
      </c>
      <c r="E13" s="46" t="str">
        <f aca="false">IFERROR(INDEX(DATABASE!$E$4:$E$2003,MATCH($B13,DATABASE!$Z$4:$Z$2003,0))&amp;"","")</f>
        <v/>
      </c>
      <c r="F13" s="46" t="str">
        <f aca="false">IFERROR(INDEX(DATABASE!$F$4:$F$2003,MATCH($B13,DATABASE!$Z$4:$Z$2003,0))&amp;"","")</f>
        <v>Kp. Tenjolaut</v>
      </c>
      <c r="G13" s="48" t="str">
        <f aca="false">IFERROR(INDEX(DATABASE!$G$4:$G$2003,MATCH($B13,DATABASE!$Z$4:$Z$2003,0))&amp;"","")</f>
        <v>001</v>
      </c>
      <c r="H13" s="47" t="str">
        <f aca="false">IFERROR(INDEX(DATABASE!$N$4:$N$2003,MATCH($B13,DATABASE!$Z$4:$Z$2003,0))&amp;"","")</f>
        <v>Anggota</v>
      </c>
      <c r="I13" s="48" t="str">
        <f aca="false">IFERROR(INDEX(DATABASE!$O$4:$O$2003,MATCH($B13,DATABASE!$Z$4:$Z$2003,0))&amp;"","")</f>
        <v/>
      </c>
      <c r="J13" s="46" t="str">
        <f aca="false">IFERROR(INDEX(DATABASE!$T$4:$T$2003,MATCH($B13,DATABASE!$Z$4:$Z$2003,0))&amp;"","")</f>
        <v>Aktif</v>
      </c>
      <c r="K13" s="47" t="str">
        <f aca="false">IFERROR(INDEX(DATABASE!$I$4:$I$2003,MATCH($B13,DATABASE!$Z$4:$Z$2003,0))&amp;"","")</f>
        <v/>
      </c>
    </row>
    <row r="14" customFormat="false" ht="15" hidden="false" customHeight="false" outlineLevel="0" collapsed="false">
      <c r="B14" s="49" t="n">
        <v>2</v>
      </c>
      <c r="C14" s="50" t="str">
        <f aca="false">IFERROR(INDEX(DATABASE!$B$4:$B$2003,MATCH($B14,DATABASE!$Z$4:$Z$2003,0))&amp;"","")</f>
        <v>IDRUS KAMSENO</v>
      </c>
      <c r="D14" s="51" t="str">
        <f aca="false">IFERROR(INDEX(DATABASE!$C$4:$C$2003,MATCH($B14,DATABASE!$Z$4:$Z$2003,0))&amp;"","")</f>
        <v/>
      </c>
      <c r="E14" s="49" t="str">
        <f aca="false">IFERROR(INDEX(DATABASE!$E$4:$E$2003,MATCH($B14,DATABASE!$Z$4:$Z$2003,0))&amp;"","")</f>
        <v/>
      </c>
      <c r="F14" s="49" t="str">
        <f aca="false">IFERROR(INDEX(DATABASE!$F$4:$F$2003,MATCH($B14,DATABASE!$Z$4:$Z$2003,0))&amp;"","")</f>
        <v>Kp. Gamprit</v>
      </c>
      <c r="G14" s="51" t="str">
        <f aca="false">IFERROR(INDEX(DATABASE!$G$4:$G$2003,MATCH($B14,DATABASE!$Z$4:$Z$2003,0))&amp;"","")</f>
        <v/>
      </c>
      <c r="H14" s="50" t="str">
        <f aca="false">IFERROR(INDEX(DATABASE!$N$4:$N$2003,MATCH($B14,DATABASE!$Z$4:$Z$2003,0))&amp;"","")</f>
        <v>Ketua Team</v>
      </c>
      <c r="I14" s="51" t="str">
        <f aca="false">IFERROR(INDEX(DATABASE!$O$4:$O$2003,MATCH($B14,DATABASE!$Z$4:$Z$2003,0))&amp;"","")</f>
        <v/>
      </c>
      <c r="J14" s="49" t="str">
        <f aca="false">IFERROR(INDEX(DATABASE!$T$4:$T$2003,MATCH($B14,DATABASE!$Z$4:$Z$2003,0))&amp;"","")</f>
        <v>Aktif</v>
      </c>
      <c r="K14" s="50" t="str">
        <f aca="false">IFERROR(INDEX(DATABASE!$I$4:$I$2003,MATCH($B14,DATABASE!$Z$4:$Z$2003,0))&amp;"","")</f>
        <v/>
      </c>
    </row>
    <row r="15" customFormat="false" ht="15" hidden="false" customHeight="false" outlineLevel="0" collapsed="false">
      <c r="B15" s="46" t="n">
        <v>3</v>
      </c>
      <c r="C15" s="47" t="str">
        <f aca="false">IFERROR(INDEX(DATABASE!$B$4:$B$2003,MATCH($B15,DATABASE!$Z$4:$Z$2003,0))&amp;"","")</f>
        <v>ALI IBRO MALISI</v>
      </c>
      <c r="D15" s="48" t="str">
        <f aca="false">IFERROR(INDEX(DATABASE!$C$4:$C$2003,MATCH($B15,DATABASE!$Z$4:$Z$2003,0))&amp;"","")</f>
        <v/>
      </c>
      <c r="E15" s="46" t="str">
        <f aca="false">IFERROR(INDEX(DATABASE!$E$4:$E$2003,MATCH($B15,DATABASE!$Z$4:$Z$2003,0))&amp;"","")</f>
        <v/>
      </c>
      <c r="F15" s="46" t="str">
        <f aca="false">IFERROR(INDEX(DATABASE!$F$4:$F$2003,MATCH($B15,DATABASE!$Z$4:$Z$2003,0))&amp;"","")</f>
        <v>Kp. Tenjolaut</v>
      </c>
      <c r="G15" s="48" t="str">
        <f aca="false">IFERROR(INDEX(DATABASE!$G$4:$G$2003,MATCH($B15,DATABASE!$Z$4:$Z$2003,0))&amp;"","")</f>
        <v/>
      </c>
      <c r="H15" s="47" t="str">
        <f aca="false">IFERROR(INDEX(DATABASE!$N$4:$N$2003,MATCH($B15,DATABASE!$Z$4:$Z$2003,0))&amp;"","")</f>
        <v>Anggota</v>
      </c>
      <c r="I15" s="48" t="str">
        <f aca="false">IFERROR(INDEX(DATABASE!$O$4:$O$2003,MATCH($B15,DATABASE!$Z$4:$Z$2003,0))&amp;"","")</f>
        <v/>
      </c>
      <c r="J15" s="46" t="str">
        <f aca="false">IFERROR(INDEX(DATABASE!$T$4:$T$2003,MATCH($B15,DATABASE!$Z$4:$Z$2003,0))&amp;"","")</f>
        <v>Aktif</v>
      </c>
      <c r="K15" s="47" t="str">
        <f aca="false">IFERROR(INDEX(DATABASE!$I$4:$I$2003,MATCH($B15,DATABASE!$Z$4:$Z$2003,0))&amp;"","")</f>
        <v/>
      </c>
    </row>
    <row r="16" customFormat="false" ht="15" hidden="false" customHeight="false" outlineLevel="0" collapsed="false">
      <c r="B16" s="49" t="n">
        <v>4</v>
      </c>
      <c r="C16" s="50" t="str">
        <f aca="false">IFERROR(INDEX(DATABASE!$B$4:$B$2003,MATCH($B16,DATABASE!$Z$4:$Z$2003,0))&amp;"","")</f>
        <v>MURDIN (BENGKUNG)</v>
      </c>
      <c r="D16" s="51" t="str">
        <f aca="false">IFERROR(INDEX(DATABASE!$C$4:$C$2003,MATCH($B16,DATABASE!$Z$4:$Z$2003,0))&amp;"","")</f>
        <v/>
      </c>
      <c r="E16" s="49" t="str">
        <f aca="false">IFERROR(INDEX(DATABASE!$E$4:$E$2003,MATCH($B16,DATABASE!$Z$4:$Z$2003,0))&amp;"","")</f>
        <v/>
      </c>
      <c r="F16" s="49" t="str">
        <f aca="false">IFERROR(INDEX(DATABASE!$F$4:$F$2003,MATCH($B16,DATABASE!$Z$4:$Z$2003,0))&amp;"","")</f>
        <v>Kp. Gamprit</v>
      </c>
      <c r="G16" s="51" t="str">
        <f aca="false">IFERROR(INDEX(DATABASE!$G$4:$G$2003,MATCH($B16,DATABASE!$Z$4:$Z$2003,0))&amp;"","")</f>
        <v/>
      </c>
      <c r="H16" s="50" t="str">
        <f aca="false">IFERROR(INDEX(DATABASE!$N$4:$N$2003,MATCH($B16,DATABASE!$Z$4:$Z$2003,0))&amp;"","")</f>
        <v>Anggota</v>
      </c>
      <c r="I16" s="51" t="str">
        <f aca="false">IFERROR(INDEX(DATABASE!$O$4:$O$2003,MATCH($B16,DATABASE!$Z$4:$Z$2003,0))&amp;"","")</f>
        <v/>
      </c>
      <c r="J16" s="49" t="str">
        <f aca="false">IFERROR(INDEX(DATABASE!$T$4:$T$2003,MATCH($B16,DATABASE!$Z$4:$Z$2003,0))&amp;"","")</f>
        <v>Aktif</v>
      </c>
      <c r="K16" s="50" t="str">
        <f aca="false">IFERROR(INDEX(DATABASE!$I$4:$I$2003,MATCH($B16,DATABASE!$Z$4:$Z$2003,0))&amp;"","")</f>
        <v/>
      </c>
    </row>
    <row r="17" customFormat="false" ht="15" hidden="false" customHeight="false" outlineLevel="0" collapsed="false">
      <c r="B17" s="46" t="n">
        <v>5</v>
      </c>
      <c r="C17" s="47" t="str">
        <f aca="false">IFERROR(INDEX(DATABASE!$B$4:$B$2003,MATCH($B17,DATABASE!$Z$4:$Z$2003,0))&amp;"","")</f>
        <v>RUSTADI</v>
      </c>
      <c r="D17" s="48" t="str">
        <f aca="false">IFERROR(INDEX(DATABASE!$C$4:$C$2003,MATCH($B17,DATABASE!$Z$4:$Z$2003,0))&amp;"","")</f>
        <v/>
      </c>
      <c r="E17" s="46" t="str">
        <f aca="false">IFERROR(INDEX(DATABASE!$E$4:$E$2003,MATCH($B17,DATABASE!$Z$4:$Z$2003,0))&amp;"","")</f>
        <v/>
      </c>
      <c r="F17" s="46" t="str">
        <f aca="false">IFERROR(INDEX(DATABASE!$F$4:$F$2003,MATCH($B17,DATABASE!$Z$4:$Z$2003,0))&amp;"","")</f>
        <v>Kp. Wangkal</v>
      </c>
      <c r="G17" s="48" t="str">
        <f aca="false">IFERROR(INDEX(DATABASE!$G$4:$G$2003,MATCH($B17,DATABASE!$Z$4:$Z$2003,0))&amp;"","")</f>
        <v/>
      </c>
      <c r="H17" s="47" t="str">
        <f aca="false">IFERROR(INDEX(DATABASE!$N$4:$N$2003,MATCH($B17,DATABASE!$Z$4:$Z$2003,0))&amp;"","")</f>
        <v>Anggota</v>
      </c>
      <c r="I17" s="48" t="str">
        <f aca="false">IFERROR(INDEX(DATABASE!$O$4:$O$2003,MATCH($B17,DATABASE!$Z$4:$Z$2003,0))&amp;"","")</f>
        <v/>
      </c>
      <c r="J17" s="46" t="str">
        <f aca="false">IFERROR(INDEX(DATABASE!$T$4:$T$2003,MATCH($B17,DATABASE!$Z$4:$Z$2003,0))&amp;"","")</f>
        <v>Aktif</v>
      </c>
      <c r="K17" s="47" t="str">
        <f aca="false">IFERROR(INDEX(DATABASE!$I$4:$I$2003,MATCH($B17,DATABASE!$Z$4:$Z$2003,0))&amp;"","")</f>
        <v/>
      </c>
    </row>
    <row r="18" customFormat="false" ht="15" hidden="false" customHeight="false" outlineLevel="0" collapsed="false">
      <c r="B18" s="49" t="n">
        <v>6</v>
      </c>
      <c r="C18" s="50" t="str">
        <f aca="false">IFERROR(INDEX(DATABASE!$B$4:$B$2003,MATCH($B18,DATABASE!$Z$4:$Z$2003,0))&amp;"","")</f>
        <v>ABDUL MANAN</v>
      </c>
      <c r="D18" s="51" t="str">
        <f aca="false">IFERROR(INDEX(DATABASE!$C$4:$C$2003,MATCH($B18,DATABASE!$Z$4:$Z$2003,0))&amp;"","")</f>
        <v/>
      </c>
      <c r="E18" s="49" t="str">
        <f aca="false">IFERROR(INDEX(DATABASE!$E$4:$E$2003,MATCH($B18,DATABASE!$Z$4:$Z$2003,0))&amp;"","")</f>
        <v/>
      </c>
      <c r="F18" s="49" t="str">
        <f aca="false">IFERROR(INDEX(DATABASE!$F$4:$F$2003,MATCH($B18,DATABASE!$Z$4:$Z$2003,0))&amp;"","")</f>
        <v>Kp. Kuda Kuda</v>
      </c>
      <c r="G18" s="51" t="str">
        <f aca="false">IFERROR(INDEX(DATABASE!$G$4:$G$2003,MATCH($B18,DATABASE!$Z$4:$Z$2003,0))&amp;"","")</f>
        <v/>
      </c>
      <c r="H18" s="50" t="str">
        <f aca="false">IFERROR(INDEX(DATABASE!$N$4:$N$2003,MATCH($B18,DATABASE!$Z$4:$Z$2003,0))&amp;"","")</f>
        <v>Anggota</v>
      </c>
      <c r="I18" s="51" t="str">
        <f aca="false">IFERROR(INDEX(DATABASE!$O$4:$O$2003,MATCH($B18,DATABASE!$Z$4:$Z$2003,0))&amp;"","")</f>
        <v/>
      </c>
      <c r="J18" s="49" t="str">
        <f aca="false">IFERROR(INDEX(DATABASE!$T$4:$T$2003,MATCH($B18,DATABASE!$Z$4:$Z$2003,0))&amp;"","")</f>
        <v>Aktif</v>
      </c>
      <c r="K18" s="50" t="str">
        <f aca="false">IFERROR(INDEX(DATABASE!$I$4:$I$2003,MATCH($B18,DATABASE!$Z$4:$Z$2003,0))&amp;"","")</f>
        <v/>
      </c>
    </row>
    <row r="19" customFormat="false" ht="15" hidden="false" customHeight="false" outlineLevel="0" collapsed="false">
      <c r="B19" s="46" t="n">
        <v>7</v>
      </c>
      <c r="C19" s="47" t="str">
        <f aca="false">IFERROR(INDEX(DATABASE!$B$4:$B$2003,MATCH($B19,DATABASE!$Z$4:$Z$2003,0))&amp;"","")</f>
        <v>IJAH</v>
      </c>
      <c r="D19" s="48" t="str">
        <f aca="false">IFERROR(INDEX(DATABASE!$C$4:$C$2003,MATCH($B19,DATABASE!$Z$4:$Z$2003,0))&amp;"","")</f>
        <v/>
      </c>
      <c r="E19" s="46" t="str">
        <f aca="false">IFERROR(INDEX(DATABASE!$E$4:$E$2003,MATCH($B19,DATABASE!$Z$4:$Z$2003,0))&amp;"","")</f>
        <v/>
      </c>
      <c r="F19" s="46" t="str">
        <f aca="false">IFERROR(INDEX(DATABASE!$F$4:$F$2003,MATCH($B19,DATABASE!$Z$4:$Z$2003,0))&amp;"","")</f>
        <v>Kp. Putri Melintang</v>
      </c>
      <c r="G19" s="48" t="str">
        <f aca="false">IFERROR(INDEX(DATABASE!$G$4:$G$2003,MATCH($B19,DATABASE!$Z$4:$Z$2003,0))&amp;"","")</f>
        <v/>
      </c>
      <c r="H19" s="47" t="str">
        <f aca="false">IFERROR(INDEX(DATABASE!$N$4:$N$2003,MATCH($B19,DATABASE!$Z$4:$Z$2003,0))&amp;"","")</f>
        <v>Anggota</v>
      </c>
      <c r="I19" s="48" t="str">
        <f aca="false">IFERROR(INDEX(DATABASE!$O$4:$O$2003,MATCH($B19,DATABASE!$Z$4:$Z$2003,0))&amp;"","")</f>
        <v/>
      </c>
      <c r="J19" s="46" t="str">
        <f aca="false">IFERROR(INDEX(DATABASE!$T$4:$T$2003,MATCH($B19,DATABASE!$Z$4:$Z$2003,0))&amp;"","")</f>
        <v>Aktif</v>
      </c>
      <c r="K19" s="47" t="str">
        <f aca="false">IFERROR(INDEX(DATABASE!$I$4:$I$2003,MATCH($B19,DATABASE!$Z$4:$Z$2003,0))&amp;"","")</f>
        <v/>
      </c>
    </row>
    <row r="20" customFormat="false" ht="15" hidden="false" customHeight="false" outlineLevel="0" collapsed="false">
      <c r="B20" s="49" t="n">
        <v>8</v>
      </c>
      <c r="C20" s="50" t="str">
        <f aca="false">IFERROR(INDEX(DATABASE!$B$4:$B$2003,MATCH($B20,DATABASE!$Z$4:$Z$2003,0))&amp;"","")</f>
        <v>JEBAG</v>
      </c>
      <c r="D20" s="51" t="str">
        <f aca="false">IFERROR(INDEX(DATABASE!$C$4:$C$2003,MATCH($B20,DATABASE!$Z$4:$Z$2003,0))&amp;"","")</f>
        <v/>
      </c>
      <c r="E20" s="49" t="str">
        <f aca="false">IFERROR(INDEX(DATABASE!$E$4:$E$2003,MATCH($B20,DATABASE!$Z$4:$Z$2003,0))&amp;"","")</f>
        <v/>
      </c>
      <c r="F20" s="49" t="str">
        <f aca="false">IFERROR(INDEX(DATABASE!$F$4:$F$2003,MATCH($B20,DATABASE!$Z$4:$Z$2003,0))&amp;"","")</f>
        <v>Kp. Kuda Kuda</v>
      </c>
      <c r="G20" s="51" t="str">
        <f aca="false">IFERROR(INDEX(DATABASE!$G$4:$G$2003,MATCH($B20,DATABASE!$Z$4:$Z$2003,0))&amp;"","")</f>
        <v>001</v>
      </c>
      <c r="H20" s="50" t="str">
        <f aca="false">IFERROR(INDEX(DATABASE!$N$4:$N$2003,MATCH($B20,DATABASE!$Z$4:$Z$2003,0))&amp;"","")</f>
        <v>Anggota</v>
      </c>
      <c r="I20" s="51" t="str">
        <f aca="false">IFERROR(INDEX(DATABASE!$O$4:$O$2003,MATCH($B20,DATABASE!$Z$4:$Z$2003,0))&amp;"","")</f>
        <v/>
      </c>
      <c r="J20" s="49" t="str">
        <f aca="false">IFERROR(INDEX(DATABASE!$T$4:$T$2003,MATCH($B20,DATABASE!$Z$4:$Z$2003,0))&amp;"","")</f>
        <v>Aktif</v>
      </c>
      <c r="K20" s="50" t="str">
        <f aca="false">IFERROR(INDEX(DATABASE!$I$4:$I$2003,MATCH($B20,DATABASE!$Z$4:$Z$2003,0))&amp;"","")</f>
        <v/>
      </c>
    </row>
    <row r="21" customFormat="false" ht="15" hidden="false" customHeight="false" outlineLevel="0" collapsed="false">
      <c r="B21" s="46" t="n">
        <v>9</v>
      </c>
      <c r="C21" s="47" t="str">
        <f aca="false">IFERROR(INDEX(DATABASE!$B$4:$B$2003,MATCH($B21,DATABASE!$Z$4:$Z$2003,0))&amp;"","")</f>
        <v>DONY</v>
      </c>
      <c r="D21" s="48" t="str">
        <f aca="false">IFERROR(INDEX(DATABASE!$C$4:$C$2003,MATCH($B21,DATABASE!$Z$4:$Z$2003,0))&amp;"","")</f>
        <v/>
      </c>
      <c r="E21" s="46" t="str">
        <f aca="false">IFERROR(INDEX(DATABASE!$E$4:$E$2003,MATCH($B21,DATABASE!$Z$4:$Z$2003,0))&amp;"","")</f>
        <v/>
      </c>
      <c r="F21" s="46" t="str">
        <f aca="false">IFERROR(INDEX(DATABASE!$F$4:$F$2003,MATCH($B21,DATABASE!$Z$4:$Z$2003,0))&amp;"","")</f>
        <v>Kp. Gamprit</v>
      </c>
      <c r="G21" s="48" t="str">
        <f aca="false">IFERROR(INDEX(DATABASE!$G$4:$G$2003,MATCH($B21,DATABASE!$Z$4:$Z$2003,0))&amp;"","")</f>
        <v/>
      </c>
      <c r="H21" s="47" t="str">
        <f aca="false">IFERROR(INDEX(DATABASE!$N$4:$N$2003,MATCH($B21,DATABASE!$Z$4:$Z$2003,0))&amp;"","")</f>
        <v>Anggota</v>
      </c>
      <c r="I21" s="48" t="str">
        <f aca="false">IFERROR(INDEX(DATABASE!$O$4:$O$2003,MATCH($B21,DATABASE!$Z$4:$Z$2003,0))&amp;"","")</f>
        <v/>
      </c>
      <c r="J21" s="46" t="str">
        <f aca="false">IFERROR(INDEX(DATABASE!$T$4:$T$2003,MATCH($B21,DATABASE!$Z$4:$Z$2003,0))&amp;"","")</f>
        <v>Aktif</v>
      </c>
      <c r="K21" s="47" t="str">
        <f aca="false">IFERROR(INDEX(DATABASE!$I$4:$I$2003,MATCH($B21,DATABASE!$Z$4:$Z$2003,0))&amp;"","")</f>
        <v/>
      </c>
    </row>
    <row r="22" customFormat="false" ht="15" hidden="false" customHeight="false" outlineLevel="0" collapsed="false">
      <c r="B22" s="49" t="n">
        <v>10</v>
      </c>
      <c r="C22" s="50" t="str">
        <f aca="false">IFERROR(INDEX(DATABASE!$B$4:$B$2003,MATCH($B22,DATABASE!$Z$4:$Z$2003,0))&amp;"","")</f>
        <v>WAWAN</v>
      </c>
      <c r="D22" s="51" t="str">
        <f aca="false">IFERROR(INDEX(DATABASE!$C$4:$C$2003,MATCH($B22,DATABASE!$Z$4:$Z$2003,0))&amp;"","")</f>
        <v/>
      </c>
      <c r="E22" s="49" t="str">
        <f aca="false">IFERROR(INDEX(DATABASE!$E$4:$E$2003,MATCH($B22,DATABASE!$Z$4:$Z$2003,0))&amp;"","")</f>
        <v/>
      </c>
      <c r="F22" s="49" t="str">
        <f aca="false">IFERROR(INDEX(DATABASE!$F$4:$F$2003,MATCH($B22,DATABASE!$Z$4:$Z$2003,0))&amp;"","")</f>
        <v>Kp. Kuda Kuda</v>
      </c>
      <c r="G22" s="51" t="str">
        <f aca="false">IFERROR(INDEX(DATABASE!$G$4:$G$2003,MATCH($B22,DATABASE!$Z$4:$Z$2003,0))&amp;"","")</f>
        <v>001</v>
      </c>
      <c r="H22" s="50" t="str">
        <f aca="false">IFERROR(INDEX(DATABASE!$N$4:$N$2003,MATCH($B22,DATABASE!$Z$4:$Z$2003,0))&amp;"","")</f>
        <v>Anggota</v>
      </c>
      <c r="I22" s="51" t="str">
        <f aca="false">IFERROR(INDEX(DATABASE!$O$4:$O$2003,MATCH($B22,DATABASE!$Z$4:$Z$2003,0))&amp;"","")</f>
        <v/>
      </c>
      <c r="J22" s="49" t="str">
        <f aca="false">IFERROR(INDEX(DATABASE!$T$4:$T$2003,MATCH($B22,DATABASE!$Z$4:$Z$2003,0))&amp;"","")</f>
        <v>Aktif</v>
      </c>
      <c r="K22" s="50" t="str">
        <f aca="false">IFERROR(INDEX(DATABASE!$I$4:$I$2003,MATCH($B22,DATABASE!$Z$4:$Z$2003,0))&amp;"","")</f>
        <v/>
      </c>
    </row>
    <row r="23" customFormat="false" ht="15" hidden="false" customHeight="false" outlineLevel="0" collapsed="false">
      <c r="B23" s="46" t="n">
        <v>11</v>
      </c>
      <c r="C23" s="47" t="str">
        <f aca="false">IFERROR(INDEX(DATABASE!$B$4:$B$2003,MATCH($B23,DATABASE!$Z$4:$Z$2003,0))&amp;"","")</f>
        <v>MAS DENI</v>
      </c>
      <c r="D23" s="48" t="str">
        <f aca="false">IFERROR(INDEX(DATABASE!$C$4:$C$2003,MATCH($B23,DATABASE!$Z$4:$Z$2003,0))&amp;"","")</f>
        <v/>
      </c>
      <c r="E23" s="46" t="str">
        <f aca="false">IFERROR(INDEX(DATABASE!$E$4:$E$2003,MATCH($B23,DATABASE!$Z$4:$Z$2003,0))&amp;"","")</f>
        <v/>
      </c>
      <c r="F23" s="46" t="str">
        <f aca="false">IFERROR(INDEX(DATABASE!$F$4:$F$2003,MATCH($B23,DATABASE!$Z$4:$Z$2003,0))&amp;"","")</f>
        <v/>
      </c>
      <c r="G23" s="48" t="str">
        <f aca="false">IFERROR(INDEX(DATABASE!$G$4:$G$2003,MATCH($B23,DATABASE!$Z$4:$Z$2003,0))&amp;"","")</f>
        <v>001</v>
      </c>
      <c r="H23" s="47" t="str">
        <f aca="false">IFERROR(INDEX(DATABASE!$N$4:$N$2003,MATCH($B23,DATABASE!$Z$4:$Z$2003,0))&amp;"","")</f>
        <v>Anggota</v>
      </c>
      <c r="I23" s="48" t="str">
        <f aca="false">IFERROR(INDEX(DATABASE!$O$4:$O$2003,MATCH($B23,DATABASE!$Z$4:$Z$2003,0))&amp;"","")</f>
        <v/>
      </c>
      <c r="J23" s="46" t="str">
        <f aca="false">IFERROR(INDEX(DATABASE!$T$4:$T$2003,MATCH($B23,DATABASE!$Z$4:$Z$2003,0))&amp;"","")</f>
        <v>Aktif</v>
      </c>
      <c r="K23" s="47" t="str">
        <f aca="false">IFERROR(INDEX(DATABASE!$I$4:$I$2003,MATCH($B23,DATABASE!$Z$4:$Z$2003,0))&amp;"","")</f>
        <v/>
      </c>
    </row>
    <row r="24" customFormat="false" ht="15" hidden="false" customHeight="false" outlineLevel="0" collapsed="false">
      <c r="B24" s="49" t="n">
        <v>12</v>
      </c>
      <c r="C24" s="50" t="str">
        <f aca="false">IFERROR(INDEX(DATABASE!$B$4:$B$2003,MATCH($B24,DATABASE!$Z$4:$Z$2003,0))&amp;"","")</f>
        <v>HARIS</v>
      </c>
      <c r="D24" s="51" t="str">
        <f aca="false">IFERROR(INDEX(DATABASE!$C$4:$C$2003,MATCH($B24,DATABASE!$Z$4:$Z$2003,0))&amp;"","")</f>
        <v/>
      </c>
      <c r="E24" s="49" t="str">
        <f aca="false">IFERROR(INDEX(DATABASE!$E$4:$E$2003,MATCH($B24,DATABASE!$Z$4:$Z$2003,0))&amp;"","")</f>
        <v/>
      </c>
      <c r="F24" s="49" t="str">
        <f aca="false">IFERROR(INDEX(DATABASE!$F$4:$F$2003,MATCH($B24,DATABASE!$Z$4:$Z$2003,0))&amp;"","")</f>
        <v>Kp. Kuda Kuda</v>
      </c>
      <c r="G24" s="51" t="str">
        <f aca="false">IFERROR(INDEX(DATABASE!$G$4:$G$2003,MATCH($B24,DATABASE!$Z$4:$Z$2003,0))&amp;"","")</f>
        <v>003</v>
      </c>
      <c r="H24" s="50" t="str">
        <f aca="false">IFERROR(INDEX(DATABASE!$N$4:$N$2003,MATCH($B24,DATABASE!$Z$4:$Z$2003,0))&amp;"","")</f>
        <v>Anggota</v>
      </c>
      <c r="I24" s="51" t="str">
        <f aca="false">IFERROR(INDEX(DATABASE!$O$4:$O$2003,MATCH($B24,DATABASE!$Z$4:$Z$2003,0))&amp;"","")</f>
        <v/>
      </c>
      <c r="J24" s="49" t="str">
        <f aca="false">IFERROR(INDEX(DATABASE!$T$4:$T$2003,MATCH($B24,DATABASE!$Z$4:$Z$2003,0))&amp;"","")</f>
        <v>Aktif</v>
      </c>
      <c r="K24" s="50" t="str">
        <f aca="false">IFERROR(INDEX(DATABASE!$I$4:$I$2003,MATCH($B24,DATABASE!$Z$4:$Z$2003,0))&amp;"","")</f>
        <v/>
      </c>
    </row>
    <row r="25" customFormat="false" ht="15" hidden="false" customHeight="false" outlineLevel="0" collapsed="false">
      <c r="B25" s="46" t="n">
        <v>13</v>
      </c>
      <c r="C25" s="47" t="str">
        <f aca="false">IFERROR(INDEX(DATABASE!$B$4:$B$2003,MATCH($B25,DATABASE!$Z$4:$Z$2003,0))&amp;"","")</f>
        <v>NELIH</v>
      </c>
      <c r="D25" s="48" t="str">
        <f aca="false">IFERROR(INDEX(DATABASE!$C$4:$C$2003,MATCH($B25,DATABASE!$Z$4:$Z$2003,0))&amp;"","")</f>
        <v/>
      </c>
      <c r="E25" s="46" t="str">
        <f aca="false">IFERROR(INDEX(DATABASE!$E$4:$E$2003,MATCH($B25,DATABASE!$Z$4:$Z$2003,0))&amp;"","")</f>
        <v/>
      </c>
      <c r="F25" s="46" t="str">
        <f aca="false">IFERROR(INDEX(DATABASE!$F$4:$F$2003,MATCH($B25,DATABASE!$Z$4:$Z$2003,0))&amp;"","")</f>
        <v>Kp. Wangkal</v>
      </c>
      <c r="G25" s="48" t="str">
        <f aca="false">IFERROR(INDEX(DATABASE!$G$4:$G$2003,MATCH($B25,DATABASE!$Z$4:$Z$2003,0))&amp;"","")</f>
        <v>004</v>
      </c>
      <c r="H25" s="47" t="str">
        <f aca="false">IFERROR(INDEX(DATABASE!$N$4:$N$2003,MATCH($B25,DATABASE!$Z$4:$Z$2003,0))&amp;"","")</f>
        <v>Anggota</v>
      </c>
      <c r="I25" s="48" t="str">
        <f aca="false">IFERROR(INDEX(DATABASE!$O$4:$O$2003,MATCH($B25,DATABASE!$Z$4:$Z$2003,0))&amp;"","")</f>
        <v/>
      </c>
      <c r="J25" s="46" t="str">
        <f aca="false">IFERROR(INDEX(DATABASE!$T$4:$T$2003,MATCH($B25,DATABASE!$Z$4:$Z$2003,0))&amp;"","")</f>
        <v>Aktif</v>
      </c>
      <c r="K25" s="47" t="str">
        <f aca="false">IFERROR(INDEX(DATABASE!$I$4:$I$2003,MATCH($B25,DATABASE!$Z$4:$Z$2003,0))&amp;"","")</f>
        <v/>
      </c>
    </row>
    <row r="26" customFormat="false" ht="15" hidden="false" customHeight="false" outlineLevel="0" collapsed="false">
      <c r="B26" s="49" t="n">
        <v>14</v>
      </c>
      <c r="C26" s="50" t="str">
        <f aca="false">IFERROR(INDEX(DATABASE!$B$4:$B$2003,MATCH($B26,DATABASE!$Z$4:$Z$2003,0))&amp;"","")</f>
        <v>RUDI</v>
      </c>
      <c r="D26" s="51" t="str">
        <f aca="false">IFERROR(INDEX(DATABASE!$C$4:$C$2003,MATCH($B26,DATABASE!$Z$4:$Z$2003,0))&amp;"","")</f>
        <v/>
      </c>
      <c r="E26" s="49" t="str">
        <f aca="false">IFERROR(INDEX(DATABASE!$E$4:$E$2003,MATCH($B26,DATABASE!$Z$4:$Z$2003,0))&amp;"","")</f>
        <v/>
      </c>
      <c r="F26" s="49" t="str">
        <f aca="false">IFERROR(INDEX(DATABASE!$F$4:$F$2003,MATCH($B26,DATABASE!$Z$4:$Z$2003,0))&amp;"","")</f>
        <v>Kp. Gamprit</v>
      </c>
      <c r="G26" s="51" t="str">
        <f aca="false">IFERROR(INDEX(DATABASE!$G$4:$G$2003,MATCH($B26,DATABASE!$Z$4:$Z$2003,0))&amp;"","")</f>
        <v>003</v>
      </c>
      <c r="H26" s="50" t="str">
        <f aca="false">IFERROR(INDEX(DATABASE!$N$4:$N$2003,MATCH($B26,DATABASE!$Z$4:$Z$2003,0))&amp;"","")</f>
        <v>Anggota</v>
      </c>
      <c r="I26" s="51" t="str">
        <f aca="false">IFERROR(INDEX(DATABASE!$O$4:$O$2003,MATCH($B26,DATABASE!$Z$4:$Z$2003,0))&amp;"","")</f>
        <v/>
      </c>
      <c r="J26" s="49" t="str">
        <f aca="false">IFERROR(INDEX(DATABASE!$T$4:$T$2003,MATCH($B26,DATABASE!$Z$4:$Z$2003,0))&amp;"","")</f>
        <v>Aktif</v>
      </c>
      <c r="K26" s="50" t="str">
        <f aca="false">IFERROR(INDEX(DATABASE!$I$4:$I$2003,MATCH($B26,DATABASE!$Z$4:$Z$2003,0))&amp;"","")</f>
        <v/>
      </c>
    </row>
    <row r="27" customFormat="false" ht="15" hidden="false" customHeight="false" outlineLevel="0" collapsed="false">
      <c r="B27" s="46" t="n">
        <v>15</v>
      </c>
      <c r="C27" s="47" t="str">
        <f aca="false">IFERROR(INDEX(DATABASE!$B$4:$B$2003,MATCH($B27,DATABASE!$Z$4:$Z$2003,0))&amp;"","")</f>
        <v>NIMAN</v>
      </c>
      <c r="D27" s="48" t="str">
        <f aca="false">IFERROR(INDEX(DATABASE!$C$4:$C$2003,MATCH($B27,DATABASE!$Z$4:$Z$2003,0))&amp;"","")</f>
        <v/>
      </c>
      <c r="E27" s="46" t="str">
        <f aca="false">IFERROR(INDEX(DATABASE!$E$4:$E$2003,MATCH($B27,DATABASE!$Z$4:$Z$2003,0))&amp;"","")</f>
        <v/>
      </c>
      <c r="F27" s="46" t="str">
        <f aca="false">IFERROR(INDEX(DATABASE!$F$4:$F$2003,MATCH($B27,DATABASE!$Z$4:$Z$2003,0))&amp;"","")</f>
        <v>Kp. Gamprit</v>
      </c>
      <c r="G27" s="48" t="str">
        <f aca="false">IFERROR(INDEX(DATABASE!$G$4:$G$2003,MATCH($B27,DATABASE!$Z$4:$Z$2003,0))&amp;"","")</f>
        <v>002</v>
      </c>
      <c r="H27" s="47" t="str">
        <f aca="false">IFERROR(INDEX(DATABASE!$N$4:$N$2003,MATCH($B27,DATABASE!$Z$4:$Z$2003,0))&amp;"","")</f>
        <v>Ketua RW</v>
      </c>
      <c r="I27" s="48" t="str">
        <f aca="false">IFERROR(INDEX(DATABASE!$O$4:$O$2003,MATCH($B27,DATABASE!$Z$4:$Z$2003,0))&amp;"","")</f>
        <v/>
      </c>
      <c r="J27" s="46" t="str">
        <f aca="false">IFERROR(INDEX(DATABASE!$T$4:$T$2003,MATCH($B27,DATABASE!$Z$4:$Z$2003,0))&amp;"","")</f>
        <v>Aktif</v>
      </c>
      <c r="K27" s="47" t="str">
        <f aca="false">IFERROR(INDEX(DATABASE!$I$4:$I$2003,MATCH($B27,DATABASE!$Z$4:$Z$2003,0))&amp;"","")</f>
        <v/>
      </c>
    </row>
    <row r="28" customFormat="false" ht="15" hidden="false" customHeight="false" outlineLevel="0" collapsed="false">
      <c r="B28" s="49" t="n">
        <v>16</v>
      </c>
      <c r="C28" s="50" t="str">
        <f aca="false">IFERROR(INDEX(DATABASE!$B$4:$B$2003,MATCH($B28,DATABASE!$Z$4:$Z$2003,0))&amp;"","")</f>
        <v>RENALDI</v>
      </c>
      <c r="D28" s="51" t="str">
        <f aca="false">IFERROR(INDEX(DATABASE!$C$4:$C$2003,MATCH($B28,DATABASE!$Z$4:$Z$2003,0))&amp;"","")</f>
        <v/>
      </c>
      <c r="E28" s="49" t="str">
        <f aca="false">IFERROR(INDEX(DATABASE!$E$4:$E$2003,MATCH($B28,DATABASE!$Z$4:$Z$2003,0))&amp;"","")</f>
        <v/>
      </c>
      <c r="F28" s="49" t="str">
        <f aca="false">IFERROR(INDEX(DATABASE!$F$4:$F$2003,MATCH($B28,DATABASE!$Z$4:$Z$2003,0))&amp;"","")</f>
        <v>Kp. Gamprit</v>
      </c>
      <c r="G28" s="51" t="str">
        <f aca="false">IFERROR(INDEX(DATABASE!$G$4:$G$2003,MATCH($B28,DATABASE!$Z$4:$Z$2003,0))&amp;"","")</f>
        <v>003</v>
      </c>
      <c r="H28" s="50" t="str">
        <f aca="false">IFERROR(INDEX(DATABASE!$N$4:$N$2003,MATCH($B28,DATABASE!$Z$4:$Z$2003,0))&amp;"","")</f>
        <v>Anggota</v>
      </c>
      <c r="I28" s="51" t="str">
        <f aca="false">IFERROR(INDEX(DATABASE!$O$4:$O$2003,MATCH($B28,DATABASE!$Z$4:$Z$2003,0))&amp;"","")</f>
        <v/>
      </c>
      <c r="J28" s="49" t="str">
        <f aca="false">IFERROR(INDEX(DATABASE!$T$4:$T$2003,MATCH($B28,DATABASE!$Z$4:$Z$2003,0))&amp;"","")</f>
        <v>Aktif</v>
      </c>
      <c r="K28" s="50" t="str">
        <f aca="false">IFERROR(INDEX(DATABASE!$I$4:$I$2003,MATCH($B28,DATABASE!$Z$4:$Z$2003,0))&amp;"","")</f>
        <v/>
      </c>
    </row>
    <row r="29" customFormat="false" ht="15" hidden="false" customHeight="false" outlineLevel="0" collapsed="false">
      <c r="B29" s="46" t="n">
        <v>17</v>
      </c>
      <c r="C29" s="47" t="str">
        <f aca="false">IFERROR(INDEX(DATABASE!$B$4:$B$2003,MATCH($B29,DATABASE!$Z$4:$Z$2003,0))&amp;"","")</f>
        <v>JAYA</v>
      </c>
      <c r="D29" s="48" t="str">
        <f aca="false">IFERROR(INDEX(DATABASE!$C$4:$C$2003,MATCH($B29,DATABASE!$Z$4:$Z$2003,0))&amp;"","")</f>
        <v/>
      </c>
      <c r="E29" s="46" t="str">
        <f aca="false">IFERROR(INDEX(DATABASE!$E$4:$E$2003,MATCH($B29,DATABASE!$Z$4:$Z$2003,0))&amp;"","")</f>
        <v/>
      </c>
      <c r="F29" s="46" t="str">
        <f aca="false">IFERROR(INDEX(DATABASE!$F$4:$F$2003,MATCH($B29,DATABASE!$Z$4:$Z$2003,0))&amp;"","")</f>
        <v>Kp. Wangkal</v>
      </c>
      <c r="G29" s="48" t="str">
        <f aca="false">IFERROR(INDEX(DATABASE!$G$4:$G$2003,MATCH($B29,DATABASE!$Z$4:$Z$2003,0))&amp;"","")</f>
        <v>004</v>
      </c>
      <c r="H29" s="47" t="str">
        <f aca="false">IFERROR(INDEX(DATABASE!$N$4:$N$2003,MATCH($B29,DATABASE!$Z$4:$Z$2003,0))&amp;"","")</f>
        <v>Anggota</v>
      </c>
      <c r="I29" s="48" t="str">
        <f aca="false">IFERROR(INDEX(DATABASE!$O$4:$O$2003,MATCH($B29,DATABASE!$Z$4:$Z$2003,0))&amp;"","")</f>
        <v/>
      </c>
      <c r="J29" s="46" t="str">
        <f aca="false">IFERROR(INDEX(DATABASE!$T$4:$T$2003,MATCH($B29,DATABASE!$Z$4:$Z$2003,0))&amp;"","")</f>
        <v>Aktif</v>
      </c>
      <c r="K29" s="47" t="str">
        <f aca="false">IFERROR(INDEX(DATABASE!$I$4:$I$2003,MATCH($B29,DATABASE!$Z$4:$Z$2003,0))&amp;"","")</f>
        <v/>
      </c>
    </row>
    <row r="30" customFormat="false" ht="15" hidden="false" customHeight="false" outlineLevel="0" collapsed="false">
      <c r="B30" s="49" t="n">
        <v>18</v>
      </c>
      <c r="C30" s="50" t="str">
        <f aca="false">IFERROR(INDEX(DATABASE!$B$4:$B$2003,MATCH($B30,DATABASE!$Z$4:$Z$2003,0))&amp;"","")</f>
        <v>ADE RINO</v>
      </c>
      <c r="D30" s="51" t="str">
        <f aca="false">IFERROR(INDEX(DATABASE!$C$4:$C$2003,MATCH($B30,DATABASE!$Z$4:$Z$2003,0))&amp;"","")</f>
        <v/>
      </c>
      <c r="E30" s="49" t="str">
        <f aca="false">IFERROR(INDEX(DATABASE!$E$4:$E$2003,MATCH($B30,DATABASE!$Z$4:$Z$2003,0))&amp;"","")</f>
        <v/>
      </c>
      <c r="F30" s="49" t="str">
        <f aca="false">IFERROR(INDEX(DATABASE!$F$4:$F$2003,MATCH($B30,DATABASE!$Z$4:$Z$2003,0))&amp;"","")</f>
        <v>Kp. Gamprit</v>
      </c>
      <c r="G30" s="51" t="str">
        <f aca="false">IFERROR(INDEX(DATABASE!$G$4:$G$2003,MATCH($B30,DATABASE!$Z$4:$Z$2003,0))&amp;"","")</f>
        <v>003</v>
      </c>
      <c r="H30" s="50" t="str">
        <f aca="false">IFERROR(INDEX(DATABASE!$N$4:$N$2003,MATCH($B30,DATABASE!$Z$4:$Z$2003,0))&amp;"","")</f>
        <v>Anggota</v>
      </c>
      <c r="I30" s="51" t="str">
        <f aca="false">IFERROR(INDEX(DATABASE!$O$4:$O$2003,MATCH($B30,DATABASE!$Z$4:$Z$2003,0))&amp;"","")</f>
        <v/>
      </c>
      <c r="J30" s="49" t="str">
        <f aca="false">IFERROR(INDEX(DATABASE!$T$4:$T$2003,MATCH($B30,DATABASE!$Z$4:$Z$2003,0))&amp;"","")</f>
        <v>Aktif</v>
      </c>
      <c r="K30" s="50" t="str">
        <f aca="false">IFERROR(INDEX(DATABASE!$I$4:$I$2003,MATCH($B30,DATABASE!$Z$4:$Z$2003,0))&amp;"","")</f>
        <v/>
      </c>
    </row>
    <row r="31" customFormat="false" ht="15" hidden="false" customHeight="false" outlineLevel="0" collapsed="false">
      <c r="B31" s="46" t="n">
        <v>19</v>
      </c>
      <c r="C31" s="47" t="str">
        <f aca="false">IFERROR(INDEX(DATABASE!$B$4:$B$2003,MATCH($B31,DATABASE!$Z$4:$Z$2003,0))&amp;"","")</f>
        <v>WINDA</v>
      </c>
      <c r="D31" s="48" t="str">
        <f aca="false">IFERROR(INDEX(DATABASE!$C$4:$C$2003,MATCH($B31,DATABASE!$Z$4:$Z$2003,0))&amp;"","")</f>
        <v/>
      </c>
      <c r="E31" s="46" t="str">
        <f aca="false">IFERROR(INDEX(DATABASE!$E$4:$E$2003,MATCH($B31,DATABASE!$Z$4:$Z$2003,0))&amp;"","")</f>
        <v/>
      </c>
      <c r="F31" s="46" t="str">
        <f aca="false">IFERROR(INDEX(DATABASE!$F$4:$F$2003,MATCH($B31,DATABASE!$Z$4:$Z$2003,0))&amp;"","")</f>
        <v>Kp. Kuda Kuda</v>
      </c>
      <c r="G31" s="48" t="str">
        <f aca="false">IFERROR(INDEX(DATABASE!$G$4:$G$2003,MATCH($B31,DATABASE!$Z$4:$Z$2003,0))&amp;"","")</f>
        <v>004</v>
      </c>
      <c r="H31" s="47" t="str">
        <f aca="false">IFERROR(INDEX(DATABASE!$N$4:$N$2003,MATCH($B31,DATABASE!$Z$4:$Z$2003,0))&amp;"","")</f>
        <v>Anggota</v>
      </c>
      <c r="I31" s="48" t="str">
        <f aca="false">IFERROR(INDEX(DATABASE!$O$4:$O$2003,MATCH($B31,DATABASE!$Z$4:$Z$2003,0))&amp;"","")</f>
        <v/>
      </c>
      <c r="J31" s="46" t="str">
        <f aca="false">IFERROR(INDEX(DATABASE!$T$4:$T$2003,MATCH($B31,DATABASE!$Z$4:$Z$2003,0))&amp;"","")</f>
        <v>Aktif</v>
      </c>
      <c r="K31" s="47" t="str">
        <f aca="false">IFERROR(INDEX(DATABASE!$I$4:$I$2003,MATCH($B31,DATABASE!$Z$4:$Z$2003,0))&amp;"","")</f>
        <v/>
      </c>
    </row>
    <row r="32" customFormat="false" ht="15" hidden="false" customHeight="false" outlineLevel="0" collapsed="false">
      <c r="B32" s="49" t="n">
        <v>20</v>
      </c>
      <c r="C32" s="50" t="str">
        <f aca="false">IFERROR(INDEX(DATABASE!$B$4:$B$2003,MATCH($B32,DATABASE!$Z$4:$Z$2003,0))&amp;"","")</f>
        <v>HERMAN BOLON</v>
      </c>
      <c r="D32" s="51" t="str">
        <f aca="false">IFERROR(INDEX(DATABASE!$C$4:$C$2003,MATCH($B32,DATABASE!$Z$4:$Z$2003,0))&amp;"","")</f>
        <v/>
      </c>
      <c r="E32" s="49" t="str">
        <f aca="false">IFERROR(INDEX(DATABASE!$E$4:$E$2003,MATCH($B32,DATABASE!$Z$4:$Z$2003,0))&amp;"","")</f>
        <v/>
      </c>
      <c r="F32" s="49" t="str">
        <f aca="false">IFERROR(INDEX(DATABASE!$F$4:$F$2003,MATCH($B32,DATABASE!$Z$4:$Z$2003,0))&amp;"","")</f>
        <v>Kp. Gamprit</v>
      </c>
      <c r="G32" s="51" t="str">
        <f aca="false">IFERROR(INDEX(DATABASE!$G$4:$G$2003,MATCH($B32,DATABASE!$Z$4:$Z$2003,0))&amp;"","")</f>
        <v>003</v>
      </c>
      <c r="H32" s="50" t="str">
        <f aca="false">IFERROR(INDEX(DATABASE!$N$4:$N$2003,MATCH($B32,DATABASE!$Z$4:$Z$2003,0))&amp;"","")</f>
        <v>Anggota</v>
      </c>
      <c r="I32" s="51" t="str">
        <f aca="false">IFERROR(INDEX(DATABASE!$O$4:$O$2003,MATCH($B32,DATABASE!$Z$4:$Z$2003,0))&amp;"","")</f>
        <v/>
      </c>
      <c r="J32" s="49" t="str">
        <f aca="false">IFERROR(INDEX(DATABASE!$T$4:$T$2003,MATCH($B32,DATABASE!$Z$4:$Z$2003,0))&amp;"","")</f>
        <v>Aktif</v>
      </c>
      <c r="K32" s="50" t="str">
        <f aca="false">IFERROR(INDEX(DATABASE!$I$4:$I$2003,MATCH($B32,DATABASE!$Z$4:$Z$2003,0))&amp;"","")</f>
        <v/>
      </c>
    </row>
    <row r="33" customFormat="false" ht="15" hidden="false" customHeight="false" outlineLevel="0" collapsed="false">
      <c r="B33" s="46" t="n">
        <v>21</v>
      </c>
      <c r="C33" s="47" t="str">
        <f aca="false">IFERROR(INDEX(DATABASE!$B$4:$B$2003,MATCH($B33,DATABASE!$Z$4:$Z$2003,0))&amp;"","")</f>
        <v>TASBIH (BODONG)</v>
      </c>
      <c r="D33" s="48" t="str">
        <f aca="false">IFERROR(INDEX(DATABASE!$C$4:$C$2003,MATCH($B33,DATABASE!$Z$4:$Z$2003,0))&amp;"","")</f>
        <v/>
      </c>
      <c r="E33" s="46" t="str">
        <f aca="false">IFERROR(INDEX(DATABASE!$E$4:$E$2003,MATCH($B33,DATABASE!$Z$4:$Z$2003,0))&amp;"","")</f>
        <v/>
      </c>
      <c r="F33" s="46" t="str">
        <f aca="false">IFERROR(INDEX(DATABASE!$F$4:$F$2003,MATCH($B33,DATABASE!$Z$4:$Z$2003,0))&amp;"","")</f>
        <v>Kp. Wangkal</v>
      </c>
      <c r="G33" s="48" t="str">
        <f aca="false">IFERROR(INDEX(DATABASE!$G$4:$G$2003,MATCH($B33,DATABASE!$Z$4:$Z$2003,0))&amp;"","")</f>
        <v>004</v>
      </c>
      <c r="H33" s="47" t="str">
        <f aca="false">IFERROR(INDEX(DATABASE!$N$4:$N$2003,MATCH($B33,DATABASE!$Z$4:$Z$2003,0))&amp;"","")</f>
        <v>Anggota</v>
      </c>
      <c r="I33" s="48" t="str">
        <f aca="false">IFERROR(INDEX(DATABASE!$O$4:$O$2003,MATCH($B33,DATABASE!$Z$4:$Z$2003,0))&amp;"","")</f>
        <v/>
      </c>
      <c r="J33" s="46" t="str">
        <f aca="false">IFERROR(INDEX(DATABASE!$T$4:$T$2003,MATCH($B33,DATABASE!$Z$4:$Z$2003,0))&amp;"","")</f>
        <v>Aktif</v>
      </c>
      <c r="K33" s="47" t="str">
        <f aca="false">IFERROR(INDEX(DATABASE!$I$4:$I$2003,MATCH($B33,DATABASE!$Z$4:$Z$2003,0))&amp;"","")</f>
        <v/>
      </c>
    </row>
    <row r="34" customFormat="false" ht="15" hidden="false" customHeight="false" outlineLevel="0" collapsed="false">
      <c r="B34" s="49" t="n">
        <v>22</v>
      </c>
      <c r="C34" s="50" t="str">
        <f aca="false">IFERROR(INDEX(DATABASE!$B$4:$B$2003,MATCH($B34,DATABASE!$Z$4:$Z$2003,0))&amp;"","")</f>
        <v>MARDI</v>
      </c>
      <c r="D34" s="51" t="str">
        <f aca="false">IFERROR(INDEX(DATABASE!$C$4:$C$2003,MATCH($B34,DATABASE!$Z$4:$Z$2003,0))&amp;"","")</f>
        <v/>
      </c>
      <c r="E34" s="49" t="str">
        <f aca="false">IFERROR(INDEX(DATABASE!$E$4:$E$2003,MATCH($B34,DATABASE!$Z$4:$Z$2003,0))&amp;"","")</f>
        <v/>
      </c>
      <c r="F34" s="49" t="str">
        <f aca="false">IFERROR(INDEX(DATABASE!$F$4:$F$2003,MATCH($B34,DATABASE!$Z$4:$Z$2003,0))&amp;"","")</f>
        <v>Kp. Wangkal</v>
      </c>
      <c r="G34" s="51" t="str">
        <f aca="false">IFERROR(INDEX(DATABASE!$G$4:$G$2003,MATCH($B34,DATABASE!$Z$4:$Z$2003,0))&amp;"","")</f>
        <v>005</v>
      </c>
      <c r="H34" s="50" t="str">
        <f aca="false">IFERROR(INDEX(DATABASE!$N$4:$N$2003,MATCH($B34,DATABASE!$Z$4:$Z$2003,0))&amp;"","")</f>
        <v>Anggota</v>
      </c>
      <c r="I34" s="51" t="str">
        <f aca="false">IFERROR(INDEX(DATABASE!$O$4:$O$2003,MATCH($B34,DATABASE!$Z$4:$Z$2003,0))&amp;"","")</f>
        <v/>
      </c>
      <c r="J34" s="49" t="str">
        <f aca="false">IFERROR(INDEX(DATABASE!$T$4:$T$2003,MATCH($B34,DATABASE!$Z$4:$Z$2003,0))&amp;"","")</f>
        <v>Aktif</v>
      </c>
      <c r="K34" s="50" t="str">
        <f aca="false">IFERROR(INDEX(DATABASE!$I$4:$I$2003,MATCH($B34,DATABASE!$Z$4:$Z$2003,0))&amp;"","")</f>
        <v/>
      </c>
    </row>
    <row r="35" customFormat="false" ht="15" hidden="false" customHeight="false" outlineLevel="0" collapsed="false">
      <c r="B35" s="46" t="n">
        <v>23</v>
      </c>
      <c r="C35" s="47" t="str">
        <f aca="false">IFERROR(INDEX(DATABASE!$B$4:$B$2003,MATCH($B35,DATABASE!$Z$4:$Z$2003,0))&amp;"","")</f>
        <v>OTIH (AAL)</v>
      </c>
      <c r="D35" s="48" t="str">
        <f aca="false">IFERROR(INDEX(DATABASE!$C$4:$C$2003,MATCH($B35,DATABASE!$Z$4:$Z$2003,0))&amp;"","")</f>
        <v/>
      </c>
      <c r="E35" s="46" t="str">
        <f aca="false">IFERROR(INDEX(DATABASE!$E$4:$E$2003,MATCH($B35,DATABASE!$Z$4:$Z$2003,0))&amp;"","")</f>
        <v/>
      </c>
      <c r="F35" s="46" t="str">
        <f aca="false">IFERROR(INDEX(DATABASE!$F$4:$F$2003,MATCH($B35,DATABASE!$Z$4:$Z$2003,0))&amp;"","")</f>
        <v>Kp. Gamprit</v>
      </c>
      <c r="G35" s="48" t="str">
        <f aca="false">IFERROR(INDEX(DATABASE!$G$4:$G$2003,MATCH($B35,DATABASE!$Z$4:$Z$2003,0))&amp;"","")</f>
        <v>003</v>
      </c>
      <c r="H35" s="47" t="str">
        <f aca="false">IFERROR(INDEX(DATABASE!$N$4:$N$2003,MATCH($B35,DATABASE!$Z$4:$Z$2003,0))&amp;"","")</f>
        <v>Anggota</v>
      </c>
      <c r="I35" s="48" t="str">
        <f aca="false">IFERROR(INDEX(DATABASE!$O$4:$O$2003,MATCH($B35,DATABASE!$Z$4:$Z$2003,0))&amp;"","")</f>
        <v/>
      </c>
      <c r="J35" s="46" t="str">
        <f aca="false">IFERROR(INDEX(DATABASE!$T$4:$T$2003,MATCH($B35,DATABASE!$Z$4:$Z$2003,0))&amp;"","")</f>
        <v>Aktif</v>
      </c>
      <c r="K35" s="47" t="str">
        <f aca="false">IFERROR(INDEX(DATABASE!$I$4:$I$2003,MATCH($B35,DATABASE!$Z$4:$Z$2003,0))&amp;"","")</f>
        <v/>
      </c>
    </row>
    <row r="36" customFormat="false" ht="15" hidden="false" customHeight="false" outlineLevel="0" collapsed="false">
      <c r="B36" s="49" t="n">
        <v>24</v>
      </c>
      <c r="C36" s="50" t="str">
        <f aca="false">IFERROR(INDEX(DATABASE!$B$4:$B$2003,MATCH($B36,DATABASE!$Z$4:$Z$2003,0))&amp;"","")</f>
        <v>KANDI</v>
      </c>
      <c r="D36" s="51" t="str">
        <f aca="false">IFERROR(INDEX(DATABASE!$C$4:$C$2003,MATCH($B36,DATABASE!$Z$4:$Z$2003,0))&amp;"","")</f>
        <v/>
      </c>
      <c r="E36" s="49" t="str">
        <f aca="false">IFERROR(INDEX(DATABASE!$E$4:$E$2003,MATCH($B36,DATABASE!$Z$4:$Z$2003,0))&amp;"","")</f>
        <v/>
      </c>
      <c r="F36" s="49" t="str">
        <f aca="false">IFERROR(INDEX(DATABASE!$F$4:$F$2003,MATCH($B36,DATABASE!$Z$4:$Z$2003,0))&amp;"","")</f>
        <v>Kp. Gamprit</v>
      </c>
      <c r="G36" s="51" t="str">
        <f aca="false">IFERROR(INDEX(DATABASE!$G$4:$G$2003,MATCH($B36,DATABASE!$Z$4:$Z$2003,0))&amp;"","")</f>
        <v>003</v>
      </c>
      <c r="H36" s="50" t="str">
        <f aca="false">IFERROR(INDEX(DATABASE!$N$4:$N$2003,MATCH($B36,DATABASE!$Z$4:$Z$2003,0))&amp;"","")</f>
        <v>Anggota</v>
      </c>
      <c r="I36" s="51" t="str">
        <f aca="false">IFERROR(INDEX(DATABASE!$O$4:$O$2003,MATCH($B36,DATABASE!$Z$4:$Z$2003,0))&amp;"","")</f>
        <v/>
      </c>
      <c r="J36" s="49" t="str">
        <f aca="false">IFERROR(INDEX(DATABASE!$T$4:$T$2003,MATCH($B36,DATABASE!$Z$4:$Z$2003,0))&amp;"","")</f>
        <v>Aktif</v>
      </c>
      <c r="K36" s="50" t="str">
        <f aca="false">IFERROR(INDEX(DATABASE!$I$4:$I$2003,MATCH($B36,DATABASE!$Z$4:$Z$2003,0))&amp;"","")</f>
        <v/>
      </c>
    </row>
    <row r="37" customFormat="false" ht="15" hidden="false" customHeight="false" outlineLevel="0" collapsed="false">
      <c r="B37" s="46" t="n">
        <v>25</v>
      </c>
      <c r="C37" s="47" t="str">
        <f aca="false">IFERROR(INDEX(DATABASE!$B$4:$B$2003,MATCH($B37,DATABASE!$Z$4:$Z$2003,0))&amp;"","")</f>
        <v>EMIN (KOJEK)</v>
      </c>
      <c r="D37" s="48" t="str">
        <f aca="false">IFERROR(INDEX(DATABASE!$C$4:$C$2003,MATCH($B37,DATABASE!$Z$4:$Z$2003,0))&amp;"","")</f>
        <v/>
      </c>
      <c r="E37" s="46" t="str">
        <f aca="false">IFERROR(INDEX(DATABASE!$E$4:$E$2003,MATCH($B37,DATABASE!$Z$4:$Z$2003,0))&amp;"","")</f>
        <v/>
      </c>
      <c r="F37" s="46" t="str">
        <f aca="false">IFERROR(INDEX(DATABASE!$F$4:$F$2003,MATCH($B37,DATABASE!$Z$4:$Z$2003,0))&amp;"","")</f>
        <v>Kp. Wangkal</v>
      </c>
      <c r="G37" s="48" t="str">
        <f aca="false">IFERROR(INDEX(DATABASE!$G$4:$G$2003,MATCH($B37,DATABASE!$Z$4:$Z$2003,0))&amp;"","")</f>
        <v>004</v>
      </c>
      <c r="H37" s="47" t="str">
        <f aca="false">IFERROR(INDEX(DATABASE!$N$4:$N$2003,MATCH($B37,DATABASE!$Z$4:$Z$2003,0))&amp;"","")</f>
        <v>Anggota</v>
      </c>
      <c r="I37" s="48" t="str">
        <f aca="false">IFERROR(INDEX(DATABASE!$O$4:$O$2003,MATCH($B37,DATABASE!$Z$4:$Z$2003,0))&amp;"","")</f>
        <v/>
      </c>
      <c r="J37" s="46" t="str">
        <f aca="false">IFERROR(INDEX(DATABASE!$T$4:$T$2003,MATCH($B37,DATABASE!$Z$4:$Z$2003,0))&amp;"","")</f>
        <v>Aktif</v>
      </c>
      <c r="K37" s="47" t="str">
        <f aca="false">IFERROR(INDEX(DATABASE!$I$4:$I$2003,MATCH($B37,DATABASE!$Z$4:$Z$2003,0))&amp;"","")</f>
        <v/>
      </c>
    </row>
    <row r="38" customFormat="false" ht="15" hidden="false" customHeight="false" outlineLevel="0" collapsed="false">
      <c r="B38" s="49" t="n">
        <v>26</v>
      </c>
      <c r="C38" s="50" t="str">
        <f aca="false">IFERROR(INDEX(DATABASE!$B$4:$B$2003,MATCH($B38,DATABASE!$Z$4:$Z$2003,0))&amp;"","")</f>
        <v>KET NALIH</v>
      </c>
      <c r="D38" s="51" t="str">
        <f aca="false">IFERROR(INDEX(DATABASE!$C$4:$C$2003,MATCH($B38,DATABASE!$Z$4:$Z$2003,0))&amp;"","")</f>
        <v/>
      </c>
      <c r="E38" s="49" t="str">
        <f aca="false">IFERROR(INDEX(DATABASE!$E$4:$E$2003,MATCH($B38,DATABASE!$Z$4:$Z$2003,0))&amp;"","")</f>
        <v/>
      </c>
      <c r="F38" s="49" t="str">
        <f aca="false">IFERROR(INDEX(DATABASE!$F$4:$F$2003,MATCH($B38,DATABASE!$Z$4:$Z$2003,0))&amp;"","")</f>
        <v>Kp. Wangkal</v>
      </c>
      <c r="G38" s="51" t="str">
        <f aca="false">IFERROR(INDEX(DATABASE!$G$4:$G$2003,MATCH($B38,DATABASE!$Z$4:$Z$2003,0))&amp;"","")</f>
        <v>004</v>
      </c>
      <c r="H38" s="50" t="str">
        <f aca="false">IFERROR(INDEX(DATABASE!$N$4:$N$2003,MATCH($B38,DATABASE!$Z$4:$Z$2003,0))&amp;"","")</f>
        <v>Anggota</v>
      </c>
      <c r="I38" s="51" t="str">
        <f aca="false">IFERROR(INDEX(DATABASE!$O$4:$O$2003,MATCH($B38,DATABASE!$Z$4:$Z$2003,0))&amp;"","")</f>
        <v/>
      </c>
      <c r="J38" s="49" t="str">
        <f aca="false">IFERROR(INDEX(DATABASE!$T$4:$T$2003,MATCH($B38,DATABASE!$Z$4:$Z$2003,0))&amp;"","")</f>
        <v>Aktif</v>
      </c>
      <c r="K38" s="50" t="str">
        <f aca="false">IFERROR(INDEX(DATABASE!$I$4:$I$2003,MATCH($B38,DATABASE!$Z$4:$Z$2003,0))&amp;"","")</f>
        <v/>
      </c>
    </row>
    <row r="39" customFormat="false" ht="15" hidden="false" customHeight="false" outlineLevel="0" collapsed="false">
      <c r="B39" s="46" t="n">
        <v>27</v>
      </c>
      <c r="C39" s="47" t="str">
        <f aca="false">IFERROR(INDEX(DATABASE!$B$4:$B$2003,MATCH($B39,DATABASE!$Z$4:$Z$2003,0))&amp;"","")</f>
        <v>FEI</v>
      </c>
      <c r="D39" s="48" t="str">
        <f aca="false">IFERROR(INDEX(DATABASE!$C$4:$C$2003,MATCH($B39,DATABASE!$Z$4:$Z$2003,0))&amp;"","")</f>
        <v/>
      </c>
      <c r="E39" s="46" t="str">
        <f aca="false">IFERROR(INDEX(DATABASE!$E$4:$E$2003,MATCH($B39,DATABASE!$Z$4:$Z$2003,0))&amp;"","")</f>
        <v/>
      </c>
      <c r="F39" s="46" t="str">
        <f aca="false">IFERROR(INDEX(DATABASE!$F$4:$F$2003,MATCH($B39,DATABASE!$Z$4:$Z$2003,0))&amp;"","")</f>
        <v/>
      </c>
      <c r="G39" s="48" t="str">
        <f aca="false">IFERROR(INDEX(DATABASE!$G$4:$G$2003,MATCH($B39,DATABASE!$Z$4:$Z$2003,0))&amp;"","")</f>
        <v>004</v>
      </c>
      <c r="H39" s="47" t="str">
        <f aca="false">IFERROR(INDEX(DATABASE!$N$4:$N$2003,MATCH($B39,DATABASE!$Z$4:$Z$2003,0))&amp;"","")</f>
        <v>Anggota</v>
      </c>
      <c r="I39" s="48" t="str">
        <f aca="false">IFERROR(INDEX(DATABASE!$O$4:$O$2003,MATCH($B39,DATABASE!$Z$4:$Z$2003,0))&amp;"","")</f>
        <v/>
      </c>
      <c r="J39" s="46" t="str">
        <f aca="false">IFERROR(INDEX(DATABASE!$T$4:$T$2003,MATCH($B39,DATABASE!$Z$4:$Z$2003,0))&amp;"","")</f>
        <v>Aktif</v>
      </c>
      <c r="K39" s="47" t="str">
        <f aca="false">IFERROR(INDEX(DATABASE!$I$4:$I$2003,MATCH($B39,DATABASE!$Z$4:$Z$2003,0))&amp;"","")</f>
        <v/>
      </c>
    </row>
    <row r="40" customFormat="false" ht="15" hidden="false" customHeight="false" outlineLevel="0" collapsed="false">
      <c r="B40" s="49" t="n">
        <v>28</v>
      </c>
      <c r="C40" s="50" t="str">
        <f aca="false">IFERROR(INDEX(DATABASE!$B$4:$B$2003,MATCH($B40,DATABASE!$Z$4:$Z$2003,0))&amp;"","")</f>
        <v>AAL</v>
      </c>
      <c r="D40" s="51" t="str">
        <f aca="false">IFERROR(INDEX(DATABASE!$C$4:$C$2003,MATCH($B40,DATABASE!$Z$4:$Z$2003,0))&amp;"","")</f>
        <v/>
      </c>
      <c r="E40" s="49" t="str">
        <f aca="false">IFERROR(INDEX(DATABASE!$E$4:$E$2003,MATCH($B40,DATABASE!$Z$4:$Z$2003,0))&amp;"","")</f>
        <v/>
      </c>
      <c r="F40" s="49" t="str">
        <f aca="false">IFERROR(INDEX(DATABASE!$F$4:$F$2003,MATCH($B40,DATABASE!$Z$4:$Z$2003,0))&amp;"","")</f>
        <v>Kp. Kuda Kuda</v>
      </c>
      <c r="G40" s="51" t="str">
        <f aca="false">IFERROR(INDEX(DATABASE!$G$4:$G$2003,MATCH($B40,DATABASE!$Z$4:$Z$2003,0))&amp;"","")</f>
        <v>004</v>
      </c>
      <c r="H40" s="50" t="str">
        <f aca="false">IFERROR(INDEX(DATABASE!$N$4:$N$2003,MATCH($B40,DATABASE!$Z$4:$Z$2003,0))&amp;"","")</f>
        <v>Anggota</v>
      </c>
      <c r="I40" s="51" t="str">
        <f aca="false">IFERROR(INDEX(DATABASE!$O$4:$O$2003,MATCH($B40,DATABASE!$Z$4:$Z$2003,0))&amp;"","")</f>
        <v/>
      </c>
      <c r="J40" s="49" t="str">
        <f aca="false">IFERROR(INDEX(DATABASE!$T$4:$T$2003,MATCH($B40,DATABASE!$Z$4:$Z$2003,0))&amp;"","")</f>
        <v>Aktif</v>
      </c>
      <c r="K40" s="50" t="str">
        <f aca="false">IFERROR(INDEX(DATABASE!$I$4:$I$2003,MATCH($B40,DATABASE!$Z$4:$Z$2003,0))&amp;"","")</f>
        <v/>
      </c>
    </row>
    <row r="41" customFormat="false" ht="15" hidden="false" customHeight="false" outlineLevel="0" collapsed="false">
      <c r="B41" s="46" t="n">
        <v>29</v>
      </c>
      <c r="C41" s="47" t="str">
        <f aca="false">IFERROR(INDEX(DATABASE!$B$4:$B$2003,MATCH($B41,DATABASE!$Z$4:$Z$2003,0))&amp;"","")</f>
        <v>OMAN</v>
      </c>
      <c r="D41" s="48" t="str">
        <f aca="false">IFERROR(INDEX(DATABASE!$C$4:$C$2003,MATCH($B41,DATABASE!$Z$4:$Z$2003,0))&amp;"","")</f>
        <v/>
      </c>
      <c r="E41" s="46" t="str">
        <f aca="false">IFERROR(INDEX(DATABASE!$E$4:$E$2003,MATCH($B41,DATABASE!$Z$4:$Z$2003,0))&amp;"","")</f>
        <v/>
      </c>
      <c r="F41" s="46" t="str">
        <f aca="false">IFERROR(INDEX(DATABASE!$F$4:$F$2003,MATCH($B41,DATABASE!$Z$4:$Z$2003,0))&amp;"","")</f>
        <v/>
      </c>
      <c r="G41" s="48" t="str">
        <f aca="false">IFERROR(INDEX(DATABASE!$G$4:$G$2003,MATCH($B41,DATABASE!$Z$4:$Z$2003,0))&amp;"","")</f>
        <v>003</v>
      </c>
      <c r="H41" s="47" t="str">
        <f aca="false">IFERROR(INDEX(DATABASE!$N$4:$N$2003,MATCH($B41,DATABASE!$Z$4:$Z$2003,0))&amp;"","")</f>
        <v>Anggota</v>
      </c>
      <c r="I41" s="48" t="str">
        <f aca="false">IFERROR(INDEX(DATABASE!$O$4:$O$2003,MATCH($B41,DATABASE!$Z$4:$Z$2003,0))&amp;"","")</f>
        <v/>
      </c>
      <c r="J41" s="46" t="str">
        <f aca="false">IFERROR(INDEX(DATABASE!$T$4:$T$2003,MATCH($B41,DATABASE!$Z$4:$Z$2003,0))&amp;"","")</f>
        <v>Aktif</v>
      </c>
      <c r="K41" s="47" t="str">
        <f aca="false">IFERROR(INDEX(DATABASE!$I$4:$I$2003,MATCH($B41,DATABASE!$Z$4:$Z$2003,0))&amp;"","")</f>
        <v/>
      </c>
    </row>
    <row r="42" customFormat="false" ht="15" hidden="false" customHeight="false" outlineLevel="0" collapsed="false">
      <c r="B42" s="49" t="n">
        <v>30</v>
      </c>
      <c r="C42" s="50" t="str">
        <f aca="false">IFERROR(INDEX(DATABASE!$B$4:$B$2003,MATCH($B42,DATABASE!$Z$4:$Z$2003,0))&amp;"","")</f>
        <v>WACEP ACENK</v>
      </c>
      <c r="D42" s="51" t="str">
        <f aca="false">IFERROR(INDEX(DATABASE!$C$4:$C$2003,MATCH($B42,DATABASE!$Z$4:$Z$2003,0))&amp;"","")</f>
        <v/>
      </c>
      <c r="E42" s="49" t="str">
        <f aca="false">IFERROR(INDEX(DATABASE!$E$4:$E$2003,MATCH($B42,DATABASE!$Z$4:$Z$2003,0))&amp;"","")</f>
        <v/>
      </c>
      <c r="F42" s="49" t="str">
        <f aca="false">IFERROR(INDEX(DATABASE!$F$4:$F$2003,MATCH($B42,DATABASE!$Z$4:$Z$2003,0))&amp;"","")</f>
        <v/>
      </c>
      <c r="G42" s="51" t="str">
        <f aca="false">IFERROR(INDEX(DATABASE!$G$4:$G$2003,MATCH($B42,DATABASE!$Z$4:$Z$2003,0))&amp;"","")</f>
        <v>003</v>
      </c>
      <c r="H42" s="50" t="str">
        <f aca="false">IFERROR(INDEX(DATABASE!$N$4:$N$2003,MATCH($B42,DATABASE!$Z$4:$Z$2003,0))&amp;"","")</f>
        <v>Anggota</v>
      </c>
      <c r="I42" s="51" t="str">
        <f aca="false">IFERROR(INDEX(DATABASE!$O$4:$O$2003,MATCH($B42,DATABASE!$Z$4:$Z$2003,0))&amp;"","")</f>
        <v/>
      </c>
      <c r="J42" s="49" t="str">
        <f aca="false">IFERROR(INDEX(DATABASE!$T$4:$T$2003,MATCH($B42,DATABASE!$Z$4:$Z$2003,0))&amp;"","")</f>
        <v>Aktif</v>
      </c>
      <c r="K42" s="50" t="str">
        <f aca="false">IFERROR(INDEX(DATABASE!$I$4:$I$2003,MATCH($B42,DATABASE!$Z$4:$Z$2003,0))&amp;"","")</f>
        <v/>
      </c>
    </row>
    <row r="43" customFormat="false" ht="15" hidden="false" customHeight="false" outlineLevel="0" collapsed="false">
      <c r="B43" s="46" t="n">
        <v>31</v>
      </c>
      <c r="C43" s="47" t="str">
        <f aca="false">IFERROR(INDEX(DATABASE!$B$4:$B$2003,MATCH($B43,DATABASE!$Z$4:$Z$2003,0))&amp;"","")</f>
        <v>A. AZIZ MAULANA</v>
      </c>
      <c r="D43" s="48" t="str">
        <f aca="false">IFERROR(INDEX(DATABASE!$C$4:$C$2003,MATCH($B43,DATABASE!$Z$4:$Z$2003,0))&amp;"","")</f>
        <v/>
      </c>
      <c r="E43" s="46" t="str">
        <f aca="false">IFERROR(INDEX(DATABASE!$E$4:$E$2003,MATCH($B43,DATABASE!$Z$4:$Z$2003,0))&amp;"","")</f>
        <v/>
      </c>
      <c r="F43" s="46" t="str">
        <f aca="false">IFERROR(INDEX(DATABASE!$F$4:$F$2003,MATCH($B43,DATABASE!$Z$4:$Z$2003,0))&amp;"","")</f>
        <v/>
      </c>
      <c r="G43" s="48" t="str">
        <f aca="false">IFERROR(INDEX(DATABASE!$G$4:$G$2003,MATCH($B43,DATABASE!$Z$4:$Z$2003,0))&amp;"","")</f>
        <v>002</v>
      </c>
      <c r="H43" s="47" t="str">
        <f aca="false">IFERROR(INDEX(DATABASE!$N$4:$N$2003,MATCH($B43,DATABASE!$Z$4:$Z$2003,0))&amp;"","")</f>
        <v>Anggota</v>
      </c>
      <c r="I43" s="48" t="str">
        <f aca="false">IFERROR(INDEX(DATABASE!$O$4:$O$2003,MATCH($B43,DATABASE!$Z$4:$Z$2003,0))&amp;"","")</f>
        <v/>
      </c>
      <c r="J43" s="46" t="str">
        <f aca="false">IFERROR(INDEX(DATABASE!$T$4:$T$2003,MATCH($B43,DATABASE!$Z$4:$Z$2003,0))&amp;"","")</f>
        <v>Aktif</v>
      </c>
      <c r="K43" s="47" t="str">
        <f aca="false">IFERROR(INDEX(DATABASE!$I$4:$I$2003,MATCH($B43,DATABASE!$Z$4:$Z$2003,0))&amp;"","")</f>
        <v/>
      </c>
    </row>
    <row r="44" customFormat="false" ht="15" hidden="false" customHeight="false" outlineLevel="0" collapsed="false">
      <c r="B44" s="49" t="n">
        <v>32</v>
      </c>
      <c r="C44" s="50" t="str">
        <f aca="false">IFERROR(INDEX(DATABASE!$B$4:$B$2003,MATCH($B44,DATABASE!$Z$4:$Z$2003,0))&amp;"","")</f>
        <v>MARKUM</v>
      </c>
      <c r="D44" s="51" t="str">
        <f aca="false">IFERROR(INDEX(DATABASE!$C$4:$C$2003,MATCH($B44,DATABASE!$Z$4:$Z$2003,0))&amp;"","")</f>
        <v/>
      </c>
      <c r="E44" s="49" t="str">
        <f aca="false">IFERROR(INDEX(DATABASE!$E$4:$E$2003,MATCH($B44,DATABASE!$Z$4:$Z$2003,0))&amp;"","")</f>
        <v/>
      </c>
      <c r="F44" s="49" t="str">
        <f aca="false">IFERROR(INDEX(DATABASE!$F$4:$F$2003,MATCH($B44,DATABASE!$Z$4:$Z$2003,0))&amp;"","")</f>
        <v/>
      </c>
      <c r="G44" s="51" t="str">
        <f aca="false">IFERROR(INDEX(DATABASE!$G$4:$G$2003,MATCH($B44,DATABASE!$Z$4:$Z$2003,0))&amp;"","")</f>
        <v/>
      </c>
      <c r="H44" s="50" t="str">
        <f aca="false">IFERROR(INDEX(DATABASE!$N$4:$N$2003,MATCH($B44,DATABASE!$Z$4:$Z$2003,0))&amp;"","")</f>
        <v>Kadus</v>
      </c>
      <c r="I44" s="51" t="str">
        <f aca="false">IFERROR(INDEX(DATABASE!$O$4:$O$2003,MATCH($B44,DATABASE!$Z$4:$Z$2003,0))&amp;"","")</f>
        <v/>
      </c>
      <c r="J44" s="49" t="str">
        <f aca="false">IFERROR(INDEX(DATABASE!$T$4:$T$2003,MATCH($B44,DATABASE!$Z$4:$Z$2003,0))&amp;"","")</f>
        <v>Aktif</v>
      </c>
      <c r="K44" s="50" t="str">
        <f aca="false">IFERROR(INDEX(DATABASE!$I$4:$I$2003,MATCH($B44,DATABASE!$Z$4:$Z$2003,0))&amp;"","")</f>
        <v/>
      </c>
    </row>
    <row r="45" customFormat="false" ht="15" hidden="false" customHeight="false" outlineLevel="0" collapsed="false">
      <c r="B45" s="46" t="n">
        <v>33</v>
      </c>
      <c r="C45" s="47" t="str">
        <f aca="false">IFERROR(INDEX(DATABASE!$B$4:$B$2003,MATCH($B45,DATABASE!$Z$4:$Z$2003,0))&amp;"","")</f>
        <v>ANAH</v>
      </c>
      <c r="D45" s="48" t="str">
        <f aca="false">IFERROR(INDEX(DATABASE!$C$4:$C$2003,MATCH($B45,DATABASE!$Z$4:$Z$2003,0))&amp;"","")</f>
        <v/>
      </c>
      <c r="E45" s="46" t="str">
        <f aca="false">IFERROR(INDEX(DATABASE!$E$4:$E$2003,MATCH($B45,DATABASE!$Z$4:$Z$2003,0))&amp;"","")</f>
        <v/>
      </c>
      <c r="F45" s="46" t="str">
        <f aca="false">IFERROR(INDEX(DATABASE!$F$4:$F$2003,MATCH($B45,DATABASE!$Z$4:$Z$2003,0))&amp;"","")</f>
        <v>Kp. Kuda Kuda</v>
      </c>
      <c r="G45" s="48" t="str">
        <f aca="false">IFERROR(INDEX(DATABASE!$G$4:$G$2003,MATCH($B45,DATABASE!$Z$4:$Z$2003,0))&amp;"","")</f>
        <v>004</v>
      </c>
      <c r="H45" s="47" t="str">
        <f aca="false">IFERROR(INDEX(DATABASE!$N$4:$N$2003,MATCH($B45,DATABASE!$Z$4:$Z$2003,0))&amp;"","")</f>
        <v>Anggota</v>
      </c>
      <c r="I45" s="48" t="str">
        <f aca="false">IFERROR(INDEX(DATABASE!$O$4:$O$2003,MATCH($B45,DATABASE!$Z$4:$Z$2003,0))&amp;"","")</f>
        <v/>
      </c>
      <c r="J45" s="46" t="str">
        <f aca="false">IFERROR(INDEX(DATABASE!$T$4:$T$2003,MATCH($B45,DATABASE!$Z$4:$Z$2003,0))&amp;"","")</f>
        <v>Aktif</v>
      </c>
      <c r="K45" s="47" t="str">
        <f aca="false">IFERROR(INDEX(DATABASE!$I$4:$I$2003,MATCH($B45,DATABASE!$Z$4:$Z$2003,0))&amp;"","")</f>
        <v/>
      </c>
    </row>
    <row r="46" customFormat="false" ht="15" hidden="false" customHeight="false" outlineLevel="0" collapsed="false">
      <c r="B46" s="49" t="n">
        <v>34</v>
      </c>
      <c r="C46" s="50" t="str">
        <f aca="false">IFERROR(INDEX(DATABASE!$B$4:$B$2003,MATCH($B46,DATABASE!$Z$4:$Z$2003,0))&amp;"","")</f>
        <v>SUGENG</v>
      </c>
      <c r="D46" s="51" t="str">
        <f aca="false">IFERROR(INDEX(DATABASE!$C$4:$C$2003,MATCH($B46,DATABASE!$Z$4:$Z$2003,0))&amp;"","")</f>
        <v/>
      </c>
      <c r="E46" s="49" t="str">
        <f aca="false">IFERROR(INDEX(DATABASE!$E$4:$E$2003,MATCH($B46,DATABASE!$Z$4:$Z$2003,0))&amp;"","")</f>
        <v/>
      </c>
      <c r="F46" s="49" t="str">
        <f aca="false">IFERROR(INDEX(DATABASE!$F$4:$F$2003,MATCH($B46,DATABASE!$Z$4:$Z$2003,0))&amp;"","")</f>
        <v>Kp. Kuda Kuda</v>
      </c>
      <c r="G46" s="51" t="str">
        <f aca="false">IFERROR(INDEX(DATABASE!$G$4:$G$2003,MATCH($B46,DATABASE!$Z$4:$Z$2003,0))&amp;"","")</f>
        <v>004</v>
      </c>
      <c r="H46" s="50" t="str">
        <f aca="false">IFERROR(INDEX(DATABASE!$N$4:$N$2003,MATCH($B46,DATABASE!$Z$4:$Z$2003,0))&amp;"","")</f>
        <v>Anggota</v>
      </c>
      <c r="I46" s="51" t="str">
        <f aca="false">IFERROR(INDEX(DATABASE!$O$4:$O$2003,MATCH($B46,DATABASE!$Z$4:$Z$2003,0))&amp;"","")</f>
        <v/>
      </c>
      <c r="J46" s="49" t="str">
        <f aca="false">IFERROR(INDEX(DATABASE!$T$4:$T$2003,MATCH($B46,DATABASE!$Z$4:$Z$2003,0))&amp;"","")</f>
        <v>Aktif</v>
      </c>
      <c r="K46" s="50" t="str">
        <f aca="false">IFERROR(INDEX(DATABASE!$I$4:$I$2003,MATCH($B46,DATABASE!$Z$4:$Z$2003,0))&amp;"","")</f>
        <v/>
      </c>
    </row>
    <row r="47" customFormat="false" ht="15" hidden="false" customHeight="false" outlineLevel="0" collapsed="false">
      <c r="B47" s="46" t="n">
        <v>35</v>
      </c>
      <c r="C47" s="47" t="str">
        <f aca="false">IFERROR(INDEX(DATABASE!$B$4:$B$2003,MATCH($B47,DATABASE!$Z$4:$Z$2003,0))&amp;"","")</f>
        <v>YUSRON EFENDI</v>
      </c>
      <c r="D47" s="48" t="str">
        <f aca="false">IFERROR(INDEX(DATABASE!$C$4:$C$2003,MATCH($B47,DATABASE!$Z$4:$Z$2003,0))&amp;"","")</f>
        <v/>
      </c>
      <c r="E47" s="46" t="str">
        <f aca="false">IFERROR(INDEX(DATABASE!$E$4:$E$2003,MATCH($B47,DATABASE!$Z$4:$Z$2003,0))&amp;"","")</f>
        <v/>
      </c>
      <c r="F47" s="46" t="str">
        <f aca="false">IFERROR(INDEX(DATABASE!$F$4:$F$2003,MATCH($B47,DATABASE!$Z$4:$Z$2003,0))&amp;"","")</f>
        <v>Kp. Kuda Kuda</v>
      </c>
      <c r="G47" s="48" t="str">
        <f aca="false">IFERROR(INDEX(DATABASE!$G$4:$G$2003,MATCH($B47,DATABASE!$Z$4:$Z$2003,0))&amp;"","")</f>
        <v>003</v>
      </c>
      <c r="H47" s="47" t="str">
        <f aca="false">IFERROR(INDEX(DATABASE!$N$4:$N$2003,MATCH($B47,DATABASE!$Z$4:$Z$2003,0))&amp;"","")</f>
        <v>Anggota</v>
      </c>
      <c r="I47" s="48" t="str">
        <f aca="false">IFERROR(INDEX(DATABASE!$O$4:$O$2003,MATCH($B47,DATABASE!$Z$4:$Z$2003,0))&amp;"","")</f>
        <v/>
      </c>
      <c r="J47" s="46" t="str">
        <f aca="false">IFERROR(INDEX(DATABASE!$T$4:$T$2003,MATCH($B47,DATABASE!$Z$4:$Z$2003,0))&amp;"","")</f>
        <v>Aktif</v>
      </c>
      <c r="K47" s="47" t="str">
        <f aca="false">IFERROR(INDEX(DATABASE!$I$4:$I$2003,MATCH($B47,DATABASE!$Z$4:$Z$2003,0))&amp;"","")</f>
        <v/>
      </c>
    </row>
    <row r="48" customFormat="false" ht="15" hidden="false" customHeight="false" outlineLevel="0" collapsed="false">
      <c r="B48" s="49" t="n">
        <v>36</v>
      </c>
      <c r="C48" s="50" t="str">
        <f aca="false">IFERROR(INDEX(DATABASE!$B$4:$B$2003,MATCH($B48,DATABASE!$Z$4:$Z$2003,0))&amp;"","")</f>
        <v>SLAMET</v>
      </c>
      <c r="D48" s="51" t="str">
        <f aca="false">IFERROR(INDEX(DATABASE!$C$4:$C$2003,MATCH($B48,DATABASE!$Z$4:$Z$2003,0))&amp;"","")</f>
        <v/>
      </c>
      <c r="E48" s="49" t="str">
        <f aca="false">IFERROR(INDEX(DATABASE!$E$4:$E$2003,MATCH($B48,DATABASE!$Z$4:$Z$2003,0))&amp;"","")</f>
        <v/>
      </c>
      <c r="F48" s="49" t="str">
        <f aca="false">IFERROR(INDEX(DATABASE!$F$4:$F$2003,MATCH($B48,DATABASE!$Z$4:$Z$2003,0))&amp;"","")</f>
        <v/>
      </c>
      <c r="G48" s="51" t="str">
        <f aca="false">IFERROR(INDEX(DATABASE!$G$4:$G$2003,MATCH($B48,DATABASE!$Z$4:$Z$2003,0))&amp;"","")</f>
        <v>005</v>
      </c>
      <c r="H48" s="50" t="str">
        <f aca="false">IFERROR(INDEX(DATABASE!$N$4:$N$2003,MATCH($B48,DATABASE!$Z$4:$Z$2003,0))&amp;"","")</f>
        <v>Anggota</v>
      </c>
      <c r="I48" s="51" t="str">
        <f aca="false">IFERROR(INDEX(DATABASE!$O$4:$O$2003,MATCH($B48,DATABASE!$Z$4:$Z$2003,0))&amp;"","")</f>
        <v/>
      </c>
      <c r="J48" s="49" t="str">
        <f aca="false">IFERROR(INDEX(DATABASE!$T$4:$T$2003,MATCH($B48,DATABASE!$Z$4:$Z$2003,0))&amp;"","")</f>
        <v>Aktif</v>
      </c>
      <c r="K48" s="50" t="str">
        <f aca="false">IFERROR(INDEX(DATABASE!$I$4:$I$2003,MATCH($B48,DATABASE!$Z$4:$Z$2003,0))&amp;"","")</f>
        <v/>
      </c>
    </row>
    <row r="49" customFormat="false" ht="15" hidden="false" customHeight="false" outlineLevel="0" collapsed="false">
      <c r="B49" s="46" t="n">
        <v>37</v>
      </c>
      <c r="C49" s="47" t="str">
        <f aca="false">IFERROR(INDEX(DATABASE!$B$4:$B$2003,MATCH($B49,DATABASE!$Z$4:$Z$2003,0))&amp;"","")</f>
        <v>MUMUN MULYASAROH</v>
      </c>
      <c r="D49" s="48" t="str">
        <f aca="false">IFERROR(INDEX(DATABASE!$C$4:$C$2003,MATCH($B49,DATABASE!$Z$4:$Z$2003,0))&amp;"","")</f>
        <v/>
      </c>
      <c r="E49" s="46" t="str">
        <f aca="false">IFERROR(INDEX(DATABASE!$E$4:$E$2003,MATCH($B49,DATABASE!$Z$4:$Z$2003,0))&amp;"","")</f>
        <v/>
      </c>
      <c r="F49" s="46" t="str">
        <f aca="false">IFERROR(INDEX(DATABASE!$F$4:$F$2003,MATCH($B49,DATABASE!$Z$4:$Z$2003,0))&amp;"","")</f>
        <v/>
      </c>
      <c r="G49" s="48" t="str">
        <f aca="false">IFERROR(INDEX(DATABASE!$G$4:$G$2003,MATCH($B49,DATABASE!$Z$4:$Z$2003,0))&amp;"","")</f>
        <v>004</v>
      </c>
      <c r="H49" s="47" t="str">
        <f aca="false">IFERROR(INDEX(DATABASE!$N$4:$N$2003,MATCH($B49,DATABASE!$Z$4:$Z$2003,0))&amp;"","")</f>
        <v>Anggota</v>
      </c>
      <c r="I49" s="48" t="str">
        <f aca="false">IFERROR(INDEX(DATABASE!$O$4:$O$2003,MATCH($B49,DATABASE!$Z$4:$Z$2003,0))&amp;"","")</f>
        <v/>
      </c>
      <c r="J49" s="46" t="str">
        <f aca="false">IFERROR(INDEX(DATABASE!$T$4:$T$2003,MATCH($B49,DATABASE!$Z$4:$Z$2003,0))&amp;"","")</f>
        <v>Aktif</v>
      </c>
      <c r="K49" s="47" t="str">
        <f aca="false">IFERROR(INDEX(DATABASE!$I$4:$I$2003,MATCH($B49,DATABASE!$Z$4:$Z$2003,0))&amp;"","")</f>
        <v/>
      </c>
    </row>
    <row r="50" customFormat="false" ht="15" hidden="false" customHeight="false" outlineLevel="0" collapsed="false">
      <c r="B50" s="49" t="n">
        <v>38</v>
      </c>
      <c r="C50" s="50" t="str">
        <f aca="false">IFERROR(INDEX(DATABASE!$B$4:$B$2003,MATCH($B50,DATABASE!$Z$4:$Z$2003,0))&amp;"","")</f>
        <v>SUFI NURFAZRI (JAPUT)</v>
      </c>
      <c r="D50" s="51" t="str">
        <f aca="false">IFERROR(INDEX(DATABASE!$C$4:$C$2003,MATCH($B50,DATABASE!$Z$4:$Z$2003,0))&amp;"","")</f>
        <v/>
      </c>
      <c r="E50" s="49" t="str">
        <f aca="false">IFERROR(INDEX(DATABASE!$E$4:$E$2003,MATCH($B50,DATABASE!$Z$4:$Z$2003,0))&amp;"","")</f>
        <v/>
      </c>
      <c r="F50" s="49" t="str">
        <f aca="false">IFERROR(INDEX(DATABASE!$F$4:$F$2003,MATCH($B50,DATABASE!$Z$4:$Z$2003,0))&amp;"","")</f>
        <v/>
      </c>
      <c r="G50" s="51" t="str">
        <f aca="false">IFERROR(INDEX(DATABASE!$G$4:$G$2003,MATCH($B50,DATABASE!$Z$4:$Z$2003,0))&amp;"","")</f>
        <v/>
      </c>
      <c r="H50" s="50" t="str">
        <f aca="false">IFERROR(INDEX(DATABASE!$N$4:$N$2003,MATCH($B50,DATABASE!$Z$4:$Z$2003,0))&amp;"","")</f>
        <v>Anggota</v>
      </c>
      <c r="I50" s="51" t="str">
        <f aca="false">IFERROR(INDEX(DATABASE!$O$4:$O$2003,MATCH($B50,DATABASE!$Z$4:$Z$2003,0))&amp;"","")</f>
        <v/>
      </c>
      <c r="J50" s="49" t="str">
        <f aca="false">IFERROR(INDEX(DATABASE!$T$4:$T$2003,MATCH($B50,DATABASE!$Z$4:$Z$2003,0))&amp;"","")</f>
        <v>Aktif</v>
      </c>
      <c r="K50" s="50" t="str">
        <f aca="false">IFERROR(INDEX(DATABASE!$I$4:$I$2003,MATCH($B50,DATABASE!$Z$4:$Z$2003,0))&amp;"","")</f>
        <v/>
      </c>
    </row>
    <row r="51" customFormat="false" ht="15" hidden="false" customHeight="false" outlineLevel="0" collapsed="false">
      <c r="B51" s="46" t="n">
        <v>39</v>
      </c>
      <c r="C51" s="47" t="str">
        <f aca="false">IFERROR(INDEX(DATABASE!$B$4:$B$2003,MATCH($B51,DATABASE!$Z$4:$Z$2003,0))&amp;"","")</f>
        <v>DEDE PARIDA</v>
      </c>
      <c r="D51" s="48" t="str">
        <f aca="false">IFERROR(INDEX(DATABASE!$C$4:$C$2003,MATCH($B51,DATABASE!$Z$4:$Z$2003,0))&amp;"","")</f>
        <v/>
      </c>
      <c r="E51" s="46" t="str">
        <f aca="false">IFERROR(INDEX(DATABASE!$E$4:$E$2003,MATCH($B51,DATABASE!$Z$4:$Z$2003,0))&amp;"","")</f>
        <v/>
      </c>
      <c r="F51" s="46" t="str">
        <f aca="false">IFERROR(INDEX(DATABASE!$F$4:$F$2003,MATCH($B51,DATABASE!$Z$4:$Z$2003,0))&amp;"","")</f>
        <v/>
      </c>
      <c r="G51" s="48" t="str">
        <f aca="false">IFERROR(INDEX(DATABASE!$G$4:$G$2003,MATCH($B51,DATABASE!$Z$4:$Z$2003,0))&amp;"","")</f>
        <v/>
      </c>
      <c r="H51" s="47" t="str">
        <f aca="false">IFERROR(INDEX(DATABASE!$N$4:$N$2003,MATCH($B51,DATABASE!$Z$4:$Z$2003,0))&amp;"","")</f>
        <v>Anggota</v>
      </c>
      <c r="I51" s="48" t="str">
        <f aca="false">IFERROR(INDEX(DATABASE!$O$4:$O$2003,MATCH($B51,DATABASE!$Z$4:$Z$2003,0))&amp;"","")</f>
        <v/>
      </c>
      <c r="J51" s="46" t="str">
        <f aca="false">IFERROR(INDEX(DATABASE!$T$4:$T$2003,MATCH($B51,DATABASE!$Z$4:$Z$2003,0))&amp;"","")</f>
        <v>Aktif</v>
      </c>
      <c r="K51" s="47" t="str">
        <f aca="false">IFERROR(INDEX(DATABASE!$I$4:$I$2003,MATCH($B51,DATABASE!$Z$4:$Z$2003,0))&amp;"","")</f>
        <v/>
      </c>
    </row>
    <row r="52" customFormat="false" ht="15" hidden="false" customHeight="false" outlineLevel="0" collapsed="false">
      <c r="B52" s="49" t="n">
        <v>40</v>
      </c>
      <c r="C52" s="50" t="str">
        <f aca="false">IFERROR(INDEX(DATABASE!$B$4:$B$2003,MATCH($B52,DATABASE!$Z$4:$Z$2003,0))&amp;"","")</f>
        <v>HENDRA</v>
      </c>
      <c r="D52" s="51" t="str">
        <f aca="false">IFERROR(INDEX(DATABASE!$C$4:$C$2003,MATCH($B52,DATABASE!$Z$4:$Z$2003,0))&amp;"","")</f>
        <v/>
      </c>
      <c r="E52" s="49" t="str">
        <f aca="false">IFERROR(INDEX(DATABASE!$E$4:$E$2003,MATCH($B52,DATABASE!$Z$4:$Z$2003,0))&amp;"","")</f>
        <v/>
      </c>
      <c r="F52" s="49" t="str">
        <f aca="false">IFERROR(INDEX(DATABASE!$F$4:$F$2003,MATCH($B52,DATABASE!$Z$4:$Z$2003,0))&amp;"","")</f>
        <v>Kp. Gamprit</v>
      </c>
      <c r="G52" s="51" t="str">
        <f aca="false">IFERROR(INDEX(DATABASE!$G$4:$G$2003,MATCH($B52,DATABASE!$Z$4:$Z$2003,0))&amp;"","")</f>
        <v>004</v>
      </c>
      <c r="H52" s="50" t="str">
        <f aca="false">IFERROR(INDEX(DATABASE!$N$4:$N$2003,MATCH($B52,DATABASE!$Z$4:$Z$2003,0))&amp;"","")</f>
        <v>Anggota</v>
      </c>
      <c r="I52" s="51" t="str">
        <f aca="false">IFERROR(INDEX(DATABASE!$O$4:$O$2003,MATCH($B52,DATABASE!$Z$4:$Z$2003,0))&amp;"","")</f>
        <v/>
      </c>
      <c r="J52" s="49" t="str">
        <f aca="false">IFERROR(INDEX(DATABASE!$T$4:$T$2003,MATCH($B52,DATABASE!$Z$4:$Z$2003,0))&amp;"","")</f>
        <v>Aktif</v>
      </c>
      <c r="K52" s="50" t="str">
        <f aca="false">IFERROR(INDEX(DATABASE!$I$4:$I$2003,MATCH($B52,DATABASE!$Z$4:$Z$2003,0))&amp;"","")</f>
        <v/>
      </c>
    </row>
    <row r="53" customFormat="false" ht="15" hidden="false" customHeight="false" outlineLevel="0" collapsed="false">
      <c r="B53" s="46" t="n">
        <v>41</v>
      </c>
      <c r="C53" s="47" t="str">
        <f aca="false">IFERROR(INDEX(DATABASE!$B$4:$B$2003,MATCH($B53,DATABASE!$Z$4:$Z$2003,0))&amp;"","")</f>
        <v>NENDA (KHENZON)</v>
      </c>
      <c r="D53" s="48" t="str">
        <f aca="false">IFERROR(INDEX(DATABASE!$C$4:$C$2003,MATCH($B53,DATABASE!$Z$4:$Z$2003,0))&amp;"","")</f>
        <v/>
      </c>
      <c r="E53" s="46" t="str">
        <f aca="false">IFERROR(INDEX(DATABASE!$E$4:$E$2003,MATCH($B53,DATABASE!$Z$4:$Z$2003,0))&amp;"","")</f>
        <v/>
      </c>
      <c r="F53" s="46" t="str">
        <f aca="false">IFERROR(INDEX(DATABASE!$F$4:$F$2003,MATCH($B53,DATABASE!$Z$4:$Z$2003,0))&amp;"","")</f>
        <v>Kp. Wangkal</v>
      </c>
      <c r="G53" s="48" t="str">
        <f aca="false">IFERROR(INDEX(DATABASE!$G$4:$G$2003,MATCH($B53,DATABASE!$Z$4:$Z$2003,0))&amp;"","")</f>
        <v/>
      </c>
      <c r="H53" s="47" t="str">
        <f aca="false">IFERROR(INDEX(DATABASE!$N$4:$N$2003,MATCH($B53,DATABASE!$Z$4:$Z$2003,0))&amp;"","")</f>
        <v>Anggota</v>
      </c>
      <c r="I53" s="48" t="str">
        <f aca="false">IFERROR(INDEX(DATABASE!$O$4:$O$2003,MATCH($B53,DATABASE!$Z$4:$Z$2003,0))&amp;"","")</f>
        <v/>
      </c>
      <c r="J53" s="46" t="str">
        <f aca="false">IFERROR(INDEX(DATABASE!$T$4:$T$2003,MATCH($B53,DATABASE!$Z$4:$Z$2003,0))&amp;"","")</f>
        <v>Aktif</v>
      </c>
      <c r="K53" s="47" t="str">
        <f aca="false">IFERROR(INDEX(DATABASE!$I$4:$I$2003,MATCH($B53,DATABASE!$Z$4:$Z$2003,0))&amp;"","")</f>
        <v/>
      </c>
    </row>
    <row r="54" customFormat="false" ht="15" hidden="false" customHeight="false" outlineLevel="0" collapsed="false">
      <c r="B54" s="49" t="n">
        <v>42</v>
      </c>
      <c r="C54" s="50" t="str">
        <f aca="false">IFERROR(INDEX(DATABASE!$B$4:$B$2003,MATCH($B54,DATABASE!$Z$4:$Z$2003,0))&amp;"","")</f>
        <v>SAIH</v>
      </c>
      <c r="D54" s="51" t="str">
        <f aca="false">IFERROR(INDEX(DATABASE!$C$4:$C$2003,MATCH($B54,DATABASE!$Z$4:$Z$2003,0))&amp;"","")</f>
        <v/>
      </c>
      <c r="E54" s="49" t="str">
        <f aca="false">IFERROR(INDEX(DATABASE!$E$4:$E$2003,MATCH($B54,DATABASE!$Z$4:$Z$2003,0))&amp;"","")</f>
        <v/>
      </c>
      <c r="F54" s="49" t="str">
        <f aca="false">IFERROR(INDEX(DATABASE!$F$4:$F$2003,MATCH($B54,DATABASE!$Z$4:$Z$2003,0))&amp;"","")</f>
        <v>Kp. Wangkal</v>
      </c>
      <c r="G54" s="51" t="str">
        <f aca="false">IFERROR(INDEX(DATABASE!$G$4:$G$2003,MATCH($B54,DATABASE!$Z$4:$Z$2003,0))&amp;"","")</f>
        <v>005</v>
      </c>
      <c r="H54" s="50" t="str">
        <f aca="false">IFERROR(INDEX(DATABASE!$N$4:$N$2003,MATCH($B54,DATABASE!$Z$4:$Z$2003,0))&amp;"","")</f>
        <v>Anggota</v>
      </c>
      <c r="I54" s="51" t="str">
        <f aca="false">IFERROR(INDEX(DATABASE!$O$4:$O$2003,MATCH($B54,DATABASE!$Z$4:$Z$2003,0))&amp;"","")</f>
        <v/>
      </c>
      <c r="J54" s="49" t="str">
        <f aca="false">IFERROR(INDEX(DATABASE!$T$4:$T$2003,MATCH($B54,DATABASE!$Z$4:$Z$2003,0))&amp;"","")</f>
        <v>Aktif</v>
      </c>
      <c r="K54" s="50" t="str">
        <f aca="false">IFERROR(INDEX(DATABASE!$I$4:$I$2003,MATCH($B54,DATABASE!$Z$4:$Z$2003,0))&amp;"","")</f>
        <v/>
      </c>
    </row>
    <row r="55" customFormat="false" ht="15" hidden="false" customHeight="false" outlineLevel="0" collapsed="false">
      <c r="B55" s="46" t="n">
        <v>43</v>
      </c>
      <c r="C55" s="47" t="str">
        <f aca="false">IFERROR(INDEX(DATABASE!$B$4:$B$2003,MATCH($B55,DATABASE!$Z$4:$Z$2003,0))&amp;"","")</f>
        <v>JEBING</v>
      </c>
      <c r="D55" s="48" t="str">
        <f aca="false">IFERROR(INDEX(DATABASE!$C$4:$C$2003,MATCH($B55,DATABASE!$Z$4:$Z$2003,0))&amp;"","")</f>
        <v/>
      </c>
      <c r="E55" s="46" t="str">
        <f aca="false">IFERROR(INDEX(DATABASE!$E$4:$E$2003,MATCH($B55,DATABASE!$Z$4:$Z$2003,0))&amp;"","")</f>
        <v/>
      </c>
      <c r="F55" s="46" t="str">
        <f aca="false">IFERROR(INDEX(DATABASE!$F$4:$F$2003,MATCH($B55,DATABASE!$Z$4:$Z$2003,0))&amp;"","")</f>
        <v>Kp. Kuda Kuda</v>
      </c>
      <c r="G55" s="48" t="str">
        <f aca="false">IFERROR(INDEX(DATABASE!$G$4:$G$2003,MATCH($B55,DATABASE!$Z$4:$Z$2003,0))&amp;"","")</f>
        <v>003</v>
      </c>
      <c r="H55" s="47" t="str">
        <f aca="false">IFERROR(INDEX(DATABASE!$N$4:$N$2003,MATCH($B55,DATABASE!$Z$4:$Z$2003,0))&amp;"","")</f>
        <v>Anggota</v>
      </c>
      <c r="I55" s="48" t="str">
        <f aca="false">IFERROR(INDEX(DATABASE!$O$4:$O$2003,MATCH($B55,DATABASE!$Z$4:$Z$2003,0))&amp;"","")</f>
        <v/>
      </c>
      <c r="J55" s="46" t="str">
        <f aca="false">IFERROR(INDEX(DATABASE!$T$4:$T$2003,MATCH($B55,DATABASE!$Z$4:$Z$2003,0))&amp;"","")</f>
        <v>Aktif</v>
      </c>
      <c r="K55" s="47" t="str">
        <f aca="false">IFERROR(INDEX(DATABASE!$I$4:$I$2003,MATCH($B55,DATABASE!$Z$4:$Z$2003,0))&amp;"","")</f>
        <v/>
      </c>
    </row>
    <row r="56" customFormat="false" ht="15" hidden="false" customHeight="false" outlineLevel="0" collapsed="false">
      <c r="B56" s="49" t="n">
        <v>44</v>
      </c>
      <c r="C56" s="50" t="str">
        <f aca="false">IFERROR(INDEX(DATABASE!$B$4:$B$2003,MATCH($B56,DATABASE!$Z$4:$Z$2003,0))&amp;"","")</f>
        <v>IQWAL M.S</v>
      </c>
      <c r="D56" s="51" t="str">
        <f aca="false">IFERROR(INDEX(DATABASE!$C$4:$C$2003,MATCH($B56,DATABASE!$Z$4:$Z$2003,0))&amp;"","")</f>
        <v/>
      </c>
      <c r="E56" s="49" t="str">
        <f aca="false">IFERROR(INDEX(DATABASE!$E$4:$E$2003,MATCH($B56,DATABASE!$Z$4:$Z$2003,0))&amp;"","")</f>
        <v/>
      </c>
      <c r="F56" s="49" t="str">
        <f aca="false">IFERROR(INDEX(DATABASE!$F$4:$F$2003,MATCH($B56,DATABASE!$Z$4:$Z$2003,0))&amp;"","")</f>
        <v>Kp. Gamprit</v>
      </c>
      <c r="G56" s="51" t="str">
        <f aca="false">IFERROR(INDEX(DATABASE!$G$4:$G$2003,MATCH($B56,DATABASE!$Z$4:$Z$2003,0))&amp;"","")</f>
        <v>001</v>
      </c>
      <c r="H56" s="50" t="str">
        <f aca="false">IFERROR(INDEX(DATABASE!$N$4:$N$2003,MATCH($B56,DATABASE!$Z$4:$Z$2003,0))&amp;"","")</f>
        <v>Anggota</v>
      </c>
      <c r="I56" s="51" t="str">
        <f aca="false">IFERROR(INDEX(DATABASE!$O$4:$O$2003,MATCH($B56,DATABASE!$Z$4:$Z$2003,0))&amp;"","")</f>
        <v/>
      </c>
      <c r="J56" s="49" t="str">
        <f aca="false">IFERROR(INDEX(DATABASE!$T$4:$T$2003,MATCH($B56,DATABASE!$Z$4:$Z$2003,0))&amp;"","")</f>
        <v>Aktif</v>
      </c>
      <c r="K56" s="50" t="str">
        <f aca="false">IFERROR(INDEX(DATABASE!$I$4:$I$2003,MATCH($B56,DATABASE!$Z$4:$Z$2003,0))&amp;"","")</f>
        <v/>
      </c>
    </row>
    <row r="57" customFormat="false" ht="15" hidden="false" customHeight="false" outlineLevel="0" collapsed="false">
      <c r="B57" s="46" t="n">
        <v>45</v>
      </c>
      <c r="C57" s="47" t="str">
        <f aca="false">IFERROR(INDEX(DATABASE!$B$4:$B$2003,MATCH($B57,DATABASE!$Z$4:$Z$2003,0))&amp;"","")</f>
        <v>HERMAN</v>
      </c>
      <c r="D57" s="48" t="str">
        <f aca="false">IFERROR(INDEX(DATABASE!$C$4:$C$2003,MATCH($B57,DATABASE!$Z$4:$Z$2003,0))&amp;"","")</f>
        <v/>
      </c>
      <c r="E57" s="46" t="str">
        <f aca="false">IFERROR(INDEX(DATABASE!$E$4:$E$2003,MATCH($B57,DATABASE!$Z$4:$Z$2003,0))&amp;"","")</f>
        <v/>
      </c>
      <c r="F57" s="46" t="str">
        <f aca="false">IFERROR(INDEX(DATABASE!$F$4:$F$2003,MATCH($B57,DATABASE!$Z$4:$Z$2003,0))&amp;"","")</f>
        <v>Kp. Gamprit</v>
      </c>
      <c r="G57" s="48" t="str">
        <f aca="false">IFERROR(INDEX(DATABASE!$G$4:$G$2003,MATCH($B57,DATABASE!$Z$4:$Z$2003,0))&amp;"","")</f>
        <v/>
      </c>
      <c r="H57" s="47" t="str">
        <f aca="false">IFERROR(INDEX(DATABASE!$N$4:$N$2003,MATCH($B57,DATABASE!$Z$4:$Z$2003,0))&amp;"","")</f>
        <v>Anggota</v>
      </c>
      <c r="I57" s="48" t="str">
        <f aca="false">IFERROR(INDEX(DATABASE!$O$4:$O$2003,MATCH($B57,DATABASE!$Z$4:$Z$2003,0))&amp;"","")</f>
        <v/>
      </c>
      <c r="J57" s="46" t="str">
        <f aca="false">IFERROR(INDEX(DATABASE!$T$4:$T$2003,MATCH($B57,DATABASE!$Z$4:$Z$2003,0))&amp;"","")</f>
        <v>Aktif</v>
      </c>
      <c r="K57" s="47" t="str">
        <f aca="false">IFERROR(INDEX(DATABASE!$I$4:$I$2003,MATCH($B57,DATABASE!$Z$4:$Z$2003,0))&amp;"","")</f>
        <v/>
      </c>
    </row>
    <row r="58" customFormat="false" ht="15" hidden="false" customHeight="false" outlineLevel="0" collapsed="false">
      <c r="B58" s="49" t="n">
        <v>46</v>
      </c>
      <c r="C58" s="50" t="str">
        <f aca="false">IFERROR(INDEX(DATABASE!$B$4:$B$2003,MATCH($B58,DATABASE!$Z$4:$Z$2003,0))&amp;"","")</f>
        <v>WAWAN</v>
      </c>
      <c r="D58" s="51" t="str">
        <f aca="false">IFERROR(INDEX(DATABASE!$C$4:$C$2003,MATCH($B58,DATABASE!$Z$4:$Z$2003,0))&amp;"","")</f>
        <v/>
      </c>
      <c r="E58" s="49" t="str">
        <f aca="false">IFERROR(INDEX(DATABASE!$E$4:$E$2003,MATCH($B58,DATABASE!$Z$4:$Z$2003,0))&amp;"","")</f>
        <v/>
      </c>
      <c r="F58" s="49" t="str">
        <f aca="false">IFERROR(INDEX(DATABASE!$F$4:$F$2003,MATCH($B58,DATABASE!$Z$4:$Z$2003,0))&amp;"","")</f>
        <v>Kp. Gamprit</v>
      </c>
      <c r="G58" s="51" t="str">
        <f aca="false">IFERROR(INDEX(DATABASE!$G$4:$G$2003,MATCH($B58,DATABASE!$Z$4:$Z$2003,0))&amp;"","")</f>
        <v>004</v>
      </c>
      <c r="H58" s="50" t="str">
        <f aca="false">IFERROR(INDEX(DATABASE!$N$4:$N$2003,MATCH($B58,DATABASE!$Z$4:$Z$2003,0))&amp;"","")</f>
        <v>Anggota</v>
      </c>
      <c r="I58" s="51" t="str">
        <f aca="false">IFERROR(INDEX(DATABASE!$O$4:$O$2003,MATCH($B58,DATABASE!$Z$4:$Z$2003,0))&amp;"","")</f>
        <v/>
      </c>
      <c r="J58" s="49" t="str">
        <f aca="false">IFERROR(INDEX(DATABASE!$T$4:$T$2003,MATCH($B58,DATABASE!$Z$4:$Z$2003,0))&amp;"","")</f>
        <v>Aktif</v>
      </c>
      <c r="K58" s="50" t="str">
        <f aca="false">IFERROR(INDEX(DATABASE!$I$4:$I$2003,MATCH($B58,DATABASE!$Z$4:$Z$2003,0))&amp;"","")</f>
        <v/>
      </c>
    </row>
    <row r="59" customFormat="false" ht="15" hidden="false" customHeight="false" outlineLevel="0" collapsed="false">
      <c r="B59" s="46" t="n">
        <v>47</v>
      </c>
      <c r="C59" s="47" t="str">
        <f aca="false">IFERROR(INDEX(DATABASE!$B$4:$B$2003,MATCH($B59,DATABASE!$Z$4:$Z$2003,0))&amp;"","")</f>
        <v>DETA NALA SRI M</v>
      </c>
      <c r="D59" s="48" t="str">
        <f aca="false">IFERROR(INDEX(DATABASE!$C$4:$C$2003,MATCH($B59,DATABASE!$Z$4:$Z$2003,0))&amp;"","")</f>
        <v/>
      </c>
      <c r="E59" s="46" t="str">
        <f aca="false">IFERROR(INDEX(DATABASE!$E$4:$E$2003,MATCH($B59,DATABASE!$Z$4:$Z$2003,0))&amp;"","")</f>
        <v/>
      </c>
      <c r="F59" s="46" t="str">
        <f aca="false">IFERROR(INDEX(DATABASE!$F$4:$F$2003,MATCH($B59,DATABASE!$Z$4:$Z$2003,0))&amp;"","")</f>
        <v>Kp. Kuda Kuda</v>
      </c>
      <c r="G59" s="48" t="str">
        <f aca="false">IFERROR(INDEX(DATABASE!$G$4:$G$2003,MATCH($B59,DATABASE!$Z$4:$Z$2003,0))&amp;"","")</f>
        <v>004</v>
      </c>
      <c r="H59" s="47" t="str">
        <f aca="false">IFERROR(INDEX(DATABASE!$N$4:$N$2003,MATCH($B59,DATABASE!$Z$4:$Z$2003,0))&amp;"","")</f>
        <v>Anggota</v>
      </c>
      <c r="I59" s="48" t="str">
        <f aca="false">IFERROR(INDEX(DATABASE!$O$4:$O$2003,MATCH($B59,DATABASE!$Z$4:$Z$2003,0))&amp;"","")</f>
        <v/>
      </c>
      <c r="J59" s="46" t="str">
        <f aca="false">IFERROR(INDEX(DATABASE!$T$4:$T$2003,MATCH($B59,DATABASE!$Z$4:$Z$2003,0))&amp;"","")</f>
        <v>Aktif</v>
      </c>
      <c r="K59" s="47" t="str">
        <f aca="false">IFERROR(INDEX(DATABASE!$I$4:$I$2003,MATCH($B59,DATABASE!$Z$4:$Z$2003,0))&amp;"","")</f>
        <v/>
      </c>
    </row>
    <row r="60" customFormat="false" ht="15" hidden="false" customHeight="false" outlineLevel="0" collapsed="false">
      <c r="B60" s="49" t="n">
        <v>48</v>
      </c>
      <c r="C60" s="50" t="str">
        <f aca="false">IFERROR(INDEX(DATABASE!$B$4:$B$2003,MATCH($B60,DATABASE!$Z$4:$Z$2003,0))&amp;"","")</f>
        <v>OPIC (ROPIK)</v>
      </c>
      <c r="D60" s="51" t="str">
        <f aca="false">IFERROR(INDEX(DATABASE!$C$4:$C$2003,MATCH($B60,DATABASE!$Z$4:$Z$2003,0))&amp;"","")</f>
        <v/>
      </c>
      <c r="E60" s="49" t="str">
        <f aca="false">IFERROR(INDEX(DATABASE!$E$4:$E$2003,MATCH($B60,DATABASE!$Z$4:$Z$2003,0))&amp;"","")</f>
        <v/>
      </c>
      <c r="F60" s="49" t="str">
        <f aca="false">IFERROR(INDEX(DATABASE!$F$4:$F$2003,MATCH($B60,DATABASE!$Z$4:$Z$2003,0))&amp;"","")</f>
        <v>Kp. Gamprit</v>
      </c>
      <c r="G60" s="51" t="str">
        <f aca="false">IFERROR(INDEX(DATABASE!$G$4:$G$2003,MATCH($B60,DATABASE!$Z$4:$Z$2003,0))&amp;"","")</f>
        <v>001</v>
      </c>
      <c r="H60" s="50" t="str">
        <f aca="false">IFERROR(INDEX(DATABASE!$N$4:$N$2003,MATCH($B60,DATABASE!$Z$4:$Z$2003,0))&amp;"","")</f>
        <v>Ketua RT</v>
      </c>
      <c r="I60" s="51" t="str">
        <f aca="false">IFERROR(INDEX(DATABASE!$O$4:$O$2003,MATCH($B60,DATABASE!$Z$4:$Z$2003,0))&amp;"","")</f>
        <v/>
      </c>
      <c r="J60" s="49" t="str">
        <f aca="false">IFERROR(INDEX(DATABASE!$T$4:$T$2003,MATCH($B60,DATABASE!$Z$4:$Z$2003,0))&amp;"","")</f>
        <v>Aktif</v>
      </c>
      <c r="K60" s="50" t="str">
        <f aca="false">IFERROR(INDEX(DATABASE!$I$4:$I$2003,MATCH($B60,DATABASE!$Z$4:$Z$2003,0))&amp;"","")</f>
        <v/>
      </c>
    </row>
    <row r="61" customFormat="false" ht="15" hidden="false" customHeight="false" outlineLevel="0" collapsed="false">
      <c r="B61" s="46" t="n">
        <v>49</v>
      </c>
      <c r="C61" s="47" t="str">
        <f aca="false">IFERROR(INDEX(DATABASE!$B$4:$B$2003,MATCH($B61,DATABASE!$Z$4:$Z$2003,0))&amp;"","")</f>
        <v>KOMARUDIN</v>
      </c>
      <c r="D61" s="48" t="str">
        <f aca="false">IFERROR(INDEX(DATABASE!$C$4:$C$2003,MATCH($B61,DATABASE!$Z$4:$Z$2003,0))&amp;"","")</f>
        <v/>
      </c>
      <c r="E61" s="46" t="str">
        <f aca="false">IFERROR(INDEX(DATABASE!$E$4:$E$2003,MATCH($B61,DATABASE!$Z$4:$Z$2003,0))&amp;"","")</f>
        <v/>
      </c>
      <c r="F61" s="46" t="str">
        <f aca="false">IFERROR(INDEX(DATABASE!$F$4:$F$2003,MATCH($B61,DATABASE!$Z$4:$Z$2003,0))&amp;"","")</f>
        <v>Kp. Wangkal</v>
      </c>
      <c r="G61" s="48" t="str">
        <f aca="false">IFERROR(INDEX(DATABASE!$G$4:$G$2003,MATCH($B61,DATABASE!$Z$4:$Z$2003,0))&amp;"","")</f>
        <v/>
      </c>
      <c r="H61" s="47" t="str">
        <f aca="false">IFERROR(INDEX(DATABASE!$N$4:$N$2003,MATCH($B61,DATABASE!$Z$4:$Z$2003,0))&amp;"","")</f>
        <v>Anggota</v>
      </c>
      <c r="I61" s="48" t="str">
        <f aca="false">IFERROR(INDEX(DATABASE!$O$4:$O$2003,MATCH($B61,DATABASE!$Z$4:$Z$2003,0))&amp;"","")</f>
        <v/>
      </c>
      <c r="J61" s="46" t="str">
        <f aca="false">IFERROR(INDEX(DATABASE!$T$4:$T$2003,MATCH($B61,DATABASE!$Z$4:$Z$2003,0))&amp;"","")</f>
        <v>Aktif</v>
      </c>
      <c r="K61" s="47" t="str">
        <f aca="false">IFERROR(INDEX(DATABASE!$I$4:$I$2003,MATCH($B61,DATABASE!$Z$4:$Z$2003,0))&amp;"","")</f>
        <v/>
      </c>
    </row>
    <row r="62" customFormat="false" ht="15" hidden="false" customHeight="false" outlineLevel="0" collapsed="false">
      <c r="B62" s="49" t="n">
        <v>50</v>
      </c>
      <c r="C62" s="50" t="str">
        <f aca="false">IFERROR(INDEX(DATABASE!$B$4:$B$2003,MATCH($B62,DATABASE!$Z$4:$Z$2003,0))&amp;"","")</f>
        <v>ROHADI (ADE)</v>
      </c>
      <c r="D62" s="51" t="str">
        <f aca="false">IFERROR(INDEX(DATABASE!$C$4:$C$2003,MATCH($B62,DATABASE!$Z$4:$Z$2003,0))&amp;"","")</f>
        <v/>
      </c>
      <c r="E62" s="49" t="str">
        <f aca="false">IFERROR(INDEX(DATABASE!$E$4:$E$2003,MATCH($B62,DATABASE!$Z$4:$Z$2003,0))&amp;"","")</f>
        <v/>
      </c>
      <c r="F62" s="49" t="str">
        <f aca="false">IFERROR(INDEX(DATABASE!$F$4:$F$2003,MATCH($B62,DATABASE!$Z$4:$Z$2003,0))&amp;"","")</f>
        <v>Kp. Gamprit</v>
      </c>
      <c r="G62" s="51" t="str">
        <f aca="false">IFERROR(INDEX(DATABASE!$G$4:$G$2003,MATCH($B62,DATABASE!$Z$4:$Z$2003,0))&amp;"","")</f>
        <v/>
      </c>
      <c r="H62" s="50" t="str">
        <f aca="false">IFERROR(INDEX(DATABASE!$N$4:$N$2003,MATCH($B62,DATABASE!$Z$4:$Z$2003,0))&amp;"","")</f>
        <v>Anggota</v>
      </c>
      <c r="I62" s="51" t="str">
        <f aca="false">IFERROR(INDEX(DATABASE!$O$4:$O$2003,MATCH($B62,DATABASE!$Z$4:$Z$2003,0))&amp;"","")</f>
        <v/>
      </c>
      <c r="J62" s="49" t="str">
        <f aca="false">IFERROR(INDEX(DATABASE!$T$4:$T$2003,MATCH($B62,DATABASE!$Z$4:$Z$2003,0))&amp;"","")</f>
        <v>Aktif</v>
      </c>
      <c r="K62" s="50" t="str">
        <f aca="false">IFERROR(INDEX(DATABASE!$I$4:$I$2003,MATCH($B62,DATABASE!$Z$4:$Z$2003,0))&amp;"","")</f>
        <v/>
      </c>
    </row>
    <row r="63" customFormat="false" ht="15" hidden="false" customHeight="false" outlineLevel="0" collapsed="false">
      <c r="B63" s="46" t="n">
        <v>51</v>
      </c>
      <c r="C63" s="47" t="str">
        <f aca="false">IFERROR(INDEX(DATABASE!$B$4:$B$2003,MATCH($B63,DATABASE!$Z$4:$Z$2003,0))&amp;"","")</f>
        <v>ADE PRABOWO</v>
      </c>
      <c r="D63" s="48" t="str">
        <f aca="false">IFERROR(INDEX(DATABASE!$C$4:$C$2003,MATCH($B63,DATABASE!$Z$4:$Z$2003,0))&amp;"","")</f>
        <v/>
      </c>
      <c r="E63" s="46" t="str">
        <f aca="false">IFERROR(INDEX(DATABASE!$E$4:$E$2003,MATCH($B63,DATABASE!$Z$4:$Z$2003,0))&amp;"","")</f>
        <v/>
      </c>
      <c r="F63" s="46" t="str">
        <f aca="false">IFERROR(INDEX(DATABASE!$F$4:$F$2003,MATCH($B63,DATABASE!$Z$4:$Z$2003,0))&amp;"","")</f>
        <v>Kp. Gamprit</v>
      </c>
      <c r="G63" s="48" t="str">
        <f aca="false">IFERROR(INDEX(DATABASE!$G$4:$G$2003,MATCH($B63,DATABASE!$Z$4:$Z$2003,0))&amp;"","")</f>
        <v>003</v>
      </c>
      <c r="H63" s="47" t="str">
        <f aca="false">IFERROR(INDEX(DATABASE!$N$4:$N$2003,MATCH($B63,DATABASE!$Z$4:$Z$2003,0))&amp;"","")</f>
        <v>Anggota</v>
      </c>
      <c r="I63" s="48" t="str">
        <f aca="false">IFERROR(INDEX(DATABASE!$O$4:$O$2003,MATCH($B63,DATABASE!$Z$4:$Z$2003,0))&amp;"","")</f>
        <v/>
      </c>
      <c r="J63" s="46" t="str">
        <f aca="false">IFERROR(INDEX(DATABASE!$T$4:$T$2003,MATCH($B63,DATABASE!$Z$4:$Z$2003,0))&amp;"","")</f>
        <v>Aktif</v>
      </c>
      <c r="K63" s="47" t="str">
        <f aca="false">IFERROR(INDEX(DATABASE!$I$4:$I$2003,MATCH($B63,DATABASE!$Z$4:$Z$2003,0))&amp;"","")</f>
        <v/>
      </c>
    </row>
    <row r="64" customFormat="false" ht="15" hidden="false" customHeight="false" outlineLevel="0" collapsed="false">
      <c r="B64" s="49" t="n">
        <v>52</v>
      </c>
      <c r="C64" s="50" t="str">
        <f aca="false">IFERROR(INDEX(DATABASE!$B$4:$B$2003,MATCH($B64,DATABASE!$Z$4:$Z$2003,0))&amp;"","")</f>
        <v>ALI NURDIN</v>
      </c>
      <c r="D64" s="51" t="str">
        <f aca="false">IFERROR(INDEX(DATABASE!$C$4:$C$2003,MATCH($B64,DATABASE!$Z$4:$Z$2003,0))&amp;"","")</f>
        <v/>
      </c>
      <c r="E64" s="49" t="str">
        <f aca="false">IFERROR(INDEX(DATABASE!$E$4:$E$2003,MATCH($B64,DATABASE!$Z$4:$Z$2003,0))&amp;"","")</f>
        <v/>
      </c>
      <c r="F64" s="49" t="str">
        <f aca="false">IFERROR(INDEX(DATABASE!$F$4:$F$2003,MATCH($B64,DATABASE!$Z$4:$Z$2003,0))&amp;"","")</f>
        <v>Kp. Gamprit</v>
      </c>
      <c r="G64" s="51" t="str">
        <f aca="false">IFERROR(INDEX(DATABASE!$G$4:$G$2003,MATCH($B64,DATABASE!$Z$4:$Z$2003,0))&amp;"","")</f>
        <v>003</v>
      </c>
      <c r="H64" s="50" t="str">
        <f aca="false">IFERROR(INDEX(DATABASE!$N$4:$N$2003,MATCH($B64,DATABASE!$Z$4:$Z$2003,0))&amp;"","")</f>
        <v>Anggota</v>
      </c>
      <c r="I64" s="51" t="str">
        <f aca="false">IFERROR(INDEX(DATABASE!$O$4:$O$2003,MATCH($B64,DATABASE!$Z$4:$Z$2003,0))&amp;"","")</f>
        <v/>
      </c>
      <c r="J64" s="49" t="str">
        <f aca="false">IFERROR(INDEX(DATABASE!$T$4:$T$2003,MATCH($B64,DATABASE!$Z$4:$Z$2003,0))&amp;"","")</f>
        <v>Aktif</v>
      </c>
      <c r="K64" s="50" t="str">
        <f aca="false">IFERROR(INDEX(DATABASE!$I$4:$I$2003,MATCH($B64,DATABASE!$Z$4:$Z$2003,0))&amp;"","")</f>
        <v/>
      </c>
    </row>
    <row r="65" customFormat="false" ht="15" hidden="false" customHeight="false" outlineLevel="0" collapsed="false">
      <c r="B65" s="46" t="n">
        <v>53</v>
      </c>
      <c r="C65" s="47" t="str">
        <f aca="false">IFERROR(INDEX(DATABASE!$B$4:$B$2003,MATCH($B65,DATABASE!$Z$4:$Z$2003,0))&amp;"","")</f>
        <v/>
      </c>
      <c r="D65" s="48" t="str">
        <f aca="false">IFERROR(INDEX(DATABASE!$C$4:$C$2003,MATCH($B65,DATABASE!$Z$4:$Z$2003,0))&amp;"","")</f>
        <v/>
      </c>
      <c r="E65" s="46" t="str">
        <f aca="false">IFERROR(INDEX(DATABASE!$E$4:$E$2003,MATCH($B65,DATABASE!$Z$4:$Z$2003,0))&amp;"","")</f>
        <v/>
      </c>
      <c r="F65" s="46" t="str">
        <f aca="false">IFERROR(INDEX(DATABASE!$F$4:$F$2003,MATCH($B65,DATABASE!$Z$4:$Z$2003,0))&amp;"","")</f>
        <v/>
      </c>
      <c r="G65" s="48" t="str">
        <f aca="false">IFERROR(INDEX(DATABASE!$G$4:$G$2003,MATCH($B65,DATABASE!$Z$4:$Z$2003,0))&amp;"","")</f>
        <v/>
      </c>
      <c r="H65" s="47" t="str">
        <f aca="false">IFERROR(INDEX(DATABASE!$N$4:$N$2003,MATCH($B65,DATABASE!$Z$4:$Z$2003,0))&amp;"","")</f>
        <v/>
      </c>
      <c r="I65" s="48" t="str">
        <f aca="false">IFERROR(INDEX(DATABASE!$O$4:$O$2003,MATCH($B65,DATABASE!$Z$4:$Z$2003,0))&amp;"","")</f>
        <v/>
      </c>
      <c r="J65" s="46" t="str">
        <f aca="false">IFERROR(INDEX(DATABASE!$T$4:$T$2003,MATCH($B65,DATABASE!$Z$4:$Z$2003,0))&amp;"","")</f>
        <v/>
      </c>
      <c r="K65" s="47" t="str">
        <f aca="false">IFERROR(INDEX(DATABASE!$I$4:$I$2003,MATCH($B65,DATABASE!$Z$4:$Z$2003,0))&amp;"","")</f>
        <v/>
      </c>
    </row>
    <row r="66" customFormat="false" ht="15" hidden="false" customHeight="false" outlineLevel="0" collapsed="false">
      <c r="B66" s="49" t="n">
        <v>54</v>
      </c>
      <c r="C66" s="50" t="str">
        <f aca="false">IFERROR(INDEX(DATABASE!$B$4:$B$2003,MATCH($B66,DATABASE!$Z$4:$Z$2003,0))&amp;"","")</f>
        <v/>
      </c>
      <c r="D66" s="51" t="str">
        <f aca="false">IFERROR(INDEX(DATABASE!$C$4:$C$2003,MATCH($B66,DATABASE!$Z$4:$Z$2003,0))&amp;"","")</f>
        <v/>
      </c>
      <c r="E66" s="49" t="str">
        <f aca="false">IFERROR(INDEX(DATABASE!$E$4:$E$2003,MATCH($B66,DATABASE!$Z$4:$Z$2003,0))&amp;"","")</f>
        <v/>
      </c>
      <c r="F66" s="49" t="str">
        <f aca="false">IFERROR(INDEX(DATABASE!$F$4:$F$2003,MATCH($B66,DATABASE!$Z$4:$Z$2003,0))&amp;"","")</f>
        <v/>
      </c>
      <c r="G66" s="51" t="str">
        <f aca="false">IFERROR(INDEX(DATABASE!$G$4:$G$2003,MATCH($B66,DATABASE!$Z$4:$Z$2003,0))&amp;"","")</f>
        <v/>
      </c>
      <c r="H66" s="50" t="str">
        <f aca="false">IFERROR(INDEX(DATABASE!$N$4:$N$2003,MATCH($B66,DATABASE!$Z$4:$Z$2003,0))&amp;"","")</f>
        <v/>
      </c>
      <c r="I66" s="51" t="str">
        <f aca="false">IFERROR(INDEX(DATABASE!$O$4:$O$2003,MATCH($B66,DATABASE!$Z$4:$Z$2003,0))&amp;"","")</f>
        <v/>
      </c>
      <c r="J66" s="49" t="str">
        <f aca="false">IFERROR(INDEX(DATABASE!$T$4:$T$2003,MATCH($B66,DATABASE!$Z$4:$Z$2003,0))&amp;"","")</f>
        <v/>
      </c>
      <c r="K66" s="50" t="str">
        <f aca="false">IFERROR(INDEX(DATABASE!$I$4:$I$2003,MATCH($B66,DATABASE!$Z$4:$Z$2003,0))&amp;"","")</f>
        <v/>
      </c>
    </row>
    <row r="67" customFormat="false" ht="15" hidden="false" customHeight="false" outlineLevel="0" collapsed="false">
      <c r="B67" s="46" t="n">
        <v>55</v>
      </c>
      <c r="C67" s="47" t="str">
        <f aca="false">IFERROR(INDEX(DATABASE!$B$4:$B$2003,MATCH($B67,DATABASE!$Z$4:$Z$2003,0))&amp;"","")</f>
        <v/>
      </c>
      <c r="D67" s="48" t="str">
        <f aca="false">IFERROR(INDEX(DATABASE!$C$4:$C$2003,MATCH($B67,DATABASE!$Z$4:$Z$2003,0))&amp;"","")</f>
        <v/>
      </c>
      <c r="E67" s="46" t="str">
        <f aca="false">IFERROR(INDEX(DATABASE!$E$4:$E$2003,MATCH($B67,DATABASE!$Z$4:$Z$2003,0))&amp;"","")</f>
        <v/>
      </c>
      <c r="F67" s="46" t="str">
        <f aca="false">IFERROR(INDEX(DATABASE!$F$4:$F$2003,MATCH($B67,DATABASE!$Z$4:$Z$2003,0))&amp;"","")</f>
        <v/>
      </c>
      <c r="G67" s="48" t="str">
        <f aca="false">IFERROR(INDEX(DATABASE!$G$4:$G$2003,MATCH($B67,DATABASE!$Z$4:$Z$2003,0))&amp;"","")</f>
        <v/>
      </c>
      <c r="H67" s="47" t="str">
        <f aca="false">IFERROR(INDEX(DATABASE!$N$4:$N$2003,MATCH($B67,DATABASE!$Z$4:$Z$2003,0))&amp;"","")</f>
        <v/>
      </c>
      <c r="I67" s="48" t="str">
        <f aca="false">IFERROR(INDEX(DATABASE!$O$4:$O$2003,MATCH($B67,DATABASE!$Z$4:$Z$2003,0))&amp;"","")</f>
        <v/>
      </c>
      <c r="J67" s="46" t="str">
        <f aca="false">IFERROR(INDEX(DATABASE!$T$4:$T$2003,MATCH($B67,DATABASE!$Z$4:$Z$2003,0))&amp;"","")</f>
        <v/>
      </c>
      <c r="K67" s="47" t="str">
        <f aca="false">IFERROR(INDEX(DATABASE!$I$4:$I$2003,MATCH($B67,DATABASE!$Z$4:$Z$2003,0))&amp;"","")</f>
        <v/>
      </c>
    </row>
    <row r="68" customFormat="false" ht="15" hidden="false" customHeight="false" outlineLevel="0" collapsed="false">
      <c r="B68" s="49" t="n">
        <v>56</v>
      </c>
      <c r="C68" s="50" t="str">
        <f aca="false">IFERROR(INDEX(DATABASE!$B$4:$B$2003,MATCH($B68,DATABASE!$Z$4:$Z$2003,0))&amp;"","")</f>
        <v/>
      </c>
      <c r="D68" s="51" t="str">
        <f aca="false">IFERROR(INDEX(DATABASE!$C$4:$C$2003,MATCH($B68,DATABASE!$Z$4:$Z$2003,0))&amp;"","")</f>
        <v/>
      </c>
      <c r="E68" s="49" t="str">
        <f aca="false">IFERROR(INDEX(DATABASE!$E$4:$E$2003,MATCH($B68,DATABASE!$Z$4:$Z$2003,0))&amp;"","")</f>
        <v/>
      </c>
      <c r="F68" s="49" t="str">
        <f aca="false">IFERROR(INDEX(DATABASE!$F$4:$F$2003,MATCH($B68,DATABASE!$Z$4:$Z$2003,0))&amp;"","")</f>
        <v/>
      </c>
      <c r="G68" s="51" t="str">
        <f aca="false">IFERROR(INDEX(DATABASE!$G$4:$G$2003,MATCH($B68,DATABASE!$Z$4:$Z$2003,0))&amp;"","")</f>
        <v/>
      </c>
      <c r="H68" s="50" t="str">
        <f aca="false">IFERROR(INDEX(DATABASE!$N$4:$N$2003,MATCH($B68,DATABASE!$Z$4:$Z$2003,0))&amp;"","")</f>
        <v/>
      </c>
      <c r="I68" s="51" t="str">
        <f aca="false">IFERROR(INDEX(DATABASE!$O$4:$O$2003,MATCH($B68,DATABASE!$Z$4:$Z$2003,0))&amp;"","")</f>
        <v/>
      </c>
      <c r="J68" s="49" t="str">
        <f aca="false">IFERROR(INDEX(DATABASE!$T$4:$T$2003,MATCH($B68,DATABASE!$Z$4:$Z$2003,0))&amp;"","")</f>
        <v/>
      </c>
      <c r="K68" s="50" t="str">
        <f aca="false">IFERROR(INDEX(DATABASE!$I$4:$I$2003,MATCH($B68,DATABASE!$Z$4:$Z$2003,0))&amp;"","")</f>
        <v/>
      </c>
    </row>
    <row r="69" customFormat="false" ht="15" hidden="false" customHeight="false" outlineLevel="0" collapsed="false">
      <c r="B69" s="46" t="n">
        <v>57</v>
      </c>
      <c r="C69" s="47" t="str">
        <f aca="false">IFERROR(INDEX(DATABASE!$B$4:$B$2003,MATCH($B69,DATABASE!$Z$4:$Z$2003,0))&amp;"","")</f>
        <v/>
      </c>
      <c r="D69" s="48" t="str">
        <f aca="false">IFERROR(INDEX(DATABASE!$C$4:$C$2003,MATCH($B69,DATABASE!$Z$4:$Z$2003,0))&amp;"","")</f>
        <v/>
      </c>
      <c r="E69" s="46" t="str">
        <f aca="false">IFERROR(INDEX(DATABASE!$E$4:$E$2003,MATCH($B69,DATABASE!$Z$4:$Z$2003,0))&amp;"","")</f>
        <v/>
      </c>
      <c r="F69" s="46" t="str">
        <f aca="false">IFERROR(INDEX(DATABASE!$F$4:$F$2003,MATCH($B69,DATABASE!$Z$4:$Z$2003,0))&amp;"","")</f>
        <v/>
      </c>
      <c r="G69" s="48" t="str">
        <f aca="false">IFERROR(INDEX(DATABASE!$G$4:$G$2003,MATCH($B69,DATABASE!$Z$4:$Z$2003,0))&amp;"","")</f>
        <v/>
      </c>
      <c r="H69" s="47" t="str">
        <f aca="false">IFERROR(INDEX(DATABASE!$N$4:$N$2003,MATCH($B69,DATABASE!$Z$4:$Z$2003,0))&amp;"","")</f>
        <v/>
      </c>
      <c r="I69" s="48" t="str">
        <f aca="false">IFERROR(INDEX(DATABASE!$O$4:$O$2003,MATCH($B69,DATABASE!$Z$4:$Z$2003,0))&amp;"","")</f>
        <v/>
      </c>
      <c r="J69" s="46" t="str">
        <f aca="false">IFERROR(INDEX(DATABASE!$T$4:$T$2003,MATCH($B69,DATABASE!$Z$4:$Z$2003,0))&amp;"","")</f>
        <v/>
      </c>
      <c r="K69" s="47" t="str">
        <f aca="false">IFERROR(INDEX(DATABASE!$I$4:$I$2003,MATCH($B69,DATABASE!$Z$4:$Z$2003,0))&amp;"","")</f>
        <v/>
      </c>
    </row>
    <row r="70" customFormat="false" ht="15" hidden="false" customHeight="false" outlineLevel="0" collapsed="false">
      <c r="B70" s="49" t="n">
        <v>58</v>
      </c>
      <c r="C70" s="50" t="str">
        <f aca="false">IFERROR(INDEX(DATABASE!$B$4:$B$2003,MATCH($B70,DATABASE!$Z$4:$Z$2003,0))&amp;"","")</f>
        <v/>
      </c>
      <c r="D70" s="51" t="str">
        <f aca="false">IFERROR(INDEX(DATABASE!$C$4:$C$2003,MATCH($B70,DATABASE!$Z$4:$Z$2003,0))&amp;"","")</f>
        <v/>
      </c>
      <c r="E70" s="49" t="str">
        <f aca="false">IFERROR(INDEX(DATABASE!$E$4:$E$2003,MATCH($B70,DATABASE!$Z$4:$Z$2003,0))&amp;"","")</f>
        <v/>
      </c>
      <c r="F70" s="49" t="str">
        <f aca="false">IFERROR(INDEX(DATABASE!$F$4:$F$2003,MATCH($B70,DATABASE!$Z$4:$Z$2003,0))&amp;"","")</f>
        <v/>
      </c>
      <c r="G70" s="51" t="str">
        <f aca="false">IFERROR(INDEX(DATABASE!$G$4:$G$2003,MATCH($B70,DATABASE!$Z$4:$Z$2003,0))&amp;"","")</f>
        <v/>
      </c>
      <c r="H70" s="50" t="str">
        <f aca="false">IFERROR(INDEX(DATABASE!$N$4:$N$2003,MATCH($B70,DATABASE!$Z$4:$Z$2003,0))&amp;"","")</f>
        <v/>
      </c>
      <c r="I70" s="51" t="str">
        <f aca="false">IFERROR(INDEX(DATABASE!$O$4:$O$2003,MATCH($B70,DATABASE!$Z$4:$Z$2003,0))&amp;"","")</f>
        <v/>
      </c>
      <c r="J70" s="49" t="str">
        <f aca="false">IFERROR(INDEX(DATABASE!$T$4:$T$2003,MATCH($B70,DATABASE!$Z$4:$Z$2003,0))&amp;"","")</f>
        <v/>
      </c>
      <c r="K70" s="50" t="str">
        <f aca="false">IFERROR(INDEX(DATABASE!$I$4:$I$2003,MATCH($B70,DATABASE!$Z$4:$Z$2003,0))&amp;"","")</f>
        <v/>
      </c>
    </row>
    <row r="71" customFormat="false" ht="15" hidden="false" customHeight="false" outlineLevel="0" collapsed="false">
      <c r="B71" s="46" t="n">
        <v>59</v>
      </c>
      <c r="C71" s="47" t="str">
        <f aca="false">IFERROR(INDEX(DATABASE!$B$4:$B$2003,MATCH($B71,DATABASE!$Z$4:$Z$2003,0))&amp;"","")</f>
        <v/>
      </c>
      <c r="D71" s="48" t="str">
        <f aca="false">IFERROR(INDEX(DATABASE!$C$4:$C$2003,MATCH($B71,DATABASE!$Z$4:$Z$2003,0))&amp;"","")</f>
        <v/>
      </c>
      <c r="E71" s="46" t="str">
        <f aca="false">IFERROR(INDEX(DATABASE!$E$4:$E$2003,MATCH($B71,DATABASE!$Z$4:$Z$2003,0))&amp;"","")</f>
        <v/>
      </c>
      <c r="F71" s="46" t="str">
        <f aca="false">IFERROR(INDEX(DATABASE!$F$4:$F$2003,MATCH($B71,DATABASE!$Z$4:$Z$2003,0))&amp;"","")</f>
        <v/>
      </c>
      <c r="G71" s="48" t="str">
        <f aca="false">IFERROR(INDEX(DATABASE!$G$4:$G$2003,MATCH($B71,DATABASE!$Z$4:$Z$2003,0))&amp;"","")</f>
        <v/>
      </c>
      <c r="H71" s="47" t="str">
        <f aca="false">IFERROR(INDEX(DATABASE!$N$4:$N$2003,MATCH($B71,DATABASE!$Z$4:$Z$2003,0))&amp;"","")</f>
        <v/>
      </c>
      <c r="I71" s="48" t="str">
        <f aca="false">IFERROR(INDEX(DATABASE!$O$4:$O$2003,MATCH($B71,DATABASE!$Z$4:$Z$2003,0))&amp;"","")</f>
        <v/>
      </c>
      <c r="J71" s="46" t="str">
        <f aca="false">IFERROR(INDEX(DATABASE!$T$4:$T$2003,MATCH($B71,DATABASE!$Z$4:$Z$2003,0))&amp;"","")</f>
        <v/>
      </c>
      <c r="K71" s="47" t="str">
        <f aca="false">IFERROR(INDEX(DATABASE!$I$4:$I$2003,MATCH($B71,DATABASE!$Z$4:$Z$2003,0))&amp;"","")</f>
        <v/>
      </c>
    </row>
    <row r="72" customFormat="false" ht="15" hidden="false" customHeight="false" outlineLevel="0" collapsed="false">
      <c r="B72" s="49" t="n">
        <v>60</v>
      </c>
      <c r="C72" s="50" t="str">
        <f aca="false">IFERROR(INDEX(DATABASE!$B$4:$B$2003,MATCH($B72,DATABASE!$Z$4:$Z$2003,0))&amp;"","")</f>
        <v/>
      </c>
      <c r="D72" s="51" t="str">
        <f aca="false">IFERROR(INDEX(DATABASE!$C$4:$C$2003,MATCH($B72,DATABASE!$Z$4:$Z$2003,0))&amp;"","")</f>
        <v/>
      </c>
      <c r="E72" s="49" t="str">
        <f aca="false">IFERROR(INDEX(DATABASE!$E$4:$E$2003,MATCH($B72,DATABASE!$Z$4:$Z$2003,0))&amp;"","")</f>
        <v/>
      </c>
      <c r="F72" s="49" t="str">
        <f aca="false">IFERROR(INDEX(DATABASE!$F$4:$F$2003,MATCH($B72,DATABASE!$Z$4:$Z$2003,0))&amp;"","")</f>
        <v/>
      </c>
      <c r="G72" s="51" t="str">
        <f aca="false">IFERROR(INDEX(DATABASE!$G$4:$G$2003,MATCH($B72,DATABASE!$Z$4:$Z$2003,0))&amp;"","")</f>
        <v/>
      </c>
      <c r="H72" s="50" t="str">
        <f aca="false">IFERROR(INDEX(DATABASE!$N$4:$N$2003,MATCH($B72,DATABASE!$Z$4:$Z$2003,0))&amp;"","")</f>
        <v/>
      </c>
      <c r="I72" s="51" t="str">
        <f aca="false">IFERROR(INDEX(DATABASE!$O$4:$O$2003,MATCH($B72,DATABASE!$Z$4:$Z$2003,0))&amp;"","")</f>
        <v/>
      </c>
      <c r="J72" s="49" t="str">
        <f aca="false">IFERROR(INDEX(DATABASE!$T$4:$T$2003,MATCH($B72,DATABASE!$Z$4:$Z$2003,0))&amp;"","")</f>
        <v/>
      </c>
      <c r="K72" s="50" t="str">
        <f aca="false">IFERROR(INDEX(DATABASE!$I$4:$I$2003,MATCH($B72,DATABASE!$Z$4:$Z$2003,0))&amp;"","")</f>
        <v/>
      </c>
    </row>
    <row r="73" customFormat="false" ht="15" hidden="false" customHeight="false" outlineLevel="0" collapsed="false">
      <c r="B73" s="46" t="n">
        <v>61</v>
      </c>
      <c r="C73" s="47" t="str">
        <f aca="false">IFERROR(INDEX(DATABASE!$B$4:$B$2003,MATCH($B73,DATABASE!$Z$4:$Z$2003,0))&amp;"","")</f>
        <v/>
      </c>
      <c r="D73" s="48" t="str">
        <f aca="false">IFERROR(INDEX(DATABASE!$C$4:$C$2003,MATCH($B73,DATABASE!$Z$4:$Z$2003,0))&amp;"","")</f>
        <v/>
      </c>
      <c r="E73" s="46" t="str">
        <f aca="false">IFERROR(INDEX(DATABASE!$E$4:$E$2003,MATCH($B73,DATABASE!$Z$4:$Z$2003,0))&amp;"","")</f>
        <v/>
      </c>
      <c r="F73" s="46" t="str">
        <f aca="false">IFERROR(INDEX(DATABASE!$F$4:$F$2003,MATCH($B73,DATABASE!$Z$4:$Z$2003,0))&amp;"","")</f>
        <v/>
      </c>
      <c r="G73" s="48" t="str">
        <f aca="false">IFERROR(INDEX(DATABASE!$G$4:$G$2003,MATCH($B73,DATABASE!$Z$4:$Z$2003,0))&amp;"","")</f>
        <v/>
      </c>
      <c r="H73" s="47" t="str">
        <f aca="false">IFERROR(INDEX(DATABASE!$N$4:$N$2003,MATCH($B73,DATABASE!$Z$4:$Z$2003,0))&amp;"","")</f>
        <v/>
      </c>
      <c r="I73" s="48" t="str">
        <f aca="false">IFERROR(INDEX(DATABASE!$O$4:$O$2003,MATCH($B73,DATABASE!$Z$4:$Z$2003,0))&amp;"","")</f>
        <v/>
      </c>
      <c r="J73" s="46" t="str">
        <f aca="false">IFERROR(INDEX(DATABASE!$T$4:$T$2003,MATCH($B73,DATABASE!$Z$4:$Z$2003,0))&amp;"","")</f>
        <v/>
      </c>
      <c r="K73" s="47" t="str">
        <f aca="false">IFERROR(INDEX(DATABASE!$I$4:$I$2003,MATCH($B73,DATABASE!$Z$4:$Z$2003,0))&amp;"","")</f>
        <v/>
      </c>
    </row>
    <row r="74" customFormat="false" ht="15" hidden="false" customHeight="false" outlineLevel="0" collapsed="false">
      <c r="B74" s="49" t="n">
        <v>62</v>
      </c>
      <c r="C74" s="50" t="str">
        <f aca="false">IFERROR(INDEX(DATABASE!$B$4:$B$2003,MATCH($B74,DATABASE!$Z$4:$Z$2003,0))&amp;"","")</f>
        <v/>
      </c>
      <c r="D74" s="51" t="str">
        <f aca="false">IFERROR(INDEX(DATABASE!$C$4:$C$2003,MATCH($B74,DATABASE!$Z$4:$Z$2003,0))&amp;"","")</f>
        <v/>
      </c>
      <c r="E74" s="49" t="str">
        <f aca="false">IFERROR(INDEX(DATABASE!$E$4:$E$2003,MATCH($B74,DATABASE!$Z$4:$Z$2003,0))&amp;"","")</f>
        <v/>
      </c>
      <c r="F74" s="49" t="str">
        <f aca="false">IFERROR(INDEX(DATABASE!$F$4:$F$2003,MATCH($B74,DATABASE!$Z$4:$Z$2003,0))&amp;"","")</f>
        <v/>
      </c>
      <c r="G74" s="51" t="str">
        <f aca="false">IFERROR(INDEX(DATABASE!$G$4:$G$2003,MATCH($B74,DATABASE!$Z$4:$Z$2003,0))&amp;"","")</f>
        <v/>
      </c>
      <c r="H74" s="50" t="str">
        <f aca="false">IFERROR(INDEX(DATABASE!$N$4:$N$2003,MATCH($B74,DATABASE!$Z$4:$Z$2003,0))&amp;"","")</f>
        <v/>
      </c>
      <c r="I74" s="51" t="str">
        <f aca="false">IFERROR(INDEX(DATABASE!$O$4:$O$2003,MATCH($B74,DATABASE!$Z$4:$Z$2003,0))&amp;"","")</f>
        <v/>
      </c>
      <c r="J74" s="49" t="str">
        <f aca="false">IFERROR(INDEX(DATABASE!$T$4:$T$2003,MATCH($B74,DATABASE!$Z$4:$Z$2003,0))&amp;"","")</f>
        <v/>
      </c>
      <c r="K74" s="50" t="str">
        <f aca="false">IFERROR(INDEX(DATABASE!$I$4:$I$2003,MATCH($B74,DATABASE!$Z$4:$Z$2003,0))&amp;"","")</f>
        <v/>
      </c>
    </row>
    <row r="75" customFormat="false" ht="15" hidden="false" customHeight="false" outlineLevel="0" collapsed="false">
      <c r="B75" s="46" t="n">
        <v>63</v>
      </c>
      <c r="C75" s="47" t="str">
        <f aca="false">IFERROR(INDEX(DATABASE!$B$4:$B$2003,MATCH($B75,DATABASE!$Z$4:$Z$2003,0))&amp;"","")</f>
        <v/>
      </c>
      <c r="D75" s="48" t="str">
        <f aca="false">IFERROR(INDEX(DATABASE!$C$4:$C$2003,MATCH($B75,DATABASE!$Z$4:$Z$2003,0))&amp;"","")</f>
        <v/>
      </c>
      <c r="E75" s="46" t="str">
        <f aca="false">IFERROR(INDEX(DATABASE!$E$4:$E$2003,MATCH($B75,DATABASE!$Z$4:$Z$2003,0))&amp;"","")</f>
        <v/>
      </c>
      <c r="F75" s="46" t="str">
        <f aca="false">IFERROR(INDEX(DATABASE!$F$4:$F$2003,MATCH($B75,DATABASE!$Z$4:$Z$2003,0))&amp;"","")</f>
        <v/>
      </c>
      <c r="G75" s="48" t="str">
        <f aca="false">IFERROR(INDEX(DATABASE!$G$4:$G$2003,MATCH($B75,DATABASE!$Z$4:$Z$2003,0))&amp;"","")</f>
        <v/>
      </c>
      <c r="H75" s="47" t="str">
        <f aca="false">IFERROR(INDEX(DATABASE!$N$4:$N$2003,MATCH($B75,DATABASE!$Z$4:$Z$2003,0))&amp;"","")</f>
        <v/>
      </c>
      <c r="I75" s="48" t="str">
        <f aca="false">IFERROR(INDEX(DATABASE!$O$4:$O$2003,MATCH($B75,DATABASE!$Z$4:$Z$2003,0))&amp;"","")</f>
        <v/>
      </c>
      <c r="J75" s="46" t="str">
        <f aca="false">IFERROR(INDEX(DATABASE!$T$4:$T$2003,MATCH($B75,DATABASE!$Z$4:$Z$2003,0))&amp;"","")</f>
        <v/>
      </c>
      <c r="K75" s="47" t="str">
        <f aca="false">IFERROR(INDEX(DATABASE!$I$4:$I$2003,MATCH($B75,DATABASE!$Z$4:$Z$2003,0))&amp;"","")</f>
        <v/>
      </c>
    </row>
    <row r="76" customFormat="false" ht="15" hidden="false" customHeight="false" outlineLevel="0" collapsed="false">
      <c r="B76" s="49" t="n">
        <v>64</v>
      </c>
      <c r="C76" s="50" t="str">
        <f aca="false">IFERROR(INDEX(DATABASE!$B$4:$B$2003,MATCH($B76,DATABASE!$Z$4:$Z$2003,0))&amp;"","")</f>
        <v/>
      </c>
      <c r="D76" s="51" t="str">
        <f aca="false">IFERROR(INDEX(DATABASE!$C$4:$C$2003,MATCH($B76,DATABASE!$Z$4:$Z$2003,0))&amp;"","")</f>
        <v/>
      </c>
      <c r="E76" s="49" t="str">
        <f aca="false">IFERROR(INDEX(DATABASE!$E$4:$E$2003,MATCH($B76,DATABASE!$Z$4:$Z$2003,0))&amp;"","")</f>
        <v/>
      </c>
      <c r="F76" s="49" t="str">
        <f aca="false">IFERROR(INDEX(DATABASE!$F$4:$F$2003,MATCH($B76,DATABASE!$Z$4:$Z$2003,0))&amp;"","")</f>
        <v/>
      </c>
      <c r="G76" s="51" t="str">
        <f aca="false">IFERROR(INDEX(DATABASE!$G$4:$G$2003,MATCH($B76,DATABASE!$Z$4:$Z$2003,0))&amp;"","")</f>
        <v/>
      </c>
      <c r="H76" s="50" t="str">
        <f aca="false">IFERROR(INDEX(DATABASE!$N$4:$N$2003,MATCH($B76,DATABASE!$Z$4:$Z$2003,0))&amp;"","")</f>
        <v/>
      </c>
      <c r="I76" s="51" t="str">
        <f aca="false">IFERROR(INDEX(DATABASE!$O$4:$O$2003,MATCH($B76,DATABASE!$Z$4:$Z$2003,0))&amp;"","")</f>
        <v/>
      </c>
      <c r="J76" s="49" t="str">
        <f aca="false">IFERROR(INDEX(DATABASE!$T$4:$T$2003,MATCH($B76,DATABASE!$Z$4:$Z$2003,0))&amp;"","")</f>
        <v/>
      </c>
      <c r="K76" s="50" t="str">
        <f aca="false">IFERROR(INDEX(DATABASE!$I$4:$I$2003,MATCH($B76,DATABASE!$Z$4:$Z$2003,0))&amp;"","")</f>
        <v/>
      </c>
    </row>
    <row r="77" customFormat="false" ht="15" hidden="false" customHeight="false" outlineLevel="0" collapsed="false">
      <c r="B77" s="46" t="n">
        <v>65</v>
      </c>
      <c r="C77" s="47" t="str">
        <f aca="false">IFERROR(INDEX(DATABASE!$B$4:$B$2003,MATCH($B77,DATABASE!$Z$4:$Z$2003,0))&amp;"","")</f>
        <v/>
      </c>
      <c r="D77" s="48" t="str">
        <f aca="false">IFERROR(INDEX(DATABASE!$C$4:$C$2003,MATCH($B77,DATABASE!$Z$4:$Z$2003,0))&amp;"","")</f>
        <v/>
      </c>
      <c r="E77" s="46" t="str">
        <f aca="false">IFERROR(INDEX(DATABASE!$E$4:$E$2003,MATCH($B77,DATABASE!$Z$4:$Z$2003,0))&amp;"","")</f>
        <v/>
      </c>
      <c r="F77" s="46" t="str">
        <f aca="false">IFERROR(INDEX(DATABASE!$F$4:$F$2003,MATCH($B77,DATABASE!$Z$4:$Z$2003,0))&amp;"","")</f>
        <v/>
      </c>
      <c r="G77" s="48" t="str">
        <f aca="false">IFERROR(INDEX(DATABASE!$G$4:$G$2003,MATCH($B77,DATABASE!$Z$4:$Z$2003,0))&amp;"","")</f>
        <v/>
      </c>
      <c r="H77" s="47" t="str">
        <f aca="false">IFERROR(INDEX(DATABASE!$N$4:$N$2003,MATCH($B77,DATABASE!$Z$4:$Z$2003,0))&amp;"","")</f>
        <v/>
      </c>
      <c r="I77" s="48" t="str">
        <f aca="false">IFERROR(INDEX(DATABASE!$O$4:$O$2003,MATCH($B77,DATABASE!$Z$4:$Z$2003,0))&amp;"","")</f>
        <v/>
      </c>
      <c r="J77" s="46" t="str">
        <f aca="false">IFERROR(INDEX(DATABASE!$T$4:$T$2003,MATCH($B77,DATABASE!$Z$4:$Z$2003,0))&amp;"","")</f>
        <v/>
      </c>
      <c r="K77" s="47" t="str">
        <f aca="false">IFERROR(INDEX(DATABASE!$I$4:$I$2003,MATCH($B77,DATABASE!$Z$4:$Z$2003,0))&amp;"","")</f>
        <v/>
      </c>
    </row>
    <row r="78" customFormat="false" ht="15" hidden="false" customHeight="false" outlineLevel="0" collapsed="false">
      <c r="B78" s="49" t="n">
        <v>66</v>
      </c>
      <c r="C78" s="50" t="str">
        <f aca="false">IFERROR(INDEX(DATABASE!$B$4:$B$2003,MATCH($B78,DATABASE!$Z$4:$Z$2003,0))&amp;"","")</f>
        <v/>
      </c>
      <c r="D78" s="51" t="str">
        <f aca="false">IFERROR(INDEX(DATABASE!$C$4:$C$2003,MATCH($B78,DATABASE!$Z$4:$Z$2003,0))&amp;"","")</f>
        <v/>
      </c>
      <c r="E78" s="49" t="str">
        <f aca="false">IFERROR(INDEX(DATABASE!$E$4:$E$2003,MATCH($B78,DATABASE!$Z$4:$Z$2003,0))&amp;"","")</f>
        <v/>
      </c>
      <c r="F78" s="49" t="str">
        <f aca="false">IFERROR(INDEX(DATABASE!$F$4:$F$2003,MATCH($B78,DATABASE!$Z$4:$Z$2003,0))&amp;"","")</f>
        <v/>
      </c>
      <c r="G78" s="51" t="str">
        <f aca="false">IFERROR(INDEX(DATABASE!$G$4:$G$2003,MATCH($B78,DATABASE!$Z$4:$Z$2003,0))&amp;"","")</f>
        <v/>
      </c>
      <c r="H78" s="50" t="str">
        <f aca="false">IFERROR(INDEX(DATABASE!$N$4:$N$2003,MATCH($B78,DATABASE!$Z$4:$Z$2003,0))&amp;"","")</f>
        <v/>
      </c>
      <c r="I78" s="51" t="str">
        <f aca="false">IFERROR(INDEX(DATABASE!$O$4:$O$2003,MATCH($B78,DATABASE!$Z$4:$Z$2003,0))&amp;"","")</f>
        <v/>
      </c>
      <c r="J78" s="49" t="str">
        <f aca="false">IFERROR(INDEX(DATABASE!$T$4:$T$2003,MATCH($B78,DATABASE!$Z$4:$Z$2003,0))&amp;"","")</f>
        <v/>
      </c>
      <c r="K78" s="50" t="str">
        <f aca="false">IFERROR(INDEX(DATABASE!$I$4:$I$2003,MATCH($B78,DATABASE!$Z$4:$Z$2003,0))&amp;"","")</f>
        <v/>
      </c>
    </row>
    <row r="79" customFormat="false" ht="15" hidden="false" customHeight="false" outlineLevel="0" collapsed="false">
      <c r="B79" s="46" t="n">
        <v>67</v>
      </c>
      <c r="C79" s="47" t="str">
        <f aca="false">IFERROR(INDEX(DATABASE!$B$4:$B$2003,MATCH($B79,DATABASE!$Z$4:$Z$2003,0))&amp;"","")</f>
        <v/>
      </c>
      <c r="D79" s="48" t="str">
        <f aca="false">IFERROR(INDEX(DATABASE!$C$4:$C$2003,MATCH($B79,DATABASE!$Z$4:$Z$2003,0))&amp;"","")</f>
        <v/>
      </c>
      <c r="E79" s="46" t="str">
        <f aca="false">IFERROR(INDEX(DATABASE!$E$4:$E$2003,MATCH($B79,DATABASE!$Z$4:$Z$2003,0))&amp;"","")</f>
        <v/>
      </c>
      <c r="F79" s="46" t="str">
        <f aca="false">IFERROR(INDEX(DATABASE!$F$4:$F$2003,MATCH($B79,DATABASE!$Z$4:$Z$2003,0))&amp;"","")</f>
        <v/>
      </c>
      <c r="G79" s="48" t="str">
        <f aca="false">IFERROR(INDEX(DATABASE!$G$4:$G$2003,MATCH($B79,DATABASE!$Z$4:$Z$2003,0))&amp;"","")</f>
        <v/>
      </c>
      <c r="H79" s="47" t="str">
        <f aca="false">IFERROR(INDEX(DATABASE!$N$4:$N$2003,MATCH($B79,DATABASE!$Z$4:$Z$2003,0))&amp;"","")</f>
        <v/>
      </c>
      <c r="I79" s="48" t="str">
        <f aca="false">IFERROR(INDEX(DATABASE!$O$4:$O$2003,MATCH($B79,DATABASE!$Z$4:$Z$2003,0))&amp;"","")</f>
        <v/>
      </c>
      <c r="J79" s="46" t="str">
        <f aca="false">IFERROR(INDEX(DATABASE!$T$4:$T$2003,MATCH($B79,DATABASE!$Z$4:$Z$2003,0))&amp;"","")</f>
        <v/>
      </c>
      <c r="K79" s="47" t="str">
        <f aca="false">IFERROR(INDEX(DATABASE!$I$4:$I$2003,MATCH($B79,DATABASE!$Z$4:$Z$2003,0))&amp;"","")</f>
        <v/>
      </c>
    </row>
    <row r="80" customFormat="false" ht="15" hidden="false" customHeight="false" outlineLevel="0" collapsed="false">
      <c r="B80" s="49" t="n">
        <v>68</v>
      </c>
      <c r="C80" s="50" t="str">
        <f aca="false">IFERROR(INDEX(DATABASE!$B$4:$B$2003,MATCH($B80,DATABASE!$Z$4:$Z$2003,0))&amp;"","")</f>
        <v/>
      </c>
      <c r="D80" s="51" t="str">
        <f aca="false">IFERROR(INDEX(DATABASE!$C$4:$C$2003,MATCH($B80,DATABASE!$Z$4:$Z$2003,0))&amp;"","")</f>
        <v/>
      </c>
      <c r="E80" s="49" t="str">
        <f aca="false">IFERROR(INDEX(DATABASE!$E$4:$E$2003,MATCH($B80,DATABASE!$Z$4:$Z$2003,0))&amp;"","")</f>
        <v/>
      </c>
      <c r="F80" s="49" t="str">
        <f aca="false">IFERROR(INDEX(DATABASE!$F$4:$F$2003,MATCH($B80,DATABASE!$Z$4:$Z$2003,0))&amp;"","")</f>
        <v/>
      </c>
      <c r="G80" s="51" t="str">
        <f aca="false">IFERROR(INDEX(DATABASE!$G$4:$G$2003,MATCH($B80,DATABASE!$Z$4:$Z$2003,0))&amp;"","")</f>
        <v/>
      </c>
      <c r="H80" s="50" t="str">
        <f aca="false">IFERROR(INDEX(DATABASE!$N$4:$N$2003,MATCH($B80,DATABASE!$Z$4:$Z$2003,0))&amp;"","")</f>
        <v/>
      </c>
      <c r="I80" s="51" t="str">
        <f aca="false">IFERROR(INDEX(DATABASE!$O$4:$O$2003,MATCH($B80,DATABASE!$Z$4:$Z$2003,0))&amp;"","")</f>
        <v/>
      </c>
      <c r="J80" s="49" t="str">
        <f aca="false">IFERROR(INDEX(DATABASE!$T$4:$T$2003,MATCH($B80,DATABASE!$Z$4:$Z$2003,0))&amp;"","")</f>
        <v/>
      </c>
      <c r="K80" s="50" t="str">
        <f aca="false">IFERROR(INDEX(DATABASE!$I$4:$I$2003,MATCH($B80,DATABASE!$Z$4:$Z$2003,0))&amp;"","")</f>
        <v/>
      </c>
    </row>
    <row r="81" customFormat="false" ht="15" hidden="false" customHeight="false" outlineLevel="0" collapsed="false">
      <c r="B81" s="46" t="n">
        <v>69</v>
      </c>
      <c r="C81" s="47" t="str">
        <f aca="false">IFERROR(INDEX(DATABASE!$B$4:$B$2003,MATCH($B81,DATABASE!$Z$4:$Z$2003,0))&amp;"","")</f>
        <v/>
      </c>
      <c r="D81" s="48" t="str">
        <f aca="false">IFERROR(INDEX(DATABASE!$C$4:$C$2003,MATCH($B81,DATABASE!$Z$4:$Z$2003,0))&amp;"","")</f>
        <v/>
      </c>
      <c r="E81" s="46" t="str">
        <f aca="false">IFERROR(INDEX(DATABASE!$E$4:$E$2003,MATCH($B81,DATABASE!$Z$4:$Z$2003,0))&amp;"","")</f>
        <v/>
      </c>
      <c r="F81" s="46" t="str">
        <f aca="false">IFERROR(INDEX(DATABASE!$F$4:$F$2003,MATCH($B81,DATABASE!$Z$4:$Z$2003,0))&amp;"","")</f>
        <v/>
      </c>
      <c r="G81" s="48" t="str">
        <f aca="false">IFERROR(INDEX(DATABASE!$G$4:$G$2003,MATCH($B81,DATABASE!$Z$4:$Z$2003,0))&amp;"","")</f>
        <v/>
      </c>
      <c r="H81" s="47" t="str">
        <f aca="false">IFERROR(INDEX(DATABASE!$N$4:$N$2003,MATCH($B81,DATABASE!$Z$4:$Z$2003,0))&amp;"","")</f>
        <v/>
      </c>
      <c r="I81" s="48" t="str">
        <f aca="false">IFERROR(INDEX(DATABASE!$O$4:$O$2003,MATCH($B81,DATABASE!$Z$4:$Z$2003,0))&amp;"","")</f>
        <v/>
      </c>
      <c r="J81" s="46" t="str">
        <f aca="false">IFERROR(INDEX(DATABASE!$T$4:$T$2003,MATCH($B81,DATABASE!$Z$4:$Z$2003,0))&amp;"","")</f>
        <v/>
      </c>
      <c r="K81" s="47" t="str">
        <f aca="false">IFERROR(INDEX(DATABASE!$I$4:$I$2003,MATCH($B81,DATABASE!$Z$4:$Z$2003,0))&amp;"","")</f>
        <v/>
      </c>
    </row>
    <row r="82" customFormat="false" ht="15" hidden="false" customHeight="false" outlineLevel="0" collapsed="false">
      <c r="B82" s="49" t="n">
        <v>70</v>
      </c>
      <c r="C82" s="50" t="str">
        <f aca="false">IFERROR(INDEX(DATABASE!$B$4:$B$2003,MATCH($B82,DATABASE!$Z$4:$Z$2003,0))&amp;"","")</f>
        <v/>
      </c>
      <c r="D82" s="51" t="str">
        <f aca="false">IFERROR(INDEX(DATABASE!$C$4:$C$2003,MATCH($B82,DATABASE!$Z$4:$Z$2003,0))&amp;"","")</f>
        <v/>
      </c>
      <c r="E82" s="49" t="str">
        <f aca="false">IFERROR(INDEX(DATABASE!$E$4:$E$2003,MATCH($B82,DATABASE!$Z$4:$Z$2003,0))&amp;"","")</f>
        <v/>
      </c>
      <c r="F82" s="49" t="str">
        <f aca="false">IFERROR(INDEX(DATABASE!$F$4:$F$2003,MATCH($B82,DATABASE!$Z$4:$Z$2003,0))&amp;"","")</f>
        <v/>
      </c>
      <c r="G82" s="51" t="str">
        <f aca="false">IFERROR(INDEX(DATABASE!$G$4:$G$2003,MATCH($B82,DATABASE!$Z$4:$Z$2003,0))&amp;"","")</f>
        <v/>
      </c>
      <c r="H82" s="50" t="str">
        <f aca="false">IFERROR(INDEX(DATABASE!$N$4:$N$2003,MATCH($B82,DATABASE!$Z$4:$Z$2003,0))&amp;"","")</f>
        <v/>
      </c>
      <c r="I82" s="51" t="str">
        <f aca="false">IFERROR(INDEX(DATABASE!$O$4:$O$2003,MATCH($B82,DATABASE!$Z$4:$Z$2003,0))&amp;"","")</f>
        <v/>
      </c>
      <c r="J82" s="49" t="str">
        <f aca="false">IFERROR(INDEX(DATABASE!$T$4:$T$2003,MATCH($B82,DATABASE!$Z$4:$Z$2003,0))&amp;"","")</f>
        <v/>
      </c>
      <c r="K82" s="50" t="str">
        <f aca="false">IFERROR(INDEX(DATABASE!$I$4:$I$2003,MATCH($B82,DATABASE!$Z$4:$Z$2003,0))&amp;"","")</f>
        <v/>
      </c>
    </row>
    <row r="83" customFormat="false" ht="15" hidden="false" customHeight="false" outlineLevel="0" collapsed="false">
      <c r="B83" s="46" t="n">
        <v>71</v>
      </c>
      <c r="C83" s="47" t="str">
        <f aca="false">IFERROR(INDEX(DATABASE!$B$4:$B$2003,MATCH($B83,DATABASE!$Z$4:$Z$2003,0))&amp;"","")</f>
        <v/>
      </c>
      <c r="D83" s="48" t="str">
        <f aca="false">IFERROR(INDEX(DATABASE!$C$4:$C$2003,MATCH($B83,DATABASE!$Z$4:$Z$2003,0))&amp;"","")</f>
        <v/>
      </c>
      <c r="E83" s="46" t="str">
        <f aca="false">IFERROR(INDEX(DATABASE!$E$4:$E$2003,MATCH($B83,DATABASE!$Z$4:$Z$2003,0))&amp;"","")</f>
        <v/>
      </c>
      <c r="F83" s="46" t="str">
        <f aca="false">IFERROR(INDEX(DATABASE!$F$4:$F$2003,MATCH($B83,DATABASE!$Z$4:$Z$2003,0))&amp;"","")</f>
        <v/>
      </c>
      <c r="G83" s="48" t="str">
        <f aca="false">IFERROR(INDEX(DATABASE!$G$4:$G$2003,MATCH($B83,DATABASE!$Z$4:$Z$2003,0))&amp;"","")</f>
        <v/>
      </c>
      <c r="H83" s="47" t="str">
        <f aca="false">IFERROR(INDEX(DATABASE!$N$4:$N$2003,MATCH($B83,DATABASE!$Z$4:$Z$2003,0))&amp;"","")</f>
        <v/>
      </c>
      <c r="I83" s="48" t="str">
        <f aca="false">IFERROR(INDEX(DATABASE!$O$4:$O$2003,MATCH($B83,DATABASE!$Z$4:$Z$2003,0))&amp;"","")</f>
        <v/>
      </c>
      <c r="J83" s="46" t="str">
        <f aca="false">IFERROR(INDEX(DATABASE!$T$4:$T$2003,MATCH($B83,DATABASE!$Z$4:$Z$2003,0))&amp;"","")</f>
        <v/>
      </c>
      <c r="K83" s="47" t="str">
        <f aca="false">IFERROR(INDEX(DATABASE!$I$4:$I$2003,MATCH($B83,DATABASE!$Z$4:$Z$2003,0))&amp;"","")</f>
        <v/>
      </c>
    </row>
    <row r="84" customFormat="false" ht="15" hidden="false" customHeight="false" outlineLevel="0" collapsed="false">
      <c r="B84" s="49" t="n">
        <v>72</v>
      </c>
      <c r="C84" s="50" t="str">
        <f aca="false">IFERROR(INDEX(DATABASE!$B$4:$B$2003,MATCH($B84,DATABASE!$Z$4:$Z$2003,0))&amp;"","")</f>
        <v/>
      </c>
      <c r="D84" s="51" t="str">
        <f aca="false">IFERROR(INDEX(DATABASE!$C$4:$C$2003,MATCH($B84,DATABASE!$Z$4:$Z$2003,0))&amp;"","")</f>
        <v/>
      </c>
      <c r="E84" s="49" t="str">
        <f aca="false">IFERROR(INDEX(DATABASE!$E$4:$E$2003,MATCH($B84,DATABASE!$Z$4:$Z$2003,0))&amp;"","")</f>
        <v/>
      </c>
      <c r="F84" s="49" t="str">
        <f aca="false">IFERROR(INDEX(DATABASE!$F$4:$F$2003,MATCH($B84,DATABASE!$Z$4:$Z$2003,0))&amp;"","")</f>
        <v/>
      </c>
      <c r="G84" s="51" t="str">
        <f aca="false">IFERROR(INDEX(DATABASE!$G$4:$G$2003,MATCH($B84,DATABASE!$Z$4:$Z$2003,0))&amp;"","")</f>
        <v/>
      </c>
      <c r="H84" s="50" t="str">
        <f aca="false">IFERROR(INDEX(DATABASE!$N$4:$N$2003,MATCH($B84,DATABASE!$Z$4:$Z$2003,0))&amp;"","")</f>
        <v/>
      </c>
      <c r="I84" s="51" t="str">
        <f aca="false">IFERROR(INDEX(DATABASE!$O$4:$O$2003,MATCH($B84,DATABASE!$Z$4:$Z$2003,0))&amp;"","")</f>
        <v/>
      </c>
      <c r="J84" s="49" t="str">
        <f aca="false">IFERROR(INDEX(DATABASE!$T$4:$T$2003,MATCH($B84,DATABASE!$Z$4:$Z$2003,0))&amp;"","")</f>
        <v/>
      </c>
      <c r="K84" s="50" t="str">
        <f aca="false">IFERROR(INDEX(DATABASE!$I$4:$I$2003,MATCH($B84,DATABASE!$Z$4:$Z$2003,0))&amp;"","")</f>
        <v/>
      </c>
    </row>
    <row r="85" customFormat="false" ht="15" hidden="false" customHeight="false" outlineLevel="0" collapsed="false">
      <c r="B85" s="46" t="n">
        <v>73</v>
      </c>
      <c r="C85" s="47" t="str">
        <f aca="false">IFERROR(INDEX(DATABASE!$B$4:$B$2003,MATCH($B85,DATABASE!$Z$4:$Z$2003,0))&amp;"","")</f>
        <v/>
      </c>
      <c r="D85" s="48" t="str">
        <f aca="false">IFERROR(INDEX(DATABASE!$C$4:$C$2003,MATCH($B85,DATABASE!$Z$4:$Z$2003,0))&amp;"","")</f>
        <v/>
      </c>
      <c r="E85" s="46" t="str">
        <f aca="false">IFERROR(INDEX(DATABASE!$E$4:$E$2003,MATCH($B85,DATABASE!$Z$4:$Z$2003,0))&amp;"","")</f>
        <v/>
      </c>
      <c r="F85" s="46" t="str">
        <f aca="false">IFERROR(INDEX(DATABASE!$F$4:$F$2003,MATCH($B85,DATABASE!$Z$4:$Z$2003,0))&amp;"","")</f>
        <v/>
      </c>
      <c r="G85" s="48" t="str">
        <f aca="false">IFERROR(INDEX(DATABASE!$G$4:$G$2003,MATCH($B85,DATABASE!$Z$4:$Z$2003,0))&amp;"","")</f>
        <v/>
      </c>
      <c r="H85" s="47" t="str">
        <f aca="false">IFERROR(INDEX(DATABASE!$N$4:$N$2003,MATCH($B85,DATABASE!$Z$4:$Z$2003,0))&amp;"","")</f>
        <v/>
      </c>
      <c r="I85" s="48" t="str">
        <f aca="false">IFERROR(INDEX(DATABASE!$O$4:$O$2003,MATCH($B85,DATABASE!$Z$4:$Z$2003,0))&amp;"","")</f>
        <v/>
      </c>
      <c r="J85" s="46" t="str">
        <f aca="false">IFERROR(INDEX(DATABASE!$T$4:$T$2003,MATCH($B85,DATABASE!$Z$4:$Z$2003,0))&amp;"","")</f>
        <v/>
      </c>
      <c r="K85" s="47" t="str">
        <f aca="false">IFERROR(INDEX(DATABASE!$I$4:$I$2003,MATCH($B85,DATABASE!$Z$4:$Z$2003,0))&amp;"","")</f>
        <v/>
      </c>
    </row>
    <row r="86" customFormat="false" ht="15" hidden="false" customHeight="false" outlineLevel="0" collapsed="false">
      <c r="B86" s="49" t="n">
        <v>74</v>
      </c>
      <c r="C86" s="50" t="str">
        <f aca="false">IFERROR(INDEX(DATABASE!$B$4:$B$2003,MATCH($B86,DATABASE!$Z$4:$Z$2003,0))&amp;"","")</f>
        <v/>
      </c>
      <c r="D86" s="51" t="str">
        <f aca="false">IFERROR(INDEX(DATABASE!$C$4:$C$2003,MATCH($B86,DATABASE!$Z$4:$Z$2003,0))&amp;"","")</f>
        <v/>
      </c>
      <c r="E86" s="49" t="str">
        <f aca="false">IFERROR(INDEX(DATABASE!$E$4:$E$2003,MATCH($B86,DATABASE!$Z$4:$Z$2003,0))&amp;"","")</f>
        <v/>
      </c>
      <c r="F86" s="49" t="str">
        <f aca="false">IFERROR(INDEX(DATABASE!$F$4:$F$2003,MATCH($B86,DATABASE!$Z$4:$Z$2003,0))&amp;"","")</f>
        <v/>
      </c>
      <c r="G86" s="51" t="str">
        <f aca="false">IFERROR(INDEX(DATABASE!$G$4:$G$2003,MATCH($B86,DATABASE!$Z$4:$Z$2003,0))&amp;"","")</f>
        <v/>
      </c>
      <c r="H86" s="50" t="str">
        <f aca="false">IFERROR(INDEX(DATABASE!$N$4:$N$2003,MATCH($B86,DATABASE!$Z$4:$Z$2003,0))&amp;"","")</f>
        <v/>
      </c>
      <c r="I86" s="51" t="str">
        <f aca="false">IFERROR(INDEX(DATABASE!$O$4:$O$2003,MATCH($B86,DATABASE!$Z$4:$Z$2003,0))&amp;"","")</f>
        <v/>
      </c>
      <c r="J86" s="49" t="str">
        <f aca="false">IFERROR(INDEX(DATABASE!$T$4:$T$2003,MATCH($B86,DATABASE!$Z$4:$Z$2003,0))&amp;"","")</f>
        <v/>
      </c>
      <c r="K86" s="50" t="str">
        <f aca="false">IFERROR(INDEX(DATABASE!$I$4:$I$2003,MATCH($B86,DATABASE!$Z$4:$Z$2003,0))&amp;"","")</f>
        <v/>
      </c>
    </row>
    <row r="87" customFormat="false" ht="15" hidden="false" customHeight="false" outlineLevel="0" collapsed="false">
      <c r="B87" s="46" t="n">
        <v>75</v>
      </c>
      <c r="C87" s="47" t="str">
        <f aca="false">IFERROR(INDEX(DATABASE!$B$4:$B$2003,MATCH($B87,DATABASE!$Z$4:$Z$2003,0))&amp;"","")</f>
        <v/>
      </c>
      <c r="D87" s="48" t="str">
        <f aca="false">IFERROR(INDEX(DATABASE!$C$4:$C$2003,MATCH($B87,DATABASE!$Z$4:$Z$2003,0))&amp;"","")</f>
        <v/>
      </c>
      <c r="E87" s="46" t="str">
        <f aca="false">IFERROR(INDEX(DATABASE!$E$4:$E$2003,MATCH($B87,DATABASE!$Z$4:$Z$2003,0))&amp;"","")</f>
        <v/>
      </c>
      <c r="F87" s="46" t="str">
        <f aca="false">IFERROR(INDEX(DATABASE!$F$4:$F$2003,MATCH($B87,DATABASE!$Z$4:$Z$2003,0))&amp;"","")</f>
        <v/>
      </c>
      <c r="G87" s="48" t="str">
        <f aca="false">IFERROR(INDEX(DATABASE!$G$4:$G$2003,MATCH($B87,DATABASE!$Z$4:$Z$2003,0))&amp;"","")</f>
        <v/>
      </c>
      <c r="H87" s="47" t="str">
        <f aca="false">IFERROR(INDEX(DATABASE!$N$4:$N$2003,MATCH($B87,DATABASE!$Z$4:$Z$2003,0))&amp;"","")</f>
        <v/>
      </c>
      <c r="I87" s="48" t="str">
        <f aca="false">IFERROR(INDEX(DATABASE!$O$4:$O$2003,MATCH($B87,DATABASE!$Z$4:$Z$2003,0))&amp;"","")</f>
        <v/>
      </c>
      <c r="J87" s="46" t="str">
        <f aca="false">IFERROR(INDEX(DATABASE!$T$4:$T$2003,MATCH($B87,DATABASE!$Z$4:$Z$2003,0))&amp;"","")</f>
        <v/>
      </c>
      <c r="K87" s="47" t="str">
        <f aca="false">IFERROR(INDEX(DATABASE!$I$4:$I$2003,MATCH($B87,DATABASE!$Z$4:$Z$2003,0))&amp;"","")</f>
        <v/>
      </c>
    </row>
    <row r="88" customFormat="false" ht="15" hidden="false" customHeight="false" outlineLevel="0" collapsed="false">
      <c r="B88" s="49" t="n">
        <v>76</v>
      </c>
      <c r="C88" s="50" t="str">
        <f aca="false">IFERROR(INDEX(DATABASE!$B$4:$B$2003,MATCH($B88,DATABASE!$Z$4:$Z$2003,0))&amp;"","")</f>
        <v/>
      </c>
      <c r="D88" s="51" t="str">
        <f aca="false">IFERROR(INDEX(DATABASE!$C$4:$C$2003,MATCH($B88,DATABASE!$Z$4:$Z$2003,0))&amp;"","")</f>
        <v/>
      </c>
      <c r="E88" s="49" t="str">
        <f aca="false">IFERROR(INDEX(DATABASE!$E$4:$E$2003,MATCH($B88,DATABASE!$Z$4:$Z$2003,0))&amp;"","")</f>
        <v/>
      </c>
      <c r="F88" s="49" t="str">
        <f aca="false">IFERROR(INDEX(DATABASE!$F$4:$F$2003,MATCH($B88,DATABASE!$Z$4:$Z$2003,0))&amp;"","")</f>
        <v/>
      </c>
      <c r="G88" s="51" t="str">
        <f aca="false">IFERROR(INDEX(DATABASE!$G$4:$G$2003,MATCH($B88,DATABASE!$Z$4:$Z$2003,0))&amp;"","")</f>
        <v/>
      </c>
      <c r="H88" s="50" t="str">
        <f aca="false">IFERROR(INDEX(DATABASE!$N$4:$N$2003,MATCH($B88,DATABASE!$Z$4:$Z$2003,0))&amp;"","")</f>
        <v/>
      </c>
      <c r="I88" s="51" t="str">
        <f aca="false">IFERROR(INDEX(DATABASE!$O$4:$O$2003,MATCH($B88,DATABASE!$Z$4:$Z$2003,0))&amp;"","")</f>
        <v/>
      </c>
      <c r="J88" s="49" t="str">
        <f aca="false">IFERROR(INDEX(DATABASE!$T$4:$T$2003,MATCH($B88,DATABASE!$Z$4:$Z$2003,0))&amp;"","")</f>
        <v/>
      </c>
      <c r="K88" s="50" t="str">
        <f aca="false">IFERROR(INDEX(DATABASE!$I$4:$I$2003,MATCH($B88,DATABASE!$Z$4:$Z$2003,0))&amp;"","")</f>
        <v/>
      </c>
    </row>
    <row r="89" customFormat="false" ht="15" hidden="false" customHeight="false" outlineLevel="0" collapsed="false">
      <c r="B89" s="46" t="n">
        <v>77</v>
      </c>
      <c r="C89" s="47" t="str">
        <f aca="false">IFERROR(INDEX(DATABASE!$B$4:$B$2003,MATCH($B89,DATABASE!$Z$4:$Z$2003,0))&amp;"","")</f>
        <v/>
      </c>
      <c r="D89" s="48" t="str">
        <f aca="false">IFERROR(INDEX(DATABASE!$C$4:$C$2003,MATCH($B89,DATABASE!$Z$4:$Z$2003,0))&amp;"","")</f>
        <v/>
      </c>
      <c r="E89" s="46" t="str">
        <f aca="false">IFERROR(INDEX(DATABASE!$E$4:$E$2003,MATCH($B89,DATABASE!$Z$4:$Z$2003,0))&amp;"","")</f>
        <v/>
      </c>
      <c r="F89" s="46" t="str">
        <f aca="false">IFERROR(INDEX(DATABASE!$F$4:$F$2003,MATCH($B89,DATABASE!$Z$4:$Z$2003,0))&amp;"","")</f>
        <v/>
      </c>
      <c r="G89" s="48" t="str">
        <f aca="false">IFERROR(INDEX(DATABASE!$G$4:$G$2003,MATCH($B89,DATABASE!$Z$4:$Z$2003,0))&amp;"","")</f>
        <v/>
      </c>
      <c r="H89" s="47" t="str">
        <f aca="false">IFERROR(INDEX(DATABASE!$N$4:$N$2003,MATCH($B89,DATABASE!$Z$4:$Z$2003,0))&amp;"","")</f>
        <v/>
      </c>
      <c r="I89" s="48" t="str">
        <f aca="false">IFERROR(INDEX(DATABASE!$O$4:$O$2003,MATCH($B89,DATABASE!$Z$4:$Z$2003,0))&amp;"","")</f>
        <v/>
      </c>
      <c r="J89" s="46" t="str">
        <f aca="false">IFERROR(INDEX(DATABASE!$T$4:$T$2003,MATCH($B89,DATABASE!$Z$4:$Z$2003,0))&amp;"","")</f>
        <v/>
      </c>
      <c r="K89" s="47" t="str">
        <f aca="false">IFERROR(INDEX(DATABASE!$I$4:$I$2003,MATCH($B89,DATABASE!$Z$4:$Z$2003,0))&amp;"","")</f>
        <v/>
      </c>
    </row>
    <row r="90" customFormat="false" ht="15" hidden="false" customHeight="false" outlineLevel="0" collapsed="false">
      <c r="B90" s="49" t="n">
        <v>78</v>
      </c>
      <c r="C90" s="50" t="str">
        <f aca="false">IFERROR(INDEX(DATABASE!$B$4:$B$2003,MATCH($B90,DATABASE!$Z$4:$Z$2003,0))&amp;"","")</f>
        <v/>
      </c>
      <c r="D90" s="51" t="str">
        <f aca="false">IFERROR(INDEX(DATABASE!$C$4:$C$2003,MATCH($B90,DATABASE!$Z$4:$Z$2003,0))&amp;"","")</f>
        <v/>
      </c>
      <c r="E90" s="49" t="str">
        <f aca="false">IFERROR(INDEX(DATABASE!$E$4:$E$2003,MATCH($B90,DATABASE!$Z$4:$Z$2003,0))&amp;"","")</f>
        <v/>
      </c>
      <c r="F90" s="49" t="str">
        <f aca="false">IFERROR(INDEX(DATABASE!$F$4:$F$2003,MATCH($B90,DATABASE!$Z$4:$Z$2003,0))&amp;"","")</f>
        <v/>
      </c>
      <c r="G90" s="51" t="str">
        <f aca="false">IFERROR(INDEX(DATABASE!$G$4:$G$2003,MATCH($B90,DATABASE!$Z$4:$Z$2003,0))&amp;"","")</f>
        <v/>
      </c>
      <c r="H90" s="50" t="str">
        <f aca="false">IFERROR(INDEX(DATABASE!$N$4:$N$2003,MATCH($B90,DATABASE!$Z$4:$Z$2003,0))&amp;"","")</f>
        <v/>
      </c>
      <c r="I90" s="51" t="str">
        <f aca="false">IFERROR(INDEX(DATABASE!$O$4:$O$2003,MATCH($B90,DATABASE!$Z$4:$Z$2003,0))&amp;"","")</f>
        <v/>
      </c>
      <c r="J90" s="49" t="str">
        <f aca="false">IFERROR(INDEX(DATABASE!$T$4:$T$2003,MATCH($B90,DATABASE!$Z$4:$Z$2003,0))&amp;"","")</f>
        <v/>
      </c>
      <c r="K90" s="50" t="str">
        <f aca="false">IFERROR(INDEX(DATABASE!$I$4:$I$2003,MATCH($B90,DATABASE!$Z$4:$Z$2003,0))&amp;"","")</f>
        <v/>
      </c>
    </row>
    <row r="91" customFormat="false" ht="15" hidden="false" customHeight="false" outlineLevel="0" collapsed="false">
      <c r="B91" s="46" t="n">
        <v>79</v>
      </c>
      <c r="C91" s="47" t="str">
        <f aca="false">IFERROR(INDEX(DATABASE!$B$4:$B$2003,MATCH($B91,DATABASE!$Z$4:$Z$2003,0))&amp;"","")</f>
        <v/>
      </c>
      <c r="D91" s="48" t="str">
        <f aca="false">IFERROR(INDEX(DATABASE!$C$4:$C$2003,MATCH($B91,DATABASE!$Z$4:$Z$2003,0))&amp;"","")</f>
        <v/>
      </c>
      <c r="E91" s="46" t="str">
        <f aca="false">IFERROR(INDEX(DATABASE!$E$4:$E$2003,MATCH($B91,DATABASE!$Z$4:$Z$2003,0))&amp;"","")</f>
        <v/>
      </c>
      <c r="F91" s="46" t="str">
        <f aca="false">IFERROR(INDEX(DATABASE!$F$4:$F$2003,MATCH($B91,DATABASE!$Z$4:$Z$2003,0))&amp;"","")</f>
        <v/>
      </c>
      <c r="G91" s="48" t="str">
        <f aca="false">IFERROR(INDEX(DATABASE!$G$4:$G$2003,MATCH($B91,DATABASE!$Z$4:$Z$2003,0))&amp;"","")</f>
        <v/>
      </c>
      <c r="H91" s="47" t="str">
        <f aca="false">IFERROR(INDEX(DATABASE!$N$4:$N$2003,MATCH($B91,DATABASE!$Z$4:$Z$2003,0))&amp;"","")</f>
        <v/>
      </c>
      <c r="I91" s="48" t="str">
        <f aca="false">IFERROR(INDEX(DATABASE!$O$4:$O$2003,MATCH($B91,DATABASE!$Z$4:$Z$2003,0))&amp;"","")</f>
        <v/>
      </c>
      <c r="J91" s="46" t="str">
        <f aca="false">IFERROR(INDEX(DATABASE!$T$4:$T$2003,MATCH($B91,DATABASE!$Z$4:$Z$2003,0))&amp;"","")</f>
        <v/>
      </c>
      <c r="K91" s="47" t="str">
        <f aca="false">IFERROR(INDEX(DATABASE!$I$4:$I$2003,MATCH($B91,DATABASE!$Z$4:$Z$2003,0))&amp;"","")</f>
        <v/>
      </c>
    </row>
    <row r="92" customFormat="false" ht="15" hidden="false" customHeight="false" outlineLevel="0" collapsed="false">
      <c r="B92" s="49" t="n">
        <v>80</v>
      </c>
      <c r="C92" s="50" t="str">
        <f aca="false">IFERROR(INDEX(DATABASE!$B$4:$B$2003,MATCH($B92,DATABASE!$Z$4:$Z$2003,0))&amp;"","")</f>
        <v/>
      </c>
      <c r="D92" s="51" t="str">
        <f aca="false">IFERROR(INDEX(DATABASE!$C$4:$C$2003,MATCH($B92,DATABASE!$Z$4:$Z$2003,0))&amp;"","")</f>
        <v/>
      </c>
      <c r="E92" s="49" t="str">
        <f aca="false">IFERROR(INDEX(DATABASE!$E$4:$E$2003,MATCH($B92,DATABASE!$Z$4:$Z$2003,0))&amp;"","")</f>
        <v/>
      </c>
      <c r="F92" s="49" t="str">
        <f aca="false">IFERROR(INDEX(DATABASE!$F$4:$F$2003,MATCH($B92,DATABASE!$Z$4:$Z$2003,0))&amp;"","")</f>
        <v/>
      </c>
      <c r="G92" s="51" t="str">
        <f aca="false">IFERROR(INDEX(DATABASE!$G$4:$G$2003,MATCH($B92,DATABASE!$Z$4:$Z$2003,0))&amp;"","")</f>
        <v/>
      </c>
      <c r="H92" s="50" t="str">
        <f aca="false">IFERROR(INDEX(DATABASE!$N$4:$N$2003,MATCH($B92,DATABASE!$Z$4:$Z$2003,0))&amp;"","")</f>
        <v/>
      </c>
      <c r="I92" s="51" t="str">
        <f aca="false">IFERROR(INDEX(DATABASE!$O$4:$O$2003,MATCH($B92,DATABASE!$Z$4:$Z$2003,0))&amp;"","")</f>
        <v/>
      </c>
      <c r="J92" s="49" t="str">
        <f aca="false">IFERROR(INDEX(DATABASE!$T$4:$T$2003,MATCH($B92,DATABASE!$Z$4:$Z$2003,0))&amp;"","")</f>
        <v/>
      </c>
      <c r="K92" s="50" t="str">
        <f aca="false">IFERROR(INDEX(DATABASE!$I$4:$I$2003,MATCH($B92,DATABASE!$Z$4:$Z$2003,0))&amp;"","")</f>
        <v/>
      </c>
    </row>
    <row r="93" customFormat="false" ht="15" hidden="false" customHeight="false" outlineLevel="0" collapsed="false">
      <c r="B93" s="46" t="n">
        <v>81</v>
      </c>
      <c r="C93" s="47" t="str">
        <f aca="false">IFERROR(INDEX(DATABASE!$B$4:$B$2003,MATCH($B93,DATABASE!$Z$4:$Z$2003,0))&amp;"","")</f>
        <v/>
      </c>
      <c r="D93" s="48" t="str">
        <f aca="false">IFERROR(INDEX(DATABASE!$C$4:$C$2003,MATCH($B93,DATABASE!$Z$4:$Z$2003,0))&amp;"","")</f>
        <v/>
      </c>
      <c r="E93" s="46" t="str">
        <f aca="false">IFERROR(INDEX(DATABASE!$E$4:$E$2003,MATCH($B93,DATABASE!$Z$4:$Z$2003,0))&amp;"","")</f>
        <v/>
      </c>
      <c r="F93" s="46" t="str">
        <f aca="false">IFERROR(INDEX(DATABASE!$F$4:$F$2003,MATCH($B93,DATABASE!$Z$4:$Z$2003,0))&amp;"","")</f>
        <v/>
      </c>
      <c r="G93" s="48" t="str">
        <f aca="false">IFERROR(INDEX(DATABASE!$G$4:$G$2003,MATCH($B93,DATABASE!$Z$4:$Z$2003,0))&amp;"","")</f>
        <v/>
      </c>
      <c r="H93" s="47" t="str">
        <f aca="false">IFERROR(INDEX(DATABASE!$N$4:$N$2003,MATCH($B93,DATABASE!$Z$4:$Z$2003,0))&amp;"","")</f>
        <v/>
      </c>
      <c r="I93" s="48" t="str">
        <f aca="false">IFERROR(INDEX(DATABASE!$O$4:$O$2003,MATCH($B93,DATABASE!$Z$4:$Z$2003,0))&amp;"","")</f>
        <v/>
      </c>
      <c r="J93" s="46" t="str">
        <f aca="false">IFERROR(INDEX(DATABASE!$T$4:$T$2003,MATCH($B93,DATABASE!$Z$4:$Z$2003,0))&amp;"","")</f>
        <v/>
      </c>
      <c r="K93" s="47" t="str">
        <f aca="false">IFERROR(INDEX(DATABASE!$I$4:$I$2003,MATCH($B93,DATABASE!$Z$4:$Z$2003,0))&amp;"","")</f>
        <v/>
      </c>
    </row>
    <row r="94" customFormat="false" ht="15" hidden="false" customHeight="false" outlineLevel="0" collapsed="false">
      <c r="B94" s="49" t="n">
        <v>82</v>
      </c>
      <c r="C94" s="50" t="str">
        <f aca="false">IFERROR(INDEX(DATABASE!$B$4:$B$2003,MATCH($B94,DATABASE!$Z$4:$Z$2003,0))&amp;"","")</f>
        <v/>
      </c>
      <c r="D94" s="51" t="str">
        <f aca="false">IFERROR(INDEX(DATABASE!$C$4:$C$2003,MATCH($B94,DATABASE!$Z$4:$Z$2003,0))&amp;"","")</f>
        <v/>
      </c>
      <c r="E94" s="49" t="str">
        <f aca="false">IFERROR(INDEX(DATABASE!$E$4:$E$2003,MATCH($B94,DATABASE!$Z$4:$Z$2003,0))&amp;"","")</f>
        <v/>
      </c>
      <c r="F94" s="49" t="str">
        <f aca="false">IFERROR(INDEX(DATABASE!$F$4:$F$2003,MATCH($B94,DATABASE!$Z$4:$Z$2003,0))&amp;"","")</f>
        <v/>
      </c>
      <c r="G94" s="51" t="str">
        <f aca="false">IFERROR(INDEX(DATABASE!$G$4:$G$2003,MATCH($B94,DATABASE!$Z$4:$Z$2003,0))&amp;"","")</f>
        <v/>
      </c>
      <c r="H94" s="50" t="str">
        <f aca="false">IFERROR(INDEX(DATABASE!$N$4:$N$2003,MATCH($B94,DATABASE!$Z$4:$Z$2003,0))&amp;"","")</f>
        <v/>
      </c>
      <c r="I94" s="51" t="str">
        <f aca="false">IFERROR(INDEX(DATABASE!$O$4:$O$2003,MATCH($B94,DATABASE!$Z$4:$Z$2003,0))&amp;"","")</f>
        <v/>
      </c>
      <c r="J94" s="49" t="str">
        <f aca="false">IFERROR(INDEX(DATABASE!$T$4:$T$2003,MATCH($B94,DATABASE!$Z$4:$Z$2003,0))&amp;"","")</f>
        <v/>
      </c>
      <c r="K94" s="50" t="str">
        <f aca="false">IFERROR(INDEX(DATABASE!$I$4:$I$2003,MATCH($B94,DATABASE!$Z$4:$Z$2003,0))&amp;"","")</f>
        <v/>
      </c>
    </row>
    <row r="95" customFormat="false" ht="15" hidden="false" customHeight="false" outlineLevel="0" collapsed="false">
      <c r="B95" s="46" t="n">
        <v>83</v>
      </c>
      <c r="C95" s="47" t="str">
        <f aca="false">IFERROR(INDEX(DATABASE!$B$4:$B$2003,MATCH($B95,DATABASE!$Z$4:$Z$2003,0))&amp;"","")</f>
        <v/>
      </c>
      <c r="D95" s="48" t="str">
        <f aca="false">IFERROR(INDEX(DATABASE!$C$4:$C$2003,MATCH($B95,DATABASE!$Z$4:$Z$2003,0))&amp;"","")</f>
        <v/>
      </c>
      <c r="E95" s="46" t="str">
        <f aca="false">IFERROR(INDEX(DATABASE!$E$4:$E$2003,MATCH($B95,DATABASE!$Z$4:$Z$2003,0))&amp;"","")</f>
        <v/>
      </c>
      <c r="F95" s="46" t="str">
        <f aca="false">IFERROR(INDEX(DATABASE!$F$4:$F$2003,MATCH($B95,DATABASE!$Z$4:$Z$2003,0))&amp;"","")</f>
        <v/>
      </c>
      <c r="G95" s="48" t="str">
        <f aca="false">IFERROR(INDEX(DATABASE!$G$4:$G$2003,MATCH($B95,DATABASE!$Z$4:$Z$2003,0))&amp;"","")</f>
        <v/>
      </c>
      <c r="H95" s="47" t="str">
        <f aca="false">IFERROR(INDEX(DATABASE!$N$4:$N$2003,MATCH($B95,DATABASE!$Z$4:$Z$2003,0))&amp;"","")</f>
        <v/>
      </c>
      <c r="I95" s="48" t="str">
        <f aca="false">IFERROR(INDEX(DATABASE!$O$4:$O$2003,MATCH($B95,DATABASE!$Z$4:$Z$2003,0))&amp;"","")</f>
        <v/>
      </c>
      <c r="J95" s="46" t="str">
        <f aca="false">IFERROR(INDEX(DATABASE!$T$4:$T$2003,MATCH($B95,DATABASE!$Z$4:$Z$2003,0))&amp;"","")</f>
        <v/>
      </c>
      <c r="K95" s="47" t="str">
        <f aca="false">IFERROR(INDEX(DATABASE!$I$4:$I$2003,MATCH($B95,DATABASE!$Z$4:$Z$2003,0))&amp;"","")</f>
        <v/>
      </c>
    </row>
    <row r="96" customFormat="false" ht="15" hidden="false" customHeight="false" outlineLevel="0" collapsed="false">
      <c r="B96" s="49" t="n">
        <v>84</v>
      </c>
      <c r="C96" s="50" t="str">
        <f aca="false">IFERROR(INDEX(DATABASE!$B$4:$B$2003,MATCH($B96,DATABASE!$Z$4:$Z$2003,0))&amp;"","")</f>
        <v/>
      </c>
      <c r="D96" s="51" t="str">
        <f aca="false">IFERROR(INDEX(DATABASE!$C$4:$C$2003,MATCH($B96,DATABASE!$Z$4:$Z$2003,0))&amp;"","")</f>
        <v/>
      </c>
      <c r="E96" s="49" t="str">
        <f aca="false">IFERROR(INDEX(DATABASE!$E$4:$E$2003,MATCH($B96,DATABASE!$Z$4:$Z$2003,0))&amp;"","")</f>
        <v/>
      </c>
      <c r="F96" s="49" t="str">
        <f aca="false">IFERROR(INDEX(DATABASE!$F$4:$F$2003,MATCH($B96,DATABASE!$Z$4:$Z$2003,0))&amp;"","")</f>
        <v/>
      </c>
      <c r="G96" s="51" t="str">
        <f aca="false">IFERROR(INDEX(DATABASE!$G$4:$G$2003,MATCH($B96,DATABASE!$Z$4:$Z$2003,0))&amp;"","")</f>
        <v/>
      </c>
      <c r="H96" s="50" t="str">
        <f aca="false">IFERROR(INDEX(DATABASE!$N$4:$N$2003,MATCH($B96,DATABASE!$Z$4:$Z$2003,0))&amp;"","")</f>
        <v/>
      </c>
      <c r="I96" s="51" t="str">
        <f aca="false">IFERROR(INDEX(DATABASE!$O$4:$O$2003,MATCH($B96,DATABASE!$Z$4:$Z$2003,0))&amp;"","")</f>
        <v/>
      </c>
      <c r="J96" s="49" t="str">
        <f aca="false">IFERROR(INDEX(DATABASE!$T$4:$T$2003,MATCH($B96,DATABASE!$Z$4:$Z$2003,0))&amp;"","")</f>
        <v/>
      </c>
      <c r="K96" s="50" t="str">
        <f aca="false">IFERROR(INDEX(DATABASE!$I$4:$I$2003,MATCH($B96,DATABASE!$Z$4:$Z$2003,0))&amp;"","")</f>
        <v/>
      </c>
    </row>
    <row r="97" customFormat="false" ht="15" hidden="false" customHeight="false" outlineLevel="0" collapsed="false">
      <c r="B97" s="46" t="n">
        <v>85</v>
      </c>
      <c r="C97" s="47" t="str">
        <f aca="false">IFERROR(INDEX(DATABASE!$B$4:$B$2003,MATCH($B97,DATABASE!$Z$4:$Z$2003,0))&amp;"","")</f>
        <v/>
      </c>
      <c r="D97" s="48" t="str">
        <f aca="false">IFERROR(INDEX(DATABASE!$C$4:$C$2003,MATCH($B97,DATABASE!$Z$4:$Z$2003,0))&amp;"","")</f>
        <v/>
      </c>
      <c r="E97" s="46" t="str">
        <f aca="false">IFERROR(INDEX(DATABASE!$E$4:$E$2003,MATCH($B97,DATABASE!$Z$4:$Z$2003,0))&amp;"","")</f>
        <v/>
      </c>
      <c r="F97" s="46" t="str">
        <f aca="false">IFERROR(INDEX(DATABASE!$F$4:$F$2003,MATCH($B97,DATABASE!$Z$4:$Z$2003,0))&amp;"","")</f>
        <v/>
      </c>
      <c r="G97" s="48" t="str">
        <f aca="false">IFERROR(INDEX(DATABASE!$G$4:$G$2003,MATCH($B97,DATABASE!$Z$4:$Z$2003,0))&amp;"","")</f>
        <v/>
      </c>
      <c r="H97" s="47" t="str">
        <f aca="false">IFERROR(INDEX(DATABASE!$N$4:$N$2003,MATCH($B97,DATABASE!$Z$4:$Z$2003,0))&amp;"","")</f>
        <v/>
      </c>
      <c r="I97" s="48" t="str">
        <f aca="false">IFERROR(INDEX(DATABASE!$O$4:$O$2003,MATCH($B97,DATABASE!$Z$4:$Z$2003,0))&amp;"","")</f>
        <v/>
      </c>
      <c r="J97" s="46" t="str">
        <f aca="false">IFERROR(INDEX(DATABASE!$T$4:$T$2003,MATCH($B97,DATABASE!$Z$4:$Z$2003,0))&amp;"","")</f>
        <v/>
      </c>
      <c r="K97" s="47" t="str">
        <f aca="false">IFERROR(INDEX(DATABASE!$I$4:$I$2003,MATCH($B97,DATABASE!$Z$4:$Z$2003,0))&amp;"","")</f>
        <v/>
      </c>
    </row>
    <row r="98" customFormat="false" ht="15" hidden="false" customHeight="false" outlineLevel="0" collapsed="false">
      <c r="B98" s="49" t="n">
        <v>86</v>
      </c>
      <c r="C98" s="50" t="str">
        <f aca="false">IFERROR(INDEX(DATABASE!$B$4:$B$2003,MATCH($B98,DATABASE!$Z$4:$Z$2003,0))&amp;"","")</f>
        <v/>
      </c>
      <c r="D98" s="51" t="str">
        <f aca="false">IFERROR(INDEX(DATABASE!$C$4:$C$2003,MATCH($B98,DATABASE!$Z$4:$Z$2003,0))&amp;"","")</f>
        <v/>
      </c>
      <c r="E98" s="49" t="str">
        <f aca="false">IFERROR(INDEX(DATABASE!$E$4:$E$2003,MATCH($B98,DATABASE!$Z$4:$Z$2003,0))&amp;"","")</f>
        <v/>
      </c>
      <c r="F98" s="49" t="str">
        <f aca="false">IFERROR(INDEX(DATABASE!$F$4:$F$2003,MATCH($B98,DATABASE!$Z$4:$Z$2003,0))&amp;"","")</f>
        <v/>
      </c>
      <c r="G98" s="51" t="str">
        <f aca="false">IFERROR(INDEX(DATABASE!$G$4:$G$2003,MATCH($B98,DATABASE!$Z$4:$Z$2003,0))&amp;"","")</f>
        <v/>
      </c>
      <c r="H98" s="50" t="str">
        <f aca="false">IFERROR(INDEX(DATABASE!$N$4:$N$2003,MATCH($B98,DATABASE!$Z$4:$Z$2003,0))&amp;"","")</f>
        <v/>
      </c>
      <c r="I98" s="51" t="str">
        <f aca="false">IFERROR(INDEX(DATABASE!$O$4:$O$2003,MATCH($B98,DATABASE!$Z$4:$Z$2003,0))&amp;"","")</f>
        <v/>
      </c>
      <c r="J98" s="49" t="str">
        <f aca="false">IFERROR(INDEX(DATABASE!$T$4:$T$2003,MATCH($B98,DATABASE!$Z$4:$Z$2003,0))&amp;"","")</f>
        <v/>
      </c>
      <c r="K98" s="50" t="str">
        <f aca="false">IFERROR(INDEX(DATABASE!$I$4:$I$2003,MATCH($B98,DATABASE!$Z$4:$Z$2003,0))&amp;"","")</f>
        <v/>
      </c>
    </row>
    <row r="99" customFormat="false" ht="15" hidden="false" customHeight="false" outlineLevel="0" collapsed="false">
      <c r="B99" s="46" t="n">
        <v>87</v>
      </c>
      <c r="C99" s="47" t="str">
        <f aca="false">IFERROR(INDEX(DATABASE!$B$4:$B$2003,MATCH($B99,DATABASE!$Z$4:$Z$2003,0))&amp;"","")</f>
        <v/>
      </c>
      <c r="D99" s="48" t="str">
        <f aca="false">IFERROR(INDEX(DATABASE!$C$4:$C$2003,MATCH($B99,DATABASE!$Z$4:$Z$2003,0))&amp;"","")</f>
        <v/>
      </c>
      <c r="E99" s="46" t="str">
        <f aca="false">IFERROR(INDEX(DATABASE!$E$4:$E$2003,MATCH($B99,DATABASE!$Z$4:$Z$2003,0))&amp;"","")</f>
        <v/>
      </c>
      <c r="F99" s="46" t="str">
        <f aca="false">IFERROR(INDEX(DATABASE!$F$4:$F$2003,MATCH($B99,DATABASE!$Z$4:$Z$2003,0))&amp;"","")</f>
        <v/>
      </c>
      <c r="G99" s="48" t="str">
        <f aca="false">IFERROR(INDEX(DATABASE!$G$4:$G$2003,MATCH($B99,DATABASE!$Z$4:$Z$2003,0))&amp;"","")</f>
        <v/>
      </c>
      <c r="H99" s="47" t="str">
        <f aca="false">IFERROR(INDEX(DATABASE!$N$4:$N$2003,MATCH($B99,DATABASE!$Z$4:$Z$2003,0))&amp;"","")</f>
        <v/>
      </c>
      <c r="I99" s="48" t="str">
        <f aca="false">IFERROR(INDEX(DATABASE!$O$4:$O$2003,MATCH($B99,DATABASE!$Z$4:$Z$2003,0))&amp;"","")</f>
        <v/>
      </c>
      <c r="J99" s="46" t="str">
        <f aca="false">IFERROR(INDEX(DATABASE!$T$4:$T$2003,MATCH($B99,DATABASE!$Z$4:$Z$2003,0))&amp;"","")</f>
        <v/>
      </c>
      <c r="K99" s="47" t="str">
        <f aca="false">IFERROR(INDEX(DATABASE!$I$4:$I$2003,MATCH($B99,DATABASE!$Z$4:$Z$2003,0))&amp;"","")</f>
        <v/>
      </c>
    </row>
    <row r="100" customFormat="false" ht="15" hidden="false" customHeight="false" outlineLevel="0" collapsed="false">
      <c r="B100" s="49" t="n">
        <v>88</v>
      </c>
      <c r="C100" s="50" t="str">
        <f aca="false">IFERROR(INDEX(DATABASE!$B$4:$B$2003,MATCH($B100,DATABASE!$Z$4:$Z$2003,0))&amp;"","")</f>
        <v/>
      </c>
      <c r="D100" s="51" t="str">
        <f aca="false">IFERROR(INDEX(DATABASE!$C$4:$C$2003,MATCH($B100,DATABASE!$Z$4:$Z$2003,0))&amp;"","")</f>
        <v/>
      </c>
      <c r="E100" s="49" t="str">
        <f aca="false">IFERROR(INDEX(DATABASE!$E$4:$E$2003,MATCH($B100,DATABASE!$Z$4:$Z$2003,0))&amp;"","")</f>
        <v/>
      </c>
      <c r="F100" s="49" t="str">
        <f aca="false">IFERROR(INDEX(DATABASE!$F$4:$F$2003,MATCH($B100,DATABASE!$Z$4:$Z$2003,0))&amp;"","")</f>
        <v/>
      </c>
      <c r="G100" s="51" t="str">
        <f aca="false">IFERROR(INDEX(DATABASE!$G$4:$G$2003,MATCH($B100,DATABASE!$Z$4:$Z$2003,0))&amp;"","")</f>
        <v/>
      </c>
      <c r="H100" s="50" t="str">
        <f aca="false">IFERROR(INDEX(DATABASE!$N$4:$N$2003,MATCH($B100,DATABASE!$Z$4:$Z$2003,0))&amp;"","")</f>
        <v/>
      </c>
      <c r="I100" s="51" t="str">
        <f aca="false">IFERROR(INDEX(DATABASE!$O$4:$O$2003,MATCH($B100,DATABASE!$Z$4:$Z$2003,0))&amp;"","")</f>
        <v/>
      </c>
      <c r="J100" s="49" t="str">
        <f aca="false">IFERROR(INDEX(DATABASE!$T$4:$T$2003,MATCH($B100,DATABASE!$Z$4:$Z$2003,0))&amp;"","")</f>
        <v/>
      </c>
      <c r="K100" s="50" t="str">
        <f aca="false">IFERROR(INDEX(DATABASE!$I$4:$I$2003,MATCH($B100,DATABASE!$Z$4:$Z$2003,0))&amp;"","")</f>
        <v/>
      </c>
    </row>
    <row r="101" customFormat="false" ht="15" hidden="false" customHeight="false" outlineLevel="0" collapsed="false">
      <c r="B101" s="46" t="n">
        <v>89</v>
      </c>
      <c r="C101" s="47" t="str">
        <f aca="false">IFERROR(INDEX(DATABASE!$B$4:$B$2003,MATCH($B101,DATABASE!$Z$4:$Z$2003,0))&amp;"","")</f>
        <v/>
      </c>
      <c r="D101" s="48" t="str">
        <f aca="false">IFERROR(INDEX(DATABASE!$C$4:$C$2003,MATCH($B101,DATABASE!$Z$4:$Z$2003,0))&amp;"","")</f>
        <v/>
      </c>
      <c r="E101" s="46" t="str">
        <f aca="false">IFERROR(INDEX(DATABASE!$E$4:$E$2003,MATCH($B101,DATABASE!$Z$4:$Z$2003,0))&amp;"","")</f>
        <v/>
      </c>
      <c r="F101" s="46" t="str">
        <f aca="false">IFERROR(INDEX(DATABASE!$F$4:$F$2003,MATCH($B101,DATABASE!$Z$4:$Z$2003,0))&amp;"","")</f>
        <v/>
      </c>
      <c r="G101" s="48" t="str">
        <f aca="false">IFERROR(INDEX(DATABASE!$G$4:$G$2003,MATCH($B101,DATABASE!$Z$4:$Z$2003,0))&amp;"","")</f>
        <v/>
      </c>
      <c r="H101" s="47" t="str">
        <f aca="false">IFERROR(INDEX(DATABASE!$N$4:$N$2003,MATCH($B101,DATABASE!$Z$4:$Z$2003,0))&amp;"","")</f>
        <v/>
      </c>
      <c r="I101" s="48" t="str">
        <f aca="false">IFERROR(INDEX(DATABASE!$O$4:$O$2003,MATCH($B101,DATABASE!$Z$4:$Z$2003,0))&amp;"","")</f>
        <v/>
      </c>
      <c r="J101" s="46" t="str">
        <f aca="false">IFERROR(INDEX(DATABASE!$T$4:$T$2003,MATCH($B101,DATABASE!$Z$4:$Z$2003,0))&amp;"","")</f>
        <v/>
      </c>
      <c r="K101" s="47" t="str">
        <f aca="false">IFERROR(INDEX(DATABASE!$I$4:$I$2003,MATCH($B101,DATABASE!$Z$4:$Z$2003,0))&amp;"","")</f>
        <v/>
      </c>
    </row>
    <row r="102" customFormat="false" ht="15" hidden="false" customHeight="false" outlineLevel="0" collapsed="false">
      <c r="B102" s="49" t="n">
        <v>90</v>
      </c>
      <c r="C102" s="50" t="str">
        <f aca="false">IFERROR(INDEX(DATABASE!$B$4:$B$2003,MATCH($B102,DATABASE!$Z$4:$Z$2003,0))&amp;"","")</f>
        <v/>
      </c>
      <c r="D102" s="51" t="str">
        <f aca="false">IFERROR(INDEX(DATABASE!$C$4:$C$2003,MATCH($B102,DATABASE!$Z$4:$Z$2003,0))&amp;"","")</f>
        <v/>
      </c>
      <c r="E102" s="49" t="str">
        <f aca="false">IFERROR(INDEX(DATABASE!$E$4:$E$2003,MATCH($B102,DATABASE!$Z$4:$Z$2003,0))&amp;"","")</f>
        <v/>
      </c>
      <c r="F102" s="49" t="str">
        <f aca="false">IFERROR(INDEX(DATABASE!$F$4:$F$2003,MATCH($B102,DATABASE!$Z$4:$Z$2003,0))&amp;"","")</f>
        <v/>
      </c>
      <c r="G102" s="51" t="str">
        <f aca="false">IFERROR(INDEX(DATABASE!$G$4:$G$2003,MATCH($B102,DATABASE!$Z$4:$Z$2003,0))&amp;"","")</f>
        <v/>
      </c>
      <c r="H102" s="50" t="str">
        <f aca="false">IFERROR(INDEX(DATABASE!$N$4:$N$2003,MATCH($B102,DATABASE!$Z$4:$Z$2003,0))&amp;"","")</f>
        <v/>
      </c>
      <c r="I102" s="51" t="str">
        <f aca="false">IFERROR(INDEX(DATABASE!$O$4:$O$2003,MATCH($B102,DATABASE!$Z$4:$Z$2003,0))&amp;"","")</f>
        <v/>
      </c>
      <c r="J102" s="49" t="str">
        <f aca="false">IFERROR(INDEX(DATABASE!$T$4:$T$2003,MATCH($B102,DATABASE!$Z$4:$Z$2003,0))&amp;"","")</f>
        <v/>
      </c>
      <c r="K102" s="50" t="str">
        <f aca="false">IFERROR(INDEX(DATABASE!$I$4:$I$2003,MATCH($B102,DATABASE!$Z$4:$Z$2003,0))&amp;"","")</f>
        <v/>
      </c>
    </row>
    <row r="103" customFormat="false" ht="15" hidden="false" customHeight="false" outlineLevel="0" collapsed="false">
      <c r="B103" s="46" t="n">
        <v>91</v>
      </c>
      <c r="C103" s="47" t="str">
        <f aca="false">IFERROR(INDEX(DATABASE!$B$4:$B$2003,MATCH($B103,DATABASE!$Z$4:$Z$2003,0))&amp;"","")</f>
        <v/>
      </c>
      <c r="D103" s="48" t="str">
        <f aca="false">IFERROR(INDEX(DATABASE!$C$4:$C$2003,MATCH($B103,DATABASE!$Z$4:$Z$2003,0))&amp;"","")</f>
        <v/>
      </c>
      <c r="E103" s="46" t="str">
        <f aca="false">IFERROR(INDEX(DATABASE!$E$4:$E$2003,MATCH($B103,DATABASE!$Z$4:$Z$2003,0))&amp;"","")</f>
        <v/>
      </c>
      <c r="F103" s="46" t="str">
        <f aca="false">IFERROR(INDEX(DATABASE!$F$4:$F$2003,MATCH($B103,DATABASE!$Z$4:$Z$2003,0))&amp;"","")</f>
        <v/>
      </c>
      <c r="G103" s="48" t="str">
        <f aca="false">IFERROR(INDEX(DATABASE!$G$4:$G$2003,MATCH($B103,DATABASE!$Z$4:$Z$2003,0))&amp;"","")</f>
        <v/>
      </c>
      <c r="H103" s="47" t="str">
        <f aca="false">IFERROR(INDEX(DATABASE!$N$4:$N$2003,MATCH($B103,DATABASE!$Z$4:$Z$2003,0))&amp;"","")</f>
        <v/>
      </c>
      <c r="I103" s="48" t="str">
        <f aca="false">IFERROR(INDEX(DATABASE!$O$4:$O$2003,MATCH($B103,DATABASE!$Z$4:$Z$2003,0))&amp;"","")</f>
        <v/>
      </c>
      <c r="J103" s="46" t="str">
        <f aca="false">IFERROR(INDEX(DATABASE!$T$4:$T$2003,MATCH($B103,DATABASE!$Z$4:$Z$2003,0))&amp;"","")</f>
        <v/>
      </c>
      <c r="K103" s="47" t="str">
        <f aca="false">IFERROR(INDEX(DATABASE!$I$4:$I$2003,MATCH($B103,DATABASE!$Z$4:$Z$2003,0))&amp;"","")</f>
        <v/>
      </c>
    </row>
    <row r="104" customFormat="false" ht="15" hidden="false" customHeight="false" outlineLevel="0" collapsed="false">
      <c r="B104" s="49" t="n">
        <v>92</v>
      </c>
      <c r="C104" s="50" t="str">
        <f aca="false">IFERROR(INDEX(DATABASE!$B$4:$B$2003,MATCH($B104,DATABASE!$Z$4:$Z$2003,0))&amp;"","")</f>
        <v/>
      </c>
      <c r="D104" s="51" t="str">
        <f aca="false">IFERROR(INDEX(DATABASE!$C$4:$C$2003,MATCH($B104,DATABASE!$Z$4:$Z$2003,0))&amp;"","")</f>
        <v/>
      </c>
      <c r="E104" s="49" t="str">
        <f aca="false">IFERROR(INDEX(DATABASE!$E$4:$E$2003,MATCH($B104,DATABASE!$Z$4:$Z$2003,0))&amp;"","")</f>
        <v/>
      </c>
      <c r="F104" s="49" t="str">
        <f aca="false">IFERROR(INDEX(DATABASE!$F$4:$F$2003,MATCH($B104,DATABASE!$Z$4:$Z$2003,0))&amp;"","")</f>
        <v/>
      </c>
      <c r="G104" s="51" t="str">
        <f aca="false">IFERROR(INDEX(DATABASE!$G$4:$G$2003,MATCH($B104,DATABASE!$Z$4:$Z$2003,0))&amp;"","")</f>
        <v/>
      </c>
      <c r="H104" s="50" t="str">
        <f aca="false">IFERROR(INDEX(DATABASE!$N$4:$N$2003,MATCH($B104,DATABASE!$Z$4:$Z$2003,0))&amp;"","")</f>
        <v/>
      </c>
      <c r="I104" s="51" t="str">
        <f aca="false">IFERROR(INDEX(DATABASE!$O$4:$O$2003,MATCH($B104,DATABASE!$Z$4:$Z$2003,0))&amp;"","")</f>
        <v/>
      </c>
      <c r="J104" s="49" t="str">
        <f aca="false">IFERROR(INDEX(DATABASE!$T$4:$T$2003,MATCH($B104,DATABASE!$Z$4:$Z$2003,0))&amp;"","")</f>
        <v/>
      </c>
      <c r="K104" s="50" t="str">
        <f aca="false">IFERROR(INDEX(DATABASE!$I$4:$I$2003,MATCH($B104,DATABASE!$Z$4:$Z$2003,0))&amp;"","")</f>
        <v/>
      </c>
    </row>
    <row r="105" customFormat="false" ht="15" hidden="false" customHeight="false" outlineLevel="0" collapsed="false">
      <c r="B105" s="46" t="n">
        <v>93</v>
      </c>
      <c r="C105" s="47" t="str">
        <f aca="false">IFERROR(INDEX(DATABASE!$B$4:$B$2003,MATCH($B105,DATABASE!$Z$4:$Z$2003,0))&amp;"","")</f>
        <v/>
      </c>
      <c r="D105" s="48" t="str">
        <f aca="false">IFERROR(INDEX(DATABASE!$C$4:$C$2003,MATCH($B105,DATABASE!$Z$4:$Z$2003,0))&amp;"","")</f>
        <v/>
      </c>
      <c r="E105" s="46" t="str">
        <f aca="false">IFERROR(INDEX(DATABASE!$E$4:$E$2003,MATCH($B105,DATABASE!$Z$4:$Z$2003,0))&amp;"","")</f>
        <v/>
      </c>
      <c r="F105" s="46" t="str">
        <f aca="false">IFERROR(INDEX(DATABASE!$F$4:$F$2003,MATCH($B105,DATABASE!$Z$4:$Z$2003,0))&amp;"","")</f>
        <v/>
      </c>
      <c r="G105" s="48" t="str">
        <f aca="false">IFERROR(INDEX(DATABASE!$G$4:$G$2003,MATCH($B105,DATABASE!$Z$4:$Z$2003,0))&amp;"","")</f>
        <v/>
      </c>
      <c r="H105" s="47" t="str">
        <f aca="false">IFERROR(INDEX(DATABASE!$N$4:$N$2003,MATCH($B105,DATABASE!$Z$4:$Z$2003,0))&amp;"","")</f>
        <v/>
      </c>
      <c r="I105" s="48" t="str">
        <f aca="false">IFERROR(INDEX(DATABASE!$O$4:$O$2003,MATCH($B105,DATABASE!$Z$4:$Z$2003,0))&amp;"","")</f>
        <v/>
      </c>
      <c r="J105" s="46" t="str">
        <f aca="false">IFERROR(INDEX(DATABASE!$T$4:$T$2003,MATCH($B105,DATABASE!$Z$4:$Z$2003,0))&amp;"","")</f>
        <v/>
      </c>
      <c r="K105" s="47" t="str">
        <f aca="false">IFERROR(INDEX(DATABASE!$I$4:$I$2003,MATCH($B105,DATABASE!$Z$4:$Z$2003,0))&amp;"","")</f>
        <v/>
      </c>
    </row>
    <row r="106" customFormat="false" ht="15" hidden="false" customHeight="false" outlineLevel="0" collapsed="false">
      <c r="B106" s="49" t="n">
        <v>94</v>
      </c>
      <c r="C106" s="50" t="str">
        <f aca="false">IFERROR(INDEX(DATABASE!$B$4:$B$2003,MATCH($B106,DATABASE!$Z$4:$Z$2003,0))&amp;"","")</f>
        <v/>
      </c>
      <c r="D106" s="51" t="str">
        <f aca="false">IFERROR(INDEX(DATABASE!$C$4:$C$2003,MATCH($B106,DATABASE!$Z$4:$Z$2003,0))&amp;"","")</f>
        <v/>
      </c>
      <c r="E106" s="49" t="str">
        <f aca="false">IFERROR(INDEX(DATABASE!$E$4:$E$2003,MATCH($B106,DATABASE!$Z$4:$Z$2003,0))&amp;"","")</f>
        <v/>
      </c>
      <c r="F106" s="49" t="str">
        <f aca="false">IFERROR(INDEX(DATABASE!$F$4:$F$2003,MATCH($B106,DATABASE!$Z$4:$Z$2003,0))&amp;"","")</f>
        <v/>
      </c>
      <c r="G106" s="51" t="str">
        <f aca="false">IFERROR(INDEX(DATABASE!$G$4:$G$2003,MATCH($B106,DATABASE!$Z$4:$Z$2003,0))&amp;"","")</f>
        <v/>
      </c>
      <c r="H106" s="50" t="str">
        <f aca="false">IFERROR(INDEX(DATABASE!$N$4:$N$2003,MATCH($B106,DATABASE!$Z$4:$Z$2003,0))&amp;"","")</f>
        <v/>
      </c>
      <c r="I106" s="51" t="str">
        <f aca="false">IFERROR(INDEX(DATABASE!$O$4:$O$2003,MATCH($B106,DATABASE!$Z$4:$Z$2003,0))&amp;"","")</f>
        <v/>
      </c>
      <c r="J106" s="49" t="str">
        <f aca="false">IFERROR(INDEX(DATABASE!$T$4:$T$2003,MATCH($B106,DATABASE!$Z$4:$Z$2003,0))&amp;"","")</f>
        <v/>
      </c>
      <c r="K106" s="50" t="str">
        <f aca="false">IFERROR(INDEX(DATABASE!$I$4:$I$2003,MATCH($B106,DATABASE!$Z$4:$Z$2003,0))&amp;"","")</f>
        <v/>
      </c>
    </row>
    <row r="107" customFormat="false" ht="15" hidden="false" customHeight="false" outlineLevel="0" collapsed="false">
      <c r="B107" s="46" t="n">
        <v>95</v>
      </c>
      <c r="C107" s="47" t="str">
        <f aca="false">IFERROR(INDEX(DATABASE!$B$4:$B$2003,MATCH($B107,DATABASE!$Z$4:$Z$2003,0))&amp;"","")</f>
        <v/>
      </c>
      <c r="D107" s="48" t="str">
        <f aca="false">IFERROR(INDEX(DATABASE!$C$4:$C$2003,MATCH($B107,DATABASE!$Z$4:$Z$2003,0))&amp;"","")</f>
        <v/>
      </c>
      <c r="E107" s="46" t="str">
        <f aca="false">IFERROR(INDEX(DATABASE!$E$4:$E$2003,MATCH($B107,DATABASE!$Z$4:$Z$2003,0))&amp;"","")</f>
        <v/>
      </c>
      <c r="F107" s="46" t="str">
        <f aca="false">IFERROR(INDEX(DATABASE!$F$4:$F$2003,MATCH($B107,DATABASE!$Z$4:$Z$2003,0))&amp;"","")</f>
        <v/>
      </c>
      <c r="G107" s="48" t="str">
        <f aca="false">IFERROR(INDEX(DATABASE!$G$4:$G$2003,MATCH($B107,DATABASE!$Z$4:$Z$2003,0))&amp;"","")</f>
        <v/>
      </c>
      <c r="H107" s="47" t="str">
        <f aca="false">IFERROR(INDEX(DATABASE!$N$4:$N$2003,MATCH($B107,DATABASE!$Z$4:$Z$2003,0))&amp;"","")</f>
        <v/>
      </c>
      <c r="I107" s="48" t="str">
        <f aca="false">IFERROR(INDEX(DATABASE!$O$4:$O$2003,MATCH($B107,DATABASE!$Z$4:$Z$2003,0))&amp;"","")</f>
        <v/>
      </c>
      <c r="J107" s="46" t="str">
        <f aca="false">IFERROR(INDEX(DATABASE!$T$4:$T$2003,MATCH($B107,DATABASE!$Z$4:$Z$2003,0))&amp;"","")</f>
        <v/>
      </c>
      <c r="K107" s="47" t="str">
        <f aca="false">IFERROR(INDEX(DATABASE!$I$4:$I$2003,MATCH($B107,DATABASE!$Z$4:$Z$2003,0))&amp;"","")</f>
        <v/>
      </c>
    </row>
    <row r="108" customFormat="false" ht="15" hidden="false" customHeight="false" outlineLevel="0" collapsed="false">
      <c r="B108" s="49" t="n">
        <v>96</v>
      </c>
      <c r="C108" s="50" t="str">
        <f aca="false">IFERROR(INDEX(DATABASE!$B$4:$B$2003,MATCH($B108,DATABASE!$Z$4:$Z$2003,0))&amp;"","")</f>
        <v/>
      </c>
      <c r="D108" s="51" t="str">
        <f aca="false">IFERROR(INDEX(DATABASE!$C$4:$C$2003,MATCH($B108,DATABASE!$Z$4:$Z$2003,0))&amp;"","")</f>
        <v/>
      </c>
      <c r="E108" s="49" t="str">
        <f aca="false">IFERROR(INDEX(DATABASE!$E$4:$E$2003,MATCH($B108,DATABASE!$Z$4:$Z$2003,0))&amp;"","")</f>
        <v/>
      </c>
      <c r="F108" s="49" t="str">
        <f aca="false">IFERROR(INDEX(DATABASE!$F$4:$F$2003,MATCH($B108,DATABASE!$Z$4:$Z$2003,0))&amp;"","")</f>
        <v/>
      </c>
      <c r="G108" s="51" t="str">
        <f aca="false">IFERROR(INDEX(DATABASE!$G$4:$G$2003,MATCH($B108,DATABASE!$Z$4:$Z$2003,0))&amp;"","")</f>
        <v/>
      </c>
      <c r="H108" s="50" t="str">
        <f aca="false">IFERROR(INDEX(DATABASE!$N$4:$N$2003,MATCH($B108,DATABASE!$Z$4:$Z$2003,0))&amp;"","")</f>
        <v/>
      </c>
      <c r="I108" s="51" t="str">
        <f aca="false">IFERROR(INDEX(DATABASE!$O$4:$O$2003,MATCH($B108,DATABASE!$Z$4:$Z$2003,0))&amp;"","")</f>
        <v/>
      </c>
      <c r="J108" s="49" t="str">
        <f aca="false">IFERROR(INDEX(DATABASE!$T$4:$T$2003,MATCH($B108,DATABASE!$Z$4:$Z$2003,0))&amp;"","")</f>
        <v/>
      </c>
      <c r="K108" s="50" t="str">
        <f aca="false">IFERROR(INDEX(DATABASE!$I$4:$I$2003,MATCH($B108,DATABASE!$Z$4:$Z$2003,0))&amp;"","")</f>
        <v/>
      </c>
    </row>
    <row r="109" customFormat="false" ht="15" hidden="false" customHeight="false" outlineLevel="0" collapsed="false">
      <c r="B109" s="46" t="n">
        <v>97</v>
      </c>
      <c r="C109" s="47" t="str">
        <f aca="false">IFERROR(INDEX(DATABASE!$B$4:$B$2003,MATCH($B109,DATABASE!$Z$4:$Z$2003,0))&amp;"","")</f>
        <v/>
      </c>
      <c r="D109" s="48" t="str">
        <f aca="false">IFERROR(INDEX(DATABASE!$C$4:$C$2003,MATCH($B109,DATABASE!$Z$4:$Z$2003,0))&amp;"","")</f>
        <v/>
      </c>
      <c r="E109" s="46" t="str">
        <f aca="false">IFERROR(INDEX(DATABASE!$E$4:$E$2003,MATCH($B109,DATABASE!$Z$4:$Z$2003,0))&amp;"","")</f>
        <v/>
      </c>
      <c r="F109" s="46" t="str">
        <f aca="false">IFERROR(INDEX(DATABASE!$F$4:$F$2003,MATCH($B109,DATABASE!$Z$4:$Z$2003,0))&amp;"","")</f>
        <v/>
      </c>
      <c r="G109" s="48" t="str">
        <f aca="false">IFERROR(INDEX(DATABASE!$G$4:$G$2003,MATCH($B109,DATABASE!$Z$4:$Z$2003,0))&amp;"","")</f>
        <v/>
      </c>
      <c r="H109" s="47" t="str">
        <f aca="false">IFERROR(INDEX(DATABASE!$N$4:$N$2003,MATCH($B109,DATABASE!$Z$4:$Z$2003,0))&amp;"","")</f>
        <v/>
      </c>
      <c r="I109" s="48" t="str">
        <f aca="false">IFERROR(INDEX(DATABASE!$O$4:$O$2003,MATCH($B109,DATABASE!$Z$4:$Z$2003,0))&amp;"","")</f>
        <v/>
      </c>
      <c r="J109" s="46" t="str">
        <f aca="false">IFERROR(INDEX(DATABASE!$T$4:$T$2003,MATCH($B109,DATABASE!$Z$4:$Z$2003,0))&amp;"","")</f>
        <v/>
      </c>
      <c r="K109" s="47" t="str">
        <f aca="false">IFERROR(INDEX(DATABASE!$I$4:$I$2003,MATCH($B109,DATABASE!$Z$4:$Z$2003,0))&amp;"","")</f>
        <v/>
      </c>
    </row>
    <row r="110" customFormat="false" ht="15" hidden="false" customHeight="false" outlineLevel="0" collapsed="false">
      <c r="B110" s="49" t="n">
        <v>98</v>
      </c>
      <c r="C110" s="50" t="str">
        <f aca="false">IFERROR(INDEX(DATABASE!$B$4:$B$2003,MATCH($B110,DATABASE!$Z$4:$Z$2003,0))&amp;"","")</f>
        <v/>
      </c>
      <c r="D110" s="51" t="str">
        <f aca="false">IFERROR(INDEX(DATABASE!$C$4:$C$2003,MATCH($B110,DATABASE!$Z$4:$Z$2003,0))&amp;"","")</f>
        <v/>
      </c>
      <c r="E110" s="49" t="str">
        <f aca="false">IFERROR(INDEX(DATABASE!$E$4:$E$2003,MATCH($B110,DATABASE!$Z$4:$Z$2003,0))&amp;"","")</f>
        <v/>
      </c>
      <c r="F110" s="49" t="str">
        <f aca="false">IFERROR(INDEX(DATABASE!$F$4:$F$2003,MATCH($B110,DATABASE!$Z$4:$Z$2003,0))&amp;"","")</f>
        <v/>
      </c>
      <c r="G110" s="51" t="str">
        <f aca="false">IFERROR(INDEX(DATABASE!$G$4:$G$2003,MATCH($B110,DATABASE!$Z$4:$Z$2003,0))&amp;"","")</f>
        <v/>
      </c>
      <c r="H110" s="50" t="str">
        <f aca="false">IFERROR(INDEX(DATABASE!$N$4:$N$2003,MATCH($B110,DATABASE!$Z$4:$Z$2003,0))&amp;"","")</f>
        <v/>
      </c>
      <c r="I110" s="51" t="str">
        <f aca="false">IFERROR(INDEX(DATABASE!$O$4:$O$2003,MATCH($B110,DATABASE!$Z$4:$Z$2003,0))&amp;"","")</f>
        <v/>
      </c>
      <c r="J110" s="49" t="str">
        <f aca="false">IFERROR(INDEX(DATABASE!$T$4:$T$2003,MATCH($B110,DATABASE!$Z$4:$Z$2003,0))&amp;"","")</f>
        <v/>
      </c>
      <c r="K110" s="50" t="str">
        <f aca="false">IFERROR(INDEX(DATABASE!$I$4:$I$2003,MATCH($B110,DATABASE!$Z$4:$Z$2003,0))&amp;"","")</f>
        <v/>
      </c>
    </row>
    <row r="111" customFormat="false" ht="15" hidden="false" customHeight="false" outlineLevel="0" collapsed="false">
      <c r="B111" s="46" t="n">
        <v>99</v>
      </c>
      <c r="C111" s="47" t="str">
        <f aca="false">IFERROR(INDEX(DATABASE!$B$4:$B$2003,MATCH($B111,DATABASE!$Z$4:$Z$2003,0))&amp;"","")</f>
        <v/>
      </c>
      <c r="D111" s="48" t="str">
        <f aca="false">IFERROR(INDEX(DATABASE!$C$4:$C$2003,MATCH($B111,DATABASE!$Z$4:$Z$2003,0))&amp;"","")</f>
        <v/>
      </c>
      <c r="E111" s="46" t="str">
        <f aca="false">IFERROR(INDEX(DATABASE!$E$4:$E$2003,MATCH($B111,DATABASE!$Z$4:$Z$2003,0))&amp;"","")</f>
        <v/>
      </c>
      <c r="F111" s="46" t="str">
        <f aca="false">IFERROR(INDEX(DATABASE!$F$4:$F$2003,MATCH($B111,DATABASE!$Z$4:$Z$2003,0))&amp;"","")</f>
        <v/>
      </c>
      <c r="G111" s="48" t="str">
        <f aca="false">IFERROR(INDEX(DATABASE!$G$4:$G$2003,MATCH($B111,DATABASE!$Z$4:$Z$2003,0))&amp;"","")</f>
        <v/>
      </c>
      <c r="H111" s="47" t="str">
        <f aca="false">IFERROR(INDEX(DATABASE!$N$4:$N$2003,MATCH($B111,DATABASE!$Z$4:$Z$2003,0))&amp;"","")</f>
        <v/>
      </c>
      <c r="I111" s="48" t="str">
        <f aca="false">IFERROR(INDEX(DATABASE!$O$4:$O$2003,MATCH($B111,DATABASE!$Z$4:$Z$2003,0))&amp;"","")</f>
        <v/>
      </c>
      <c r="J111" s="46" t="str">
        <f aca="false">IFERROR(INDEX(DATABASE!$T$4:$T$2003,MATCH($B111,DATABASE!$Z$4:$Z$2003,0))&amp;"","")</f>
        <v/>
      </c>
      <c r="K111" s="47" t="str">
        <f aca="false">IFERROR(INDEX(DATABASE!$I$4:$I$2003,MATCH($B111,DATABASE!$Z$4:$Z$2003,0))&amp;"","")</f>
        <v/>
      </c>
    </row>
    <row r="112" customFormat="false" ht="15" hidden="false" customHeight="false" outlineLevel="0" collapsed="false">
      <c r="B112" s="49" t="n">
        <v>100</v>
      </c>
      <c r="C112" s="50" t="str">
        <f aca="false">IFERROR(INDEX(DATABASE!$B$4:$B$2003,MATCH($B112,DATABASE!$Z$4:$Z$2003,0))&amp;"","")</f>
        <v/>
      </c>
      <c r="D112" s="51" t="str">
        <f aca="false">IFERROR(INDEX(DATABASE!$C$4:$C$2003,MATCH($B112,DATABASE!$Z$4:$Z$2003,0))&amp;"","")</f>
        <v/>
      </c>
      <c r="E112" s="49" t="str">
        <f aca="false">IFERROR(INDEX(DATABASE!$E$4:$E$2003,MATCH($B112,DATABASE!$Z$4:$Z$2003,0))&amp;"","")</f>
        <v/>
      </c>
      <c r="F112" s="49" t="str">
        <f aca="false">IFERROR(INDEX(DATABASE!$F$4:$F$2003,MATCH($B112,DATABASE!$Z$4:$Z$2003,0))&amp;"","")</f>
        <v/>
      </c>
      <c r="G112" s="51" t="str">
        <f aca="false">IFERROR(INDEX(DATABASE!$G$4:$G$2003,MATCH($B112,DATABASE!$Z$4:$Z$2003,0))&amp;"","")</f>
        <v/>
      </c>
      <c r="H112" s="50" t="str">
        <f aca="false">IFERROR(INDEX(DATABASE!$N$4:$N$2003,MATCH($B112,DATABASE!$Z$4:$Z$2003,0))&amp;"","")</f>
        <v/>
      </c>
      <c r="I112" s="51" t="str">
        <f aca="false">IFERROR(INDEX(DATABASE!$O$4:$O$2003,MATCH($B112,DATABASE!$Z$4:$Z$2003,0))&amp;"","")</f>
        <v/>
      </c>
      <c r="J112" s="49" t="str">
        <f aca="false">IFERROR(INDEX(DATABASE!$T$4:$T$2003,MATCH($B112,DATABASE!$Z$4:$Z$2003,0))&amp;"","")</f>
        <v/>
      </c>
      <c r="K112" s="50" t="str">
        <f aca="false">IFERROR(INDEX(DATABASE!$I$4:$I$2003,MATCH($B112,DATABASE!$Z$4:$Z$2003,0))&amp;"","")</f>
        <v/>
      </c>
    </row>
    <row r="113" customFormat="false" ht="15" hidden="false" customHeight="false" outlineLevel="0" collapsed="false">
      <c r="B113" s="46" t="n">
        <v>101</v>
      </c>
      <c r="C113" s="47" t="str">
        <f aca="false">IFERROR(INDEX(DATABASE!$B$4:$B$2003,MATCH($B113,DATABASE!$Z$4:$Z$2003,0))&amp;"","")</f>
        <v/>
      </c>
      <c r="D113" s="48" t="str">
        <f aca="false">IFERROR(INDEX(DATABASE!$C$4:$C$2003,MATCH($B113,DATABASE!$Z$4:$Z$2003,0))&amp;"","")</f>
        <v/>
      </c>
      <c r="E113" s="46" t="str">
        <f aca="false">IFERROR(INDEX(DATABASE!$E$4:$E$2003,MATCH($B113,DATABASE!$Z$4:$Z$2003,0))&amp;"","")</f>
        <v/>
      </c>
      <c r="F113" s="46" t="str">
        <f aca="false">IFERROR(INDEX(DATABASE!$F$4:$F$2003,MATCH($B113,DATABASE!$Z$4:$Z$2003,0))&amp;"","")</f>
        <v/>
      </c>
      <c r="G113" s="48" t="str">
        <f aca="false">IFERROR(INDEX(DATABASE!$G$4:$G$2003,MATCH($B113,DATABASE!$Z$4:$Z$2003,0))&amp;"","")</f>
        <v/>
      </c>
      <c r="H113" s="47" t="str">
        <f aca="false">IFERROR(INDEX(DATABASE!$N$4:$N$2003,MATCH($B113,DATABASE!$Z$4:$Z$2003,0))&amp;"","")</f>
        <v/>
      </c>
      <c r="I113" s="48" t="str">
        <f aca="false">IFERROR(INDEX(DATABASE!$O$4:$O$2003,MATCH($B113,DATABASE!$Z$4:$Z$2003,0))&amp;"","")</f>
        <v/>
      </c>
      <c r="J113" s="46" t="str">
        <f aca="false">IFERROR(INDEX(DATABASE!$T$4:$T$2003,MATCH($B113,DATABASE!$Z$4:$Z$2003,0))&amp;"","")</f>
        <v/>
      </c>
      <c r="K113" s="47" t="str">
        <f aca="false">IFERROR(INDEX(DATABASE!$I$4:$I$2003,MATCH($B113,DATABASE!$Z$4:$Z$2003,0))&amp;"","")</f>
        <v/>
      </c>
    </row>
    <row r="114" customFormat="false" ht="15" hidden="false" customHeight="false" outlineLevel="0" collapsed="false">
      <c r="B114" s="49" t="n">
        <v>102</v>
      </c>
      <c r="C114" s="50" t="str">
        <f aca="false">IFERROR(INDEX(DATABASE!$B$4:$B$2003,MATCH($B114,DATABASE!$Z$4:$Z$2003,0))&amp;"","")</f>
        <v/>
      </c>
      <c r="D114" s="51" t="str">
        <f aca="false">IFERROR(INDEX(DATABASE!$C$4:$C$2003,MATCH($B114,DATABASE!$Z$4:$Z$2003,0))&amp;"","")</f>
        <v/>
      </c>
      <c r="E114" s="49" t="str">
        <f aca="false">IFERROR(INDEX(DATABASE!$E$4:$E$2003,MATCH($B114,DATABASE!$Z$4:$Z$2003,0))&amp;"","")</f>
        <v/>
      </c>
      <c r="F114" s="49" t="str">
        <f aca="false">IFERROR(INDEX(DATABASE!$F$4:$F$2003,MATCH($B114,DATABASE!$Z$4:$Z$2003,0))&amp;"","")</f>
        <v/>
      </c>
      <c r="G114" s="51" t="str">
        <f aca="false">IFERROR(INDEX(DATABASE!$G$4:$G$2003,MATCH($B114,DATABASE!$Z$4:$Z$2003,0))&amp;"","")</f>
        <v/>
      </c>
      <c r="H114" s="50" t="str">
        <f aca="false">IFERROR(INDEX(DATABASE!$N$4:$N$2003,MATCH($B114,DATABASE!$Z$4:$Z$2003,0))&amp;"","")</f>
        <v/>
      </c>
      <c r="I114" s="51" t="str">
        <f aca="false">IFERROR(INDEX(DATABASE!$O$4:$O$2003,MATCH($B114,DATABASE!$Z$4:$Z$2003,0))&amp;"","")</f>
        <v/>
      </c>
      <c r="J114" s="49" t="str">
        <f aca="false">IFERROR(INDEX(DATABASE!$T$4:$T$2003,MATCH($B114,DATABASE!$Z$4:$Z$2003,0))&amp;"","")</f>
        <v/>
      </c>
      <c r="K114" s="50" t="str">
        <f aca="false">IFERROR(INDEX(DATABASE!$I$4:$I$2003,MATCH($B114,DATABASE!$Z$4:$Z$2003,0))&amp;"","")</f>
        <v/>
      </c>
    </row>
    <row r="115" customFormat="false" ht="15" hidden="false" customHeight="false" outlineLevel="0" collapsed="false">
      <c r="B115" s="46" t="n">
        <v>103</v>
      </c>
      <c r="C115" s="47" t="str">
        <f aca="false">IFERROR(INDEX(DATABASE!$B$4:$B$2003,MATCH($B115,DATABASE!$Z$4:$Z$2003,0))&amp;"","")</f>
        <v/>
      </c>
      <c r="D115" s="48" t="str">
        <f aca="false">IFERROR(INDEX(DATABASE!$C$4:$C$2003,MATCH($B115,DATABASE!$Z$4:$Z$2003,0))&amp;"","")</f>
        <v/>
      </c>
      <c r="E115" s="46" t="str">
        <f aca="false">IFERROR(INDEX(DATABASE!$E$4:$E$2003,MATCH($B115,DATABASE!$Z$4:$Z$2003,0))&amp;"","")</f>
        <v/>
      </c>
      <c r="F115" s="46" t="str">
        <f aca="false">IFERROR(INDEX(DATABASE!$F$4:$F$2003,MATCH($B115,DATABASE!$Z$4:$Z$2003,0))&amp;"","")</f>
        <v/>
      </c>
      <c r="G115" s="48" t="str">
        <f aca="false">IFERROR(INDEX(DATABASE!$G$4:$G$2003,MATCH($B115,DATABASE!$Z$4:$Z$2003,0))&amp;"","")</f>
        <v/>
      </c>
      <c r="H115" s="47" t="str">
        <f aca="false">IFERROR(INDEX(DATABASE!$N$4:$N$2003,MATCH($B115,DATABASE!$Z$4:$Z$2003,0))&amp;"","")</f>
        <v/>
      </c>
      <c r="I115" s="48" t="str">
        <f aca="false">IFERROR(INDEX(DATABASE!$O$4:$O$2003,MATCH($B115,DATABASE!$Z$4:$Z$2003,0))&amp;"","")</f>
        <v/>
      </c>
      <c r="J115" s="46" t="str">
        <f aca="false">IFERROR(INDEX(DATABASE!$T$4:$T$2003,MATCH($B115,DATABASE!$Z$4:$Z$2003,0))&amp;"","")</f>
        <v/>
      </c>
      <c r="K115" s="47" t="str">
        <f aca="false">IFERROR(INDEX(DATABASE!$I$4:$I$2003,MATCH($B115,DATABASE!$Z$4:$Z$2003,0))&amp;"","")</f>
        <v/>
      </c>
    </row>
    <row r="116" customFormat="false" ht="15" hidden="false" customHeight="false" outlineLevel="0" collapsed="false">
      <c r="B116" s="49" t="n">
        <v>104</v>
      </c>
      <c r="C116" s="50" t="str">
        <f aca="false">IFERROR(INDEX(DATABASE!$B$4:$B$2003,MATCH($B116,DATABASE!$Z$4:$Z$2003,0))&amp;"","")</f>
        <v/>
      </c>
      <c r="D116" s="51" t="str">
        <f aca="false">IFERROR(INDEX(DATABASE!$C$4:$C$2003,MATCH($B116,DATABASE!$Z$4:$Z$2003,0))&amp;"","")</f>
        <v/>
      </c>
      <c r="E116" s="49" t="str">
        <f aca="false">IFERROR(INDEX(DATABASE!$E$4:$E$2003,MATCH($B116,DATABASE!$Z$4:$Z$2003,0))&amp;"","")</f>
        <v/>
      </c>
      <c r="F116" s="49" t="str">
        <f aca="false">IFERROR(INDEX(DATABASE!$F$4:$F$2003,MATCH($B116,DATABASE!$Z$4:$Z$2003,0))&amp;"","")</f>
        <v/>
      </c>
      <c r="G116" s="51" t="str">
        <f aca="false">IFERROR(INDEX(DATABASE!$G$4:$G$2003,MATCH($B116,DATABASE!$Z$4:$Z$2003,0))&amp;"","")</f>
        <v/>
      </c>
      <c r="H116" s="50" t="str">
        <f aca="false">IFERROR(INDEX(DATABASE!$N$4:$N$2003,MATCH($B116,DATABASE!$Z$4:$Z$2003,0))&amp;"","")</f>
        <v/>
      </c>
      <c r="I116" s="51" t="str">
        <f aca="false">IFERROR(INDEX(DATABASE!$O$4:$O$2003,MATCH($B116,DATABASE!$Z$4:$Z$2003,0))&amp;"","")</f>
        <v/>
      </c>
      <c r="J116" s="49" t="str">
        <f aca="false">IFERROR(INDEX(DATABASE!$T$4:$T$2003,MATCH($B116,DATABASE!$Z$4:$Z$2003,0))&amp;"","")</f>
        <v/>
      </c>
      <c r="K116" s="50" t="str">
        <f aca="false">IFERROR(INDEX(DATABASE!$I$4:$I$2003,MATCH($B116,DATABASE!$Z$4:$Z$2003,0))&amp;"","")</f>
        <v/>
      </c>
    </row>
    <row r="117" customFormat="false" ht="15" hidden="false" customHeight="false" outlineLevel="0" collapsed="false">
      <c r="B117" s="46" t="n">
        <v>105</v>
      </c>
      <c r="C117" s="47" t="str">
        <f aca="false">IFERROR(INDEX(DATABASE!$B$4:$B$2003,MATCH($B117,DATABASE!$Z$4:$Z$2003,0))&amp;"","")</f>
        <v/>
      </c>
      <c r="D117" s="48" t="str">
        <f aca="false">IFERROR(INDEX(DATABASE!$C$4:$C$2003,MATCH($B117,DATABASE!$Z$4:$Z$2003,0))&amp;"","")</f>
        <v/>
      </c>
      <c r="E117" s="46" t="str">
        <f aca="false">IFERROR(INDEX(DATABASE!$E$4:$E$2003,MATCH($B117,DATABASE!$Z$4:$Z$2003,0))&amp;"","")</f>
        <v/>
      </c>
      <c r="F117" s="46" t="str">
        <f aca="false">IFERROR(INDEX(DATABASE!$F$4:$F$2003,MATCH($B117,DATABASE!$Z$4:$Z$2003,0))&amp;"","")</f>
        <v/>
      </c>
      <c r="G117" s="48" t="str">
        <f aca="false">IFERROR(INDEX(DATABASE!$G$4:$G$2003,MATCH($B117,DATABASE!$Z$4:$Z$2003,0))&amp;"","")</f>
        <v/>
      </c>
      <c r="H117" s="47" t="str">
        <f aca="false">IFERROR(INDEX(DATABASE!$N$4:$N$2003,MATCH($B117,DATABASE!$Z$4:$Z$2003,0))&amp;"","")</f>
        <v/>
      </c>
      <c r="I117" s="48" t="str">
        <f aca="false">IFERROR(INDEX(DATABASE!$O$4:$O$2003,MATCH($B117,DATABASE!$Z$4:$Z$2003,0))&amp;"","")</f>
        <v/>
      </c>
      <c r="J117" s="46" t="str">
        <f aca="false">IFERROR(INDEX(DATABASE!$T$4:$T$2003,MATCH($B117,DATABASE!$Z$4:$Z$2003,0))&amp;"","")</f>
        <v/>
      </c>
      <c r="K117" s="47" t="str">
        <f aca="false">IFERROR(INDEX(DATABASE!$I$4:$I$2003,MATCH($B117,DATABASE!$Z$4:$Z$2003,0))&amp;"","")</f>
        <v/>
      </c>
    </row>
    <row r="118" customFormat="false" ht="15" hidden="false" customHeight="false" outlineLevel="0" collapsed="false">
      <c r="B118" s="49" t="n">
        <v>106</v>
      </c>
      <c r="C118" s="50" t="str">
        <f aca="false">IFERROR(INDEX(DATABASE!$B$4:$B$2003,MATCH($B118,DATABASE!$Z$4:$Z$2003,0))&amp;"","")</f>
        <v/>
      </c>
      <c r="D118" s="51" t="str">
        <f aca="false">IFERROR(INDEX(DATABASE!$C$4:$C$2003,MATCH($B118,DATABASE!$Z$4:$Z$2003,0))&amp;"","")</f>
        <v/>
      </c>
      <c r="E118" s="49" t="str">
        <f aca="false">IFERROR(INDEX(DATABASE!$E$4:$E$2003,MATCH($B118,DATABASE!$Z$4:$Z$2003,0))&amp;"","")</f>
        <v/>
      </c>
      <c r="F118" s="49" t="str">
        <f aca="false">IFERROR(INDEX(DATABASE!$F$4:$F$2003,MATCH($B118,DATABASE!$Z$4:$Z$2003,0))&amp;"","")</f>
        <v/>
      </c>
      <c r="G118" s="51" t="str">
        <f aca="false">IFERROR(INDEX(DATABASE!$G$4:$G$2003,MATCH($B118,DATABASE!$Z$4:$Z$2003,0))&amp;"","")</f>
        <v/>
      </c>
      <c r="H118" s="50" t="str">
        <f aca="false">IFERROR(INDEX(DATABASE!$N$4:$N$2003,MATCH($B118,DATABASE!$Z$4:$Z$2003,0))&amp;"","")</f>
        <v/>
      </c>
      <c r="I118" s="51" t="str">
        <f aca="false">IFERROR(INDEX(DATABASE!$O$4:$O$2003,MATCH($B118,DATABASE!$Z$4:$Z$2003,0))&amp;"","")</f>
        <v/>
      </c>
      <c r="J118" s="49" t="str">
        <f aca="false">IFERROR(INDEX(DATABASE!$T$4:$T$2003,MATCH($B118,DATABASE!$Z$4:$Z$2003,0))&amp;"","")</f>
        <v/>
      </c>
      <c r="K118" s="50" t="str">
        <f aca="false">IFERROR(INDEX(DATABASE!$I$4:$I$2003,MATCH($B118,DATABASE!$Z$4:$Z$2003,0))&amp;"","")</f>
        <v/>
      </c>
    </row>
    <row r="119" customFormat="false" ht="15" hidden="false" customHeight="false" outlineLevel="0" collapsed="false">
      <c r="B119" s="46" t="n">
        <v>107</v>
      </c>
      <c r="C119" s="47" t="str">
        <f aca="false">IFERROR(INDEX(DATABASE!$B$4:$B$2003,MATCH($B119,DATABASE!$Z$4:$Z$2003,0))&amp;"","")</f>
        <v/>
      </c>
      <c r="D119" s="48" t="str">
        <f aca="false">IFERROR(INDEX(DATABASE!$C$4:$C$2003,MATCH($B119,DATABASE!$Z$4:$Z$2003,0))&amp;"","")</f>
        <v/>
      </c>
      <c r="E119" s="46" t="str">
        <f aca="false">IFERROR(INDEX(DATABASE!$E$4:$E$2003,MATCH($B119,DATABASE!$Z$4:$Z$2003,0))&amp;"","")</f>
        <v/>
      </c>
      <c r="F119" s="46" t="str">
        <f aca="false">IFERROR(INDEX(DATABASE!$F$4:$F$2003,MATCH($B119,DATABASE!$Z$4:$Z$2003,0))&amp;"","")</f>
        <v/>
      </c>
      <c r="G119" s="48" t="str">
        <f aca="false">IFERROR(INDEX(DATABASE!$G$4:$G$2003,MATCH($B119,DATABASE!$Z$4:$Z$2003,0))&amp;"","")</f>
        <v/>
      </c>
      <c r="H119" s="47" t="str">
        <f aca="false">IFERROR(INDEX(DATABASE!$N$4:$N$2003,MATCH($B119,DATABASE!$Z$4:$Z$2003,0))&amp;"","")</f>
        <v/>
      </c>
      <c r="I119" s="48" t="str">
        <f aca="false">IFERROR(INDEX(DATABASE!$O$4:$O$2003,MATCH($B119,DATABASE!$Z$4:$Z$2003,0))&amp;"","")</f>
        <v/>
      </c>
      <c r="J119" s="46" t="str">
        <f aca="false">IFERROR(INDEX(DATABASE!$T$4:$T$2003,MATCH($B119,DATABASE!$Z$4:$Z$2003,0))&amp;"","")</f>
        <v/>
      </c>
      <c r="K119" s="47" t="str">
        <f aca="false">IFERROR(INDEX(DATABASE!$I$4:$I$2003,MATCH($B119,DATABASE!$Z$4:$Z$2003,0))&amp;"","")</f>
        <v/>
      </c>
    </row>
    <row r="120" customFormat="false" ht="15" hidden="false" customHeight="false" outlineLevel="0" collapsed="false">
      <c r="B120" s="49" t="n">
        <v>108</v>
      </c>
      <c r="C120" s="50" t="str">
        <f aca="false">IFERROR(INDEX(DATABASE!$B$4:$B$2003,MATCH($B120,DATABASE!$Z$4:$Z$2003,0))&amp;"","")</f>
        <v/>
      </c>
      <c r="D120" s="51" t="str">
        <f aca="false">IFERROR(INDEX(DATABASE!$C$4:$C$2003,MATCH($B120,DATABASE!$Z$4:$Z$2003,0))&amp;"","")</f>
        <v/>
      </c>
      <c r="E120" s="49" t="str">
        <f aca="false">IFERROR(INDEX(DATABASE!$E$4:$E$2003,MATCH($B120,DATABASE!$Z$4:$Z$2003,0))&amp;"","")</f>
        <v/>
      </c>
      <c r="F120" s="49" t="str">
        <f aca="false">IFERROR(INDEX(DATABASE!$F$4:$F$2003,MATCH($B120,DATABASE!$Z$4:$Z$2003,0))&amp;"","")</f>
        <v/>
      </c>
      <c r="G120" s="51" t="str">
        <f aca="false">IFERROR(INDEX(DATABASE!$G$4:$G$2003,MATCH($B120,DATABASE!$Z$4:$Z$2003,0))&amp;"","")</f>
        <v/>
      </c>
      <c r="H120" s="50" t="str">
        <f aca="false">IFERROR(INDEX(DATABASE!$N$4:$N$2003,MATCH($B120,DATABASE!$Z$4:$Z$2003,0))&amp;"","")</f>
        <v/>
      </c>
      <c r="I120" s="51" t="str">
        <f aca="false">IFERROR(INDEX(DATABASE!$O$4:$O$2003,MATCH($B120,DATABASE!$Z$4:$Z$2003,0))&amp;"","")</f>
        <v/>
      </c>
      <c r="J120" s="49" t="str">
        <f aca="false">IFERROR(INDEX(DATABASE!$T$4:$T$2003,MATCH($B120,DATABASE!$Z$4:$Z$2003,0))&amp;"","")</f>
        <v/>
      </c>
      <c r="K120" s="50" t="str">
        <f aca="false">IFERROR(INDEX(DATABASE!$I$4:$I$2003,MATCH($B120,DATABASE!$Z$4:$Z$2003,0))&amp;"","")</f>
        <v/>
      </c>
    </row>
    <row r="121" customFormat="false" ht="15" hidden="false" customHeight="false" outlineLevel="0" collapsed="false">
      <c r="B121" s="46" t="n">
        <v>109</v>
      </c>
      <c r="C121" s="47" t="str">
        <f aca="false">IFERROR(INDEX(DATABASE!$B$4:$B$2003,MATCH($B121,DATABASE!$Z$4:$Z$2003,0))&amp;"","")</f>
        <v/>
      </c>
      <c r="D121" s="48" t="str">
        <f aca="false">IFERROR(INDEX(DATABASE!$C$4:$C$2003,MATCH($B121,DATABASE!$Z$4:$Z$2003,0))&amp;"","")</f>
        <v/>
      </c>
      <c r="E121" s="46" t="str">
        <f aca="false">IFERROR(INDEX(DATABASE!$E$4:$E$2003,MATCH($B121,DATABASE!$Z$4:$Z$2003,0))&amp;"","")</f>
        <v/>
      </c>
      <c r="F121" s="46" t="str">
        <f aca="false">IFERROR(INDEX(DATABASE!$F$4:$F$2003,MATCH($B121,DATABASE!$Z$4:$Z$2003,0))&amp;"","")</f>
        <v/>
      </c>
      <c r="G121" s="48" t="str">
        <f aca="false">IFERROR(INDEX(DATABASE!$G$4:$G$2003,MATCH($B121,DATABASE!$Z$4:$Z$2003,0))&amp;"","")</f>
        <v/>
      </c>
      <c r="H121" s="47" t="str">
        <f aca="false">IFERROR(INDEX(DATABASE!$N$4:$N$2003,MATCH($B121,DATABASE!$Z$4:$Z$2003,0))&amp;"","")</f>
        <v/>
      </c>
      <c r="I121" s="48" t="str">
        <f aca="false">IFERROR(INDEX(DATABASE!$O$4:$O$2003,MATCH($B121,DATABASE!$Z$4:$Z$2003,0))&amp;"","")</f>
        <v/>
      </c>
      <c r="J121" s="46" t="str">
        <f aca="false">IFERROR(INDEX(DATABASE!$T$4:$T$2003,MATCH($B121,DATABASE!$Z$4:$Z$2003,0))&amp;"","")</f>
        <v/>
      </c>
      <c r="K121" s="47" t="str">
        <f aca="false">IFERROR(INDEX(DATABASE!$I$4:$I$2003,MATCH($B121,DATABASE!$Z$4:$Z$2003,0))&amp;"","")</f>
        <v/>
      </c>
    </row>
    <row r="122" customFormat="false" ht="15" hidden="false" customHeight="false" outlineLevel="0" collapsed="false">
      <c r="B122" s="49" t="n">
        <v>110</v>
      </c>
      <c r="C122" s="50" t="str">
        <f aca="false">IFERROR(INDEX(DATABASE!$B$4:$B$2003,MATCH($B122,DATABASE!$Z$4:$Z$2003,0))&amp;"","")</f>
        <v/>
      </c>
      <c r="D122" s="51" t="str">
        <f aca="false">IFERROR(INDEX(DATABASE!$C$4:$C$2003,MATCH($B122,DATABASE!$Z$4:$Z$2003,0))&amp;"","")</f>
        <v/>
      </c>
      <c r="E122" s="49" t="str">
        <f aca="false">IFERROR(INDEX(DATABASE!$E$4:$E$2003,MATCH($B122,DATABASE!$Z$4:$Z$2003,0))&amp;"","")</f>
        <v/>
      </c>
      <c r="F122" s="49" t="str">
        <f aca="false">IFERROR(INDEX(DATABASE!$F$4:$F$2003,MATCH($B122,DATABASE!$Z$4:$Z$2003,0))&amp;"","")</f>
        <v/>
      </c>
      <c r="G122" s="51" t="str">
        <f aca="false">IFERROR(INDEX(DATABASE!$G$4:$G$2003,MATCH($B122,DATABASE!$Z$4:$Z$2003,0))&amp;"","")</f>
        <v/>
      </c>
      <c r="H122" s="50" t="str">
        <f aca="false">IFERROR(INDEX(DATABASE!$N$4:$N$2003,MATCH($B122,DATABASE!$Z$4:$Z$2003,0))&amp;"","")</f>
        <v/>
      </c>
      <c r="I122" s="51" t="str">
        <f aca="false">IFERROR(INDEX(DATABASE!$O$4:$O$2003,MATCH($B122,DATABASE!$Z$4:$Z$2003,0))&amp;"","")</f>
        <v/>
      </c>
      <c r="J122" s="49" t="str">
        <f aca="false">IFERROR(INDEX(DATABASE!$T$4:$T$2003,MATCH($B122,DATABASE!$Z$4:$Z$2003,0))&amp;"","")</f>
        <v/>
      </c>
      <c r="K122" s="50" t="str">
        <f aca="false">IFERROR(INDEX(DATABASE!$I$4:$I$2003,MATCH($B122,DATABASE!$Z$4:$Z$2003,0))&amp;"","")</f>
        <v/>
      </c>
    </row>
    <row r="123" customFormat="false" ht="15" hidden="false" customHeight="false" outlineLevel="0" collapsed="false">
      <c r="B123" s="46" t="n">
        <v>111</v>
      </c>
      <c r="C123" s="47" t="str">
        <f aca="false">IFERROR(INDEX(DATABASE!$B$4:$B$2003,MATCH($B123,DATABASE!$Z$4:$Z$2003,0))&amp;"","")</f>
        <v/>
      </c>
      <c r="D123" s="48" t="str">
        <f aca="false">IFERROR(INDEX(DATABASE!$C$4:$C$2003,MATCH($B123,DATABASE!$Z$4:$Z$2003,0))&amp;"","")</f>
        <v/>
      </c>
      <c r="E123" s="46" t="str">
        <f aca="false">IFERROR(INDEX(DATABASE!$E$4:$E$2003,MATCH($B123,DATABASE!$Z$4:$Z$2003,0))&amp;"","")</f>
        <v/>
      </c>
      <c r="F123" s="46" t="str">
        <f aca="false">IFERROR(INDEX(DATABASE!$F$4:$F$2003,MATCH($B123,DATABASE!$Z$4:$Z$2003,0))&amp;"","")</f>
        <v/>
      </c>
      <c r="G123" s="48" t="str">
        <f aca="false">IFERROR(INDEX(DATABASE!$G$4:$G$2003,MATCH($B123,DATABASE!$Z$4:$Z$2003,0))&amp;"","")</f>
        <v/>
      </c>
      <c r="H123" s="47" t="str">
        <f aca="false">IFERROR(INDEX(DATABASE!$N$4:$N$2003,MATCH($B123,DATABASE!$Z$4:$Z$2003,0))&amp;"","")</f>
        <v/>
      </c>
      <c r="I123" s="48" t="str">
        <f aca="false">IFERROR(INDEX(DATABASE!$O$4:$O$2003,MATCH($B123,DATABASE!$Z$4:$Z$2003,0))&amp;"","")</f>
        <v/>
      </c>
      <c r="J123" s="46" t="str">
        <f aca="false">IFERROR(INDEX(DATABASE!$T$4:$T$2003,MATCH($B123,DATABASE!$Z$4:$Z$2003,0))&amp;"","")</f>
        <v/>
      </c>
      <c r="K123" s="47" t="str">
        <f aca="false">IFERROR(INDEX(DATABASE!$I$4:$I$2003,MATCH($B123,DATABASE!$Z$4:$Z$2003,0))&amp;"","")</f>
        <v/>
      </c>
    </row>
    <row r="124" customFormat="false" ht="15" hidden="false" customHeight="false" outlineLevel="0" collapsed="false">
      <c r="B124" s="49" t="n">
        <v>112</v>
      </c>
      <c r="C124" s="50" t="str">
        <f aca="false">IFERROR(INDEX(DATABASE!$B$4:$B$2003,MATCH($B124,DATABASE!$Z$4:$Z$2003,0))&amp;"","")</f>
        <v/>
      </c>
      <c r="D124" s="51" t="str">
        <f aca="false">IFERROR(INDEX(DATABASE!$C$4:$C$2003,MATCH($B124,DATABASE!$Z$4:$Z$2003,0))&amp;"","")</f>
        <v/>
      </c>
      <c r="E124" s="49" t="str">
        <f aca="false">IFERROR(INDEX(DATABASE!$E$4:$E$2003,MATCH($B124,DATABASE!$Z$4:$Z$2003,0))&amp;"","")</f>
        <v/>
      </c>
      <c r="F124" s="49" t="str">
        <f aca="false">IFERROR(INDEX(DATABASE!$F$4:$F$2003,MATCH($B124,DATABASE!$Z$4:$Z$2003,0))&amp;"","")</f>
        <v/>
      </c>
      <c r="G124" s="51" t="str">
        <f aca="false">IFERROR(INDEX(DATABASE!$G$4:$G$2003,MATCH($B124,DATABASE!$Z$4:$Z$2003,0))&amp;"","")</f>
        <v/>
      </c>
      <c r="H124" s="50" t="str">
        <f aca="false">IFERROR(INDEX(DATABASE!$N$4:$N$2003,MATCH($B124,DATABASE!$Z$4:$Z$2003,0))&amp;"","")</f>
        <v/>
      </c>
      <c r="I124" s="51" t="str">
        <f aca="false">IFERROR(INDEX(DATABASE!$O$4:$O$2003,MATCH($B124,DATABASE!$Z$4:$Z$2003,0))&amp;"","")</f>
        <v/>
      </c>
      <c r="J124" s="49" t="str">
        <f aca="false">IFERROR(INDEX(DATABASE!$T$4:$T$2003,MATCH($B124,DATABASE!$Z$4:$Z$2003,0))&amp;"","")</f>
        <v/>
      </c>
      <c r="K124" s="50" t="str">
        <f aca="false">IFERROR(INDEX(DATABASE!$I$4:$I$2003,MATCH($B124,DATABASE!$Z$4:$Z$2003,0))&amp;"","")</f>
        <v/>
      </c>
    </row>
    <row r="125" customFormat="false" ht="15" hidden="false" customHeight="false" outlineLevel="0" collapsed="false">
      <c r="B125" s="46" t="n">
        <v>113</v>
      </c>
      <c r="C125" s="47" t="str">
        <f aca="false">IFERROR(INDEX(DATABASE!$B$4:$B$2003,MATCH($B125,DATABASE!$Z$4:$Z$2003,0))&amp;"","")</f>
        <v/>
      </c>
      <c r="D125" s="48" t="str">
        <f aca="false">IFERROR(INDEX(DATABASE!$C$4:$C$2003,MATCH($B125,DATABASE!$Z$4:$Z$2003,0))&amp;"","")</f>
        <v/>
      </c>
      <c r="E125" s="46" t="str">
        <f aca="false">IFERROR(INDEX(DATABASE!$E$4:$E$2003,MATCH($B125,DATABASE!$Z$4:$Z$2003,0))&amp;"","")</f>
        <v/>
      </c>
      <c r="F125" s="46" t="str">
        <f aca="false">IFERROR(INDEX(DATABASE!$F$4:$F$2003,MATCH($B125,DATABASE!$Z$4:$Z$2003,0))&amp;"","")</f>
        <v/>
      </c>
      <c r="G125" s="48" t="str">
        <f aca="false">IFERROR(INDEX(DATABASE!$G$4:$G$2003,MATCH($B125,DATABASE!$Z$4:$Z$2003,0))&amp;"","")</f>
        <v/>
      </c>
      <c r="H125" s="47" t="str">
        <f aca="false">IFERROR(INDEX(DATABASE!$N$4:$N$2003,MATCH($B125,DATABASE!$Z$4:$Z$2003,0))&amp;"","")</f>
        <v/>
      </c>
      <c r="I125" s="48" t="str">
        <f aca="false">IFERROR(INDEX(DATABASE!$O$4:$O$2003,MATCH($B125,DATABASE!$Z$4:$Z$2003,0))&amp;"","")</f>
        <v/>
      </c>
      <c r="J125" s="46" t="str">
        <f aca="false">IFERROR(INDEX(DATABASE!$T$4:$T$2003,MATCH($B125,DATABASE!$Z$4:$Z$2003,0))&amp;"","")</f>
        <v/>
      </c>
      <c r="K125" s="47" t="str">
        <f aca="false">IFERROR(INDEX(DATABASE!$I$4:$I$2003,MATCH($B125,DATABASE!$Z$4:$Z$2003,0))&amp;"","")</f>
        <v/>
      </c>
    </row>
    <row r="126" customFormat="false" ht="15" hidden="false" customHeight="false" outlineLevel="0" collapsed="false">
      <c r="B126" s="49" t="n">
        <v>114</v>
      </c>
      <c r="C126" s="50" t="str">
        <f aca="false">IFERROR(INDEX(DATABASE!$B$4:$B$2003,MATCH($B126,DATABASE!$Z$4:$Z$2003,0))&amp;"","")</f>
        <v/>
      </c>
      <c r="D126" s="51" t="str">
        <f aca="false">IFERROR(INDEX(DATABASE!$C$4:$C$2003,MATCH($B126,DATABASE!$Z$4:$Z$2003,0))&amp;"","")</f>
        <v/>
      </c>
      <c r="E126" s="49" t="str">
        <f aca="false">IFERROR(INDEX(DATABASE!$E$4:$E$2003,MATCH($B126,DATABASE!$Z$4:$Z$2003,0))&amp;"","")</f>
        <v/>
      </c>
      <c r="F126" s="49" t="str">
        <f aca="false">IFERROR(INDEX(DATABASE!$F$4:$F$2003,MATCH($B126,DATABASE!$Z$4:$Z$2003,0))&amp;"","")</f>
        <v/>
      </c>
      <c r="G126" s="51" t="str">
        <f aca="false">IFERROR(INDEX(DATABASE!$G$4:$G$2003,MATCH($B126,DATABASE!$Z$4:$Z$2003,0))&amp;"","")</f>
        <v/>
      </c>
      <c r="H126" s="50" t="str">
        <f aca="false">IFERROR(INDEX(DATABASE!$N$4:$N$2003,MATCH($B126,DATABASE!$Z$4:$Z$2003,0))&amp;"","")</f>
        <v/>
      </c>
      <c r="I126" s="51" t="str">
        <f aca="false">IFERROR(INDEX(DATABASE!$O$4:$O$2003,MATCH($B126,DATABASE!$Z$4:$Z$2003,0))&amp;"","")</f>
        <v/>
      </c>
      <c r="J126" s="49" t="str">
        <f aca="false">IFERROR(INDEX(DATABASE!$T$4:$T$2003,MATCH($B126,DATABASE!$Z$4:$Z$2003,0))&amp;"","")</f>
        <v/>
      </c>
      <c r="K126" s="50" t="str">
        <f aca="false">IFERROR(INDEX(DATABASE!$I$4:$I$2003,MATCH($B126,DATABASE!$Z$4:$Z$2003,0))&amp;"","")</f>
        <v/>
      </c>
    </row>
    <row r="127" customFormat="false" ht="15" hidden="false" customHeight="false" outlineLevel="0" collapsed="false">
      <c r="B127" s="46" t="n">
        <v>115</v>
      </c>
      <c r="C127" s="47" t="str">
        <f aca="false">IFERROR(INDEX(DATABASE!$B$4:$B$2003,MATCH($B127,DATABASE!$Z$4:$Z$2003,0))&amp;"","")</f>
        <v/>
      </c>
      <c r="D127" s="48" t="str">
        <f aca="false">IFERROR(INDEX(DATABASE!$C$4:$C$2003,MATCH($B127,DATABASE!$Z$4:$Z$2003,0))&amp;"","")</f>
        <v/>
      </c>
      <c r="E127" s="46" t="str">
        <f aca="false">IFERROR(INDEX(DATABASE!$E$4:$E$2003,MATCH($B127,DATABASE!$Z$4:$Z$2003,0))&amp;"","")</f>
        <v/>
      </c>
      <c r="F127" s="46" t="str">
        <f aca="false">IFERROR(INDEX(DATABASE!$F$4:$F$2003,MATCH($B127,DATABASE!$Z$4:$Z$2003,0))&amp;"","")</f>
        <v/>
      </c>
      <c r="G127" s="48" t="str">
        <f aca="false">IFERROR(INDEX(DATABASE!$G$4:$G$2003,MATCH($B127,DATABASE!$Z$4:$Z$2003,0))&amp;"","")</f>
        <v/>
      </c>
      <c r="H127" s="47" t="str">
        <f aca="false">IFERROR(INDEX(DATABASE!$N$4:$N$2003,MATCH($B127,DATABASE!$Z$4:$Z$2003,0))&amp;"","")</f>
        <v/>
      </c>
      <c r="I127" s="48" t="str">
        <f aca="false">IFERROR(INDEX(DATABASE!$O$4:$O$2003,MATCH($B127,DATABASE!$Z$4:$Z$2003,0))&amp;"","")</f>
        <v/>
      </c>
      <c r="J127" s="46" t="str">
        <f aca="false">IFERROR(INDEX(DATABASE!$T$4:$T$2003,MATCH($B127,DATABASE!$Z$4:$Z$2003,0))&amp;"","")</f>
        <v/>
      </c>
      <c r="K127" s="47" t="str">
        <f aca="false">IFERROR(INDEX(DATABASE!$I$4:$I$2003,MATCH($B127,DATABASE!$Z$4:$Z$2003,0))&amp;"","")</f>
        <v/>
      </c>
    </row>
    <row r="128" customFormat="false" ht="15" hidden="false" customHeight="false" outlineLevel="0" collapsed="false">
      <c r="B128" s="49" t="n">
        <v>116</v>
      </c>
      <c r="C128" s="50" t="str">
        <f aca="false">IFERROR(INDEX(DATABASE!$B$4:$B$2003,MATCH($B128,DATABASE!$Z$4:$Z$2003,0))&amp;"","")</f>
        <v/>
      </c>
      <c r="D128" s="51" t="str">
        <f aca="false">IFERROR(INDEX(DATABASE!$C$4:$C$2003,MATCH($B128,DATABASE!$Z$4:$Z$2003,0))&amp;"","")</f>
        <v/>
      </c>
      <c r="E128" s="49" t="str">
        <f aca="false">IFERROR(INDEX(DATABASE!$E$4:$E$2003,MATCH($B128,DATABASE!$Z$4:$Z$2003,0))&amp;"","")</f>
        <v/>
      </c>
      <c r="F128" s="49" t="str">
        <f aca="false">IFERROR(INDEX(DATABASE!$F$4:$F$2003,MATCH($B128,DATABASE!$Z$4:$Z$2003,0))&amp;"","")</f>
        <v/>
      </c>
      <c r="G128" s="51" t="str">
        <f aca="false">IFERROR(INDEX(DATABASE!$G$4:$G$2003,MATCH($B128,DATABASE!$Z$4:$Z$2003,0))&amp;"","")</f>
        <v/>
      </c>
      <c r="H128" s="50" t="str">
        <f aca="false">IFERROR(INDEX(DATABASE!$N$4:$N$2003,MATCH($B128,DATABASE!$Z$4:$Z$2003,0))&amp;"","")</f>
        <v/>
      </c>
      <c r="I128" s="51" t="str">
        <f aca="false">IFERROR(INDEX(DATABASE!$O$4:$O$2003,MATCH($B128,DATABASE!$Z$4:$Z$2003,0))&amp;"","")</f>
        <v/>
      </c>
      <c r="J128" s="49" t="str">
        <f aca="false">IFERROR(INDEX(DATABASE!$T$4:$T$2003,MATCH($B128,DATABASE!$Z$4:$Z$2003,0))&amp;"","")</f>
        <v/>
      </c>
      <c r="K128" s="50" t="str">
        <f aca="false">IFERROR(INDEX(DATABASE!$I$4:$I$2003,MATCH($B128,DATABASE!$Z$4:$Z$2003,0))&amp;"","")</f>
        <v/>
      </c>
    </row>
    <row r="129" customFormat="false" ht="15" hidden="false" customHeight="false" outlineLevel="0" collapsed="false">
      <c r="B129" s="46" t="n">
        <v>117</v>
      </c>
      <c r="C129" s="47" t="str">
        <f aca="false">IFERROR(INDEX(DATABASE!$B$4:$B$2003,MATCH($B129,DATABASE!$Z$4:$Z$2003,0))&amp;"","")</f>
        <v/>
      </c>
      <c r="D129" s="48" t="str">
        <f aca="false">IFERROR(INDEX(DATABASE!$C$4:$C$2003,MATCH($B129,DATABASE!$Z$4:$Z$2003,0))&amp;"","")</f>
        <v/>
      </c>
      <c r="E129" s="46" t="str">
        <f aca="false">IFERROR(INDEX(DATABASE!$E$4:$E$2003,MATCH($B129,DATABASE!$Z$4:$Z$2003,0))&amp;"","")</f>
        <v/>
      </c>
      <c r="F129" s="46" t="str">
        <f aca="false">IFERROR(INDEX(DATABASE!$F$4:$F$2003,MATCH($B129,DATABASE!$Z$4:$Z$2003,0))&amp;"","")</f>
        <v/>
      </c>
      <c r="G129" s="48" t="str">
        <f aca="false">IFERROR(INDEX(DATABASE!$G$4:$G$2003,MATCH($B129,DATABASE!$Z$4:$Z$2003,0))&amp;"","")</f>
        <v/>
      </c>
      <c r="H129" s="47" t="str">
        <f aca="false">IFERROR(INDEX(DATABASE!$N$4:$N$2003,MATCH($B129,DATABASE!$Z$4:$Z$2003,0))&amp;"","")</f>
        <v/>
      </c>
      <c r="I129" s="48" t="str">
        <f aca="false">IFERROR(INDEX(DATABASE!$O$4:$O$2003,MATCH($B129,DATABASE!$Z$4:$Z$2003,0))&amp;"","")</f>
        <v/>
      </c>
      <c r="J129" s="46" t="str">
        <f aca="false">IFERROR(INDEX(DATABASE!$T$4:$T$2003,MATCH($B129,DATABASE!$Z$4:$Z$2003,0))&amp;"","")</f>
        <v/>
      </c>
      <c r="K129" s="47" t="str">
        <f aca="false">IFERROR(INDEX(DATABASE!$I$4:$I$2003,MATCH($B129,DATABASE!$Z$4:$Z$2003,0))&amp;"","")</f>
        <v/>
      </c>
    </row>
    <row r="130" customFormat="false" ht="15" hidden="false" customHeight="false" outlineLevel="0" collapsed="false">
      <c r="B130" s="49" t="n">
        <v>118</v>
      </c>
      <c r="C130" s="50" t="str">
        <f aca="false">IFERROR(INDEX(DATABASE!$B$4:$B$2003,MATCH($B130,DATABASE!$Z$4:$Z$2003,0))&amp;"","")</f>
        <v/>
      </c>
      <c r="D130" s="51" t="str">
        <f aca="false">IFERROR(INDEX(DATABASE!$C$4:$C$2003,MATCH($B130,DATABASE!$Z$4:$Z$2003,0))&amp;"","")</f>
        <v/>
      </c>
      <c r="E130" s="49" t="str">
        <f aca="false">IFERROR(INDEX(DATABASE!$E$4:$E$2003,MATCH($B130,DATABASE!$Z$4:$Z$2003,0))&amp;"","")</f>
        <v/>
      </c>
      <c r="F130" s="49" t="str">
        <f aca="false">IFERROR(INDEX(DATABASE!$F$4:$F$2003,MATCH($B130,DATABASE!$Z$4:$Z$2003,0))&amp;"","")</f>
        <v/>
      </c>
      <c r="G130" s="51" t="str">
        <f aca="false">IFERROR(INDEX(DATABASE!$G$4:$G$2003,MATCH($B130,DATABASE!$Z$4:$Z$2003,0))&amp;"","")</f>
        <v/>
      </c>
      <c r="H130" s="50" t="str">
        <f aca="false">IFERROR(INDEX(DATABASE!$N$4:$N$2003,MATCH($B130,DATABASE!$Z$4:$Z$2003,0))&amp;"","")</f>
        <v/>
      </c>
      <c r="I130" s="51" t="str">
        <f aca="false">IFERROR(INDEX(DATABASE!$O$4:$O$2003,MATCH($B130,DATABASE!$Z$4:$Z$2003,0))&amp;"","")</f>
        <v/>
      </c>
      <c r="J130" s="49" t="str">
        <f aca="false">IFERROR(INDEX(DATABASE!$T$4:$T$2003,MATCH($B130,DATABASE!$Z$4:$Z$2003,0))&amp;"","")</f>
        <v/>
      </c>
      <c r="K130" s="50" t="str">
        <f aca="false">IFERROR(INDEX(DATABASE!$I$4:$I$2003,MATCH($B130,DATABASE!$Z$4:$Z$2003,0))&amp;"","")</f>
        <v/>
      </c>
    </row>
    <row r="131" customFormat="false" ht="15" hidden="false" customHeight="false" outlineLevel="0" collapsed="false">
      <c r="B131" s="46" t="n">
        <v>119</v>
      </c>
      <c r="C131" s="47" t="str">
        <f aca="false">IFERROR(INDEX(DATABASE!$B$4:$B$2003,MATCH($B131,DATABASE!$Z$4:$Z$2003,0))&amp;"","")</f>
        <v/>
      </c>
      <c r="D131" s="48" t="str">
        <f aca="false">IFERROR(INDEX(DATABASE!$C$4:$C$2003,MATCH($B131,DATABASE!$Z$4:$Z$2003,0))&amp;"","")</f>
        <v/>
      </c>
      <c r="E131" s="46" t="str">
        <f aca="false">IFERROR(INDEX(DATABASE!$E$4:$E$2003,MATCH($B131,DATABASE!$Z$4:$Z$2003,0))&amp;"","")</f>
        <v/>
      </c>
      <c r="F131" s="46" t="str">
        <f aca="false">IFERROR(INDEX(DATABASE!$F$4:$F$2003,MATCH($B131,DATABASE!$Z$4:$Z$2003,0))&amp;"","")</f>
        <v/>
      </c>
      <c r="G131" s="48" t="str">
        <f aca="false">IFERROR(INDEX(DATABASE!$G$4:$G$2003,MATCH($B131,DATABASE!$Z$4:$Z$2003,0))&amp;"","")</f>
        <v/>
      </c>
      <c r="H131" s="47" t="str">
        <f aca="false">IFERROR(INDEX(DATABASE!$N$4:$N$2003,MATCH($B131,DATABASE!$Z$4:$Z$2003,0))&amp;"","")</f>
        <v/>
      </c>
      <c r="I131" s="48" t="str">
        <f aca="false">IFERROR(INDEX(DATABASE!$O$4:$O$2003,MATCH($B131,DATABASE!$Z$4:$Z$2003,0))&amp;"","")</f>
        <v/>
      </c>
      <c r="J131" s="46" t="str">
        <f aca="false">IFERROR(INDEX(DATABASE!$T$4:$T$2003,MATCH($B131,DATABASE!$Z$4:$Z$2003,0))&amp;"","")</f>
        <v/>
      </c>
      <c r="K131" s="47" t="str">
        <f aca="false">IFERROR(INDEX(DATABASE!$I$4:$I$2003,MATCH($B131,DATABASE!$Z$4:$Z$2003,0))&amp;"","")</f>
        <v/>
      </c>
    </row>
    <row r="132" customFormat="false" ht="15" hidden="false" customHeight="false" outlineLevel="0" collapsed="false">
      <c r="B132" s="49" t="n">
        <v>120</v>
      </c>
      <c r="C132" s="50" t="str">
        <f aca="false">IFERROR(INDEX(DATABASE!$B$4:$B$2003,MATCH($B132,DATABASE!$Z$4:$Z$2003,0))&amp;"","")</f>
        <v/>
      </c>
      <c r="D132" s="51" t="str">
        <f aca="false">IFERROR(INDEX(DATABASE!$C$4:$C$2003,MATCH($B132,DATABASE!$Z$4:$Z$2003,0))&amp;"","")</f>
        <v/>
      </c>
      <c r="E132" s="49" t="str">
        <f aca="false">IFERROR(INDEX(DATABASE!$E$4:$E$2003,MATCH($B132,DATABASE!$Z$4:$Z$2003,0))&amp;"","")</f>
        <v/>
      </c>
      <c r="F132" s="49" t="str">
        <f aca="false">IFERROR(INDEX(DATABASE!$F$4:$F$2003,MATCH($B132,DATABASE!$Z$4:$Z$2003,0))&amp;"","")</f>
        <v/>
      </c>
      <c r="G132" s="51" t="str">
        <f aca="false">IFERROR(INDEX(DATABASE!$G$4:$G$2003,MATCH($B132,DATABASE!$Z$4:$Z$2003,0))&amp;"","")</f>
        <v/>
      </c>
      <c r="H132" s="50" t="str">
        <f aca="false">IFERROR(INDEX(DATABASE!$N$4:$N$2003,MATCH($B132,DATABASE!$Z$4:$Z$2003,0))&amp;"","")</f>
        <v/>
      </c>
      <c r="I132" s="51" t="str">
        <f aca="false">IFERROR(INDEX(DATABASE!$O$4:$O$2003,MATCH($B132,DATABASE!$Z$4:$Z$2003,0))&amp;"","")</f>
        <v/>
      </c>
      <c r="J132" s="49" t="str">
        <f aca="false">IFERROR(INDEX(DATABASE!$T$4:$T$2003,MATCH($B132,DATABASE!$Z$4:$Z$2003,0))&amp;"","")</f>
        <v/>
      </c>
      <c r="K132" s="50" t="str">
        <f aca="false">IFERROR(INDEX(DATABASE!$I$4:$I$2003,MATCH($B132,DATABASE!$Z$4:$Z$2003,0))&amp;"","")</f>
        <v/>
      </c>
    </row>
    <row r="133" customFormat="false" ht="15" hidden="false" customHeight="false" outlineLevel="0" collapsed="false">
      <c r="B133" s="46" t="n">
        <v>121</v>
      </c>
      <c r="C133" s="47" t="str">
        <f aca="false">IFERROR(INDEX(DATABASE!$B$4:$B$2003,MATCH($B133,DATABASE!$Z$4:$Z$2003,0))&amp;"","")</f>
        <v/>
      </c>
      <c r="D133" s="48" t="str">
        <f aca="false">IFERROR(INDEX(DATABASE!$C$4:$C$2003,MATCH($B133,DATABASE!$Z$4:$Z$2003,0))&amp;"","")</f>
        <v/>
      </c>
      <c r="E133" s="46" t="str">
        <f aca="false">IFERROR(INDEX(DATABASE!$E$4:$E$2003,MATCH($B133,DATABASE!$Z$4:$Z$2003,0))&amp;"","")</f>
        <v/>
      </c>
      <c r="F133" s="46" t="str">
        <f aca="false">IFERROR(INDEX(DATABASE!$F$4:$F$2003,MATCH($B133,DATABASE!$Z$4:$Z$2003,0))&amp;"","")</f>
        <v/>
      </c>
      <c r="G133" s="48" t="str">
        <f aca="false">IFERROR(INDEX(DATABASE!$G$4:$G$2003,MATCH($B133,DATABASE!$Z$4:$Z$2003,0))&amp;"","")</f>
        <v/>
      </c>
      <c r="H133" s="47" t="str">
        <f aca="false">IFERROR(INDEX(DATABASE!$N$4:$N$2003,MATCH($B133,DATABASE!$Z$4:$Z$2003,0))&amp;"","")</f>
        <v/>
      </c>
      <c r="I133" s="48" t="str">
        <f aca="false">IFERROR(INDEX(DATABASE!$O$4:$O$2003,MATCH($B133,DATABASE!$Z$4:$Z$2003,0))&amp;"","")</f>
        <v/>
      </c>
      <c r="J133" s="46" t="str">
        <f aca="false">IFERROR(INDEX(DATABASE!$T$4:$T$2003,MATCH($B133,DATABASE!$Z$4:$Z$2003,0))&amp;"","")</f>
        <v/>
      </c>
      <c r="K133" s="47" t="str">
        <f aca="false">IFERROR(INDEX(DATABASE!$I$4:$I$2003,MATCH($B133,DATABASE!$Z$4:$Z$2003,0))&amp;"","")</f>
        <v/>
      </c>
    </row>
    <row r="134" customFormat="false" ht="15" hidden="false" customHeight="false" outlineLevel="0" collapsed="false">
      <c r="B134" s="49" t="n">
        <v>122</v>
      </c>
      <c r="C134" s="50" t="str">
        <f aca="false">IFERROR(INDEX(DATABASE!$B$4:$B$2003,MATCH($B134,DATABASE!$Z$4:$Z$2003,0))&amp;"","")</f>
        <v/>
      </c>
      <c r="D134" s="51" t="str">
        <f aca="false">IFERROR(INDEX(DATABASE!$C$4:$C$2003,MATCH($B134,DATABASE!$Z$4:$Z$2003,0))&amp;"","")</f>
        <v/>
      </c>
      <c r="E134" s="49" t="str">
        <f aca="false">IFERROR(INDEX(DATABASE!$E$4:$E$2003,MATCH($B134,DATABASE!$Z$4:$Z$2003,0))&amp;"","")</f>
        <v/>
      </c>
      <c r="F134" s="49" t="str">
        <f aca="false">IFERROR(INDEX(DATABASE!$F$4:$F$2003,MATCH($B134,DATABASE!$Z$4:$Z$2003,0))&amp;"","")</f>
        <v/>
      </c>
      <c r="G134" s="51" t="str">
        <f aca="false">IFERROR(INDEX(DATABASE!$G$4:$G$2003,MATCH($B134,DATABASE!$Z$4:$Z$2003,0))&amp;"","")</f>
        <v/>
      </c>
      <c r="H134" s="50" t="str">
        <f aca="false">IFERROR(INDEX(DATABASE!$N$4:$N$2003,MATCH($B134,DATABASE!$Z$4:$Z$2003,0))&amp;"","")</f>
        <v/>
      </c>
      <c r="I134" s="51" t="str">
        <f aca="false">IFERROR(INDEX(DATABASE!$O$4:$O$2003,MATCH($B134,DATABASE!$Z$4:$Z$2003,0))&amp;"","")</f>
        <v/>
      </c>
      <c r="J134" s="49" t="str">
        <f aca="false">IFERROR(INDEX(DATABASE!$T$4:$T$2003,MATCH($B134,DATABASE!$Z$4:$Z$2003,0))&amp;"","")</f>
        <v/>
      </c>
      <c r="K134" s="50" t="str">
        <f aca="false">IFERROR(INDEX(DATABASE!$I$4:$I$2003,MATCH($B134,DATABASE!$Z$4:$Z$2003,0))&amp;"","")</f>
        <v/>
      </c>
    </row>
    <row r="135" customFormat="false" ht="15" hidden="false" customHeight="false" outlineLevel="0" collapsed="false">
      <c r="B135" s="46" t="n">
        <v>123</v>
      </c>
      <c r="C135" s="47" t="str">
        <f aca="false">IFERROR(INDEX(DATABASE!$B$4:$B$2003,MATCH($B135,DATABASE!$Z$4:$Z$2003,0))&amp;"","")</f>
        <v/>
      </c>
      <c r="D135" s="48" t="str">
        <f aca="false">IFERROR(INDEX(DATABASE!$C$4:$C$2003,MATCH($B135,DATABASE!$Z$4:$Z$2003,0))&amp;"","")</f>
        <v/>
      </c>
      <c r="E135" s="46" t="str">
        <f aca="false">IFERROR(INDEX(DATABASE!$E$4:$E$2003,MATCH($B135,DATABASE!$Z$4:$Z$2003,0))&amp;"","")</f>
        <v/>
      </c>
      <c r="F135" s="46" t="str">
        <f aca="false">IFERROR(INDEX(DATABASE!$F$4:$F$2003,MATCH($B135,DATABASE!$Z$4:$Z$2003,0))&amp;"","")</f>
        <v/>
      </c>
      <c r="G135" s="48" t="str">
        <f aca="false">IFERROR(INDEX(DATABASE!$G$4:$G$2003,MATCH($B135,DATABASE!$Z$4:$Z$2003,0))&amp;"","")</f>
        <v/>
      </c>
      <c r="H135" s="47" t="str">
        <f aca="false">IFERROR(INDEX(DATABASE!$N$4:$N$2003,MATCH($B135,DATABASE!$Z$4:$Z$2003,0))&amp;"","")</f>
        <v/>
      </c>
      <c r="I135" s="48" t="str">
        <f aca="false">IFERROR(INDEX(DATABASE!$O$4:$O$2003,MATCH($B135,DATABASE!$Z$4:$Z$2003,0))&amp;"","")</f>
        <v/>
      </c>
      <c r="J135" s="46" t="str">
        <f aca="false">IFERROR(INDEX(DATABASE!$T$4:$T$2003,MATCH($B135,DATABASE!$Z$4:$Z$2003,0))&amp;"","")</f>
        <v/>
      </c>
      <c r="K135" s="47" t="str">
        <f aca="false">IFERROR(INDEX(DATABASE!$I$4:$I$2003,MATCH($B135,DATABASE!$Z$4:$Z$2003,0))&amp;"","")</f>
        <v/>
      </c>
    </row>
    <row r="136" customFormat="false" ht="15" hidden="false" customHeight="false" outlineLevel="0" collapsed="false">
      <c r="B136" s="49" t="n">
        <v>124</v>
      </c>
      <c r="C136" s="50" t="str">
        <f aca="false">IFERROR(INDEX(DATABASE!$B$4:$B$2003,MATCH($B136,DATABASE!$Z$4:$Z$2003,0))&amp;"","")</f>
        <v/>
      </c>
      <c r="D136" s="51" t="str">
        <f aca="false">IFERROR(INDEX(DATABASE!$C$4:$C$2003,MATCH($B136,DATABASE!$Z$4:$Z$2003,0))&amp;"","")</f>
        <v/>
      </c>
      <c r="E136" s="49" t="str">
        <f aca="false">IFERROR(INDEX(DATABASE!$E$4:$E$2003,MATCH($B136,DATABASE!$Z$4:$Z$2003,0))&amp;"","")</f>
        <v/>
      </c>
      <c r="F136" s="49" t="str">
        <f aca="false">IFERROR(INDEX(DATABASE!$F$4:$F$2003,MATCH($B136,DATABASE!$Z$4:$Z$2003,0))&amp;"","")</f>
        <v/>
      </c>
      <c r="G136" s="51" t="str">
        <f aca="false">IFERROR(INDEX(DATABASE!$G$4:$G$2003,MATCH($B136,DATABASE!$Z$4:$Z$2003,0))&amp;"","")</f>
        <v/>
      </c>
      <c r="H136" s="50" t="str">
        <f aca="false">IFERROR(INDEX(DATABASE!$N$4:$N$2003,MATCH($B136,DATABASE!$Z$4:$Z$2003,0))&amp;"","")</f>
        <v/>
      </c>
      <c r="I136" s="51" t="str">
        <f aca="false">IFERROR(INDEX(DATABASE!$O$4:$O$2003,MATCH($B136,DATABASE!$Z$4:$Z$2003,0))&amp;"","")</f>
        <v/>
      </c>
      <c r="J136" s="49" t="str">
        <f aca="false">IFERROR(INDEX(DATABASE!$T$4:$T$2003,MATCH($B136,DATABASE!$Z$4:$Z$2003,0))&amp;"","")</f>
        <v/>
      </c>
      <c r="K136" s="50" t="str">
        <f aca="false">IFERROR(INDEX(DATABASE!$I$4:$I$2003,MATCH($B136,DATABASE!$Z$4:$Z$2003,0))&amp;"","")</f>
        <v/>
      </c>
    </row>
    <row r="137" customFormat="false" ht="15" hidden="false" customHeight="false" outlineLevel="0" collapsed="false">
      <c r="B137" s="46" t="n">
        <v>125</v>
      </c>
      <c r="C137" s="47" t="str">
        <f aca="false">IFERROR(INDEX(DATABASE!$B$4:$B$2003,MATCH($B137,DATABASE!$Z$4:$Z$2003,0))&amp;"","")</f>
        <v/>
      </c>
      <c r="D137" s="48" t="str">
        <f aca="false">IFERROR(INDEX(DATABASE!$C$4:$C$2003,MATCH($B137,DATABASE!$Z$4:$Z$2003,0))&amp;"","")</f>
        <v/>
      </c>
      <c r="E137" s="46" t="str">
        <f aca="false">IFERROR(INDEX(DATABASE!$E$4:$E$2003,MATCH($B137,DATABASE!$Z$4:$Z$2003,0))&amp;"","")</f>
        <v/>
      </c>
      <c r="F137" s="46" t="str">
        <f aca="false">IFERROR(INDEX(DATABASE!$F$4:$F$2003,MATCH($B137,DATABASE!$Z$4:$Z$2003,0))&amp;"","")</f>
        <v/>
      </c>
      <c r="G137" s="48" t="str">
        <f aca="false">IFERROR(INDEX(DATABASE!$G$4:$G$2003,MATCH($B137,DATABASE!$Z$4:$Z$2003,0))&amp;"","")</f>
        <v/>
      </c>
      <c r="H137" s="47" t="str">
        <f aca="false">IFERROR(INDEX(DATABASE!$N$4:$N$2003,MATCH($B137,DATABASE!$Z$4:$Z$2003,0))&amp;"","")</f>
        <v/>
      </c>
      <c r="I137" s="48" t="str">
        <f aca="false">IFERROR(INDEX(DATABASE!$O$4:$O$2003,MATCH($B137,DATABASE!$Z$4:$Z$2003,0))&amp;"","")</f>
        <v/>
      </c>
      <c r="J137" s="46" t="str">
        <f aca="false">IFERROR(INDEX(DATABASE!$T$4:$T$2003,MATCH($B137,DATABASE!$Z$4:$Z$2003,0))&amp;"","")</f>
        <v/>
      </c>
      <c r="K137" s="47" t="str">
        <f aca="false">IFERROR(INDEX(DATABASE!$I$4:$I$2003,MATCH($B137,DATABASE!$Z$4:$Z$2003,0))&amp;"","")</f>
        <v/>
      </c>
    </row>
    <row r="138" customFormat="false" ht="15" hidden="false" customHeight="false" outlineLevel="0" collapsed="false">
      <c r="B138" s="49" t="n">
        <v>126</v>
      </c>
      <c r="C138" s="50" t="str">
        <f aca="false">IFERROR(INDEX(DATABASE!$B$4:$B$2003,MATCH($B138,DATABASE!$Z$4:$Z$2003,0))&amp;"","")</f>
        <v/>
      </c>
      <c r="D138" s="51" t="str">
        <f aca="false">IFERROR(INDEX(DATABASE!$C$4:$C$2003,MATCH($B138,DATABASE!$Z$4:$Z$2003,0))&amp;"","")</f>
        <v/>
      </c>
      <c r="E138" s="49" t="str">
        <f aca="false">IFERROR(INDEX(DATABASE!$E$4:$E$2003,MATCH($B138,DATABASE!$Z$4:$Z$2003,0))&amp;"","")</f>
        <v/>
      </c>
      <c r="F138" s="49" t="str">
        <f aca="false">IFERROR(INDEX(DATABASE!$F$4:$F$2003,MATCH($B138,DATABASE!$Z$4:$Z$2003,0))&amp;"","")</f>
        <v/>
      </c>
      <c r="G138" s="51" t="str">
        <f aca="false">IFERROR(INDEX(DATABASE!$G$4:$G$2003,MATCH($B138,DATABASE!$Z$4:$Z$2003,0))&amp;"","")</f>
        <v/>
      </c>
      <c r="H138" s="50" t="str">
        <f aca="false">IFERROR(INDEX(DATABASE!$N$4:$N$2003,MATCH($B138,DATABASE!$Z$4:$Z$2003,0))&amp;"","")</f>
        <v/>
      </c>
      <c r="I138" s="51" t="str">
        <f aca="false">IFERROR(INDEX(DATABASE!$O$4:$O$2003,MATCH($B138,DATABASE!$Z$4:$Z$2003,0))&amp;"","")</f>
        <v/>
      </c>
      <c r="J138" s="49" t="str">
        <f aca="false">IFERROR(INDEX(DATABASE!$T$4:$T$2003,MATCH($B138,DATABASE!$Z$4:$Z$2003,0))&amp;"","")</f>
        <v/>
      </c>
      <c r="K138" s="50" t="str">
        <f aca="false">IFERROR(INDEX(DATABASE!$I$4:$I$2003,MATCH($B138,DATABASE!$Z$4:$Z$2003,0))&amp;"","")</f>
        <v/>
      </c>
    </row>
    <row r="139" customFormat="false" ht="15" hidden="false" customHeight="false" outlineLevel="0" collapsed="false">
      <c r="B139" s="46" t="n">
        <v>127</v>
      </c>
      <c r="C139" s="47" t="str">
        <f aca="false">IFERROR(INDEX(DATABASE!$B$4:$B$2003,MATCH($B139,DATABASE!$Z$4:$Z$2003,0))&amp;"","")</f>
        <v/>
      </c>
      <c r="D139" s="48" t="str">
        <f aca="false">IFERROR(INDEX(DATABASE!$C$4:$C$2003,MATCH($B139,DATABASE!$Z$4:$Z$2003,0))&amp;"","")</f>
        <v/>
      </c>
      <c r="E139" s="46" t="str">
        <f aca="false">IFERROR(INDEX(DATABASE!$E$4:$E$2003,MATCH($B139,DATABASE!$Z$4:$Z$2003,0))&amp;"","")</f>
        <v/>
      </c>
      <c r="F139" s="46" t="str">
        <f aca="false">IFERROR(INDEX(DATABASE!$F$4:$F$2003,MATCH($B139,DATABASE!$Z$4:$Z$2003,0))&amp;"","")</f>
        <v/>
      </c>
      <c r="G139" s="48" t="str">
        <f aca="false">IFERROR(INDEX(DATABASE!$G$4:$G$2003,MATCH($B139,DATABASE!$Z$4:$Z$2003,0))&amp;"","")</f>
        <v/>
      </c>
      <c r="H139" s="47" t="str">
        <f aca="false">IFERROR(INDEX(DATABASE!$N$4:$N$2003,MATCH($B139,DATABASE!$Z$4:$Z$2003,0))&amp;"","")</f>
        <v/>
      </c>
      <c r="I139" s="48" t="str">
        <f aca="false">IFERROR(INDEX(DATABASE!$O$4:$O$2003,MATCH($B139,DATABASE!$Z$4:$Z$2003,0))&amp;"","")</f>
        <v/>
      </c>
      <c r="J139" s="46" t="str">
        <f aca="false">IFERROR(INDEX(DATABASE!$T$4:$T$2003,MATCH($B139,DATABASE!$Z$4:$Z$2003,0))&amp;"","")</f>
        <v/>
      </c>
      <c r="K139" s="47" t="str">
        <f aca="false">IFERROR(INDEX(DATABASE!$I$4:$I$2003,MATCH($B139,DATABASE!$Z$4:$Z$2003,0))&amp;"","")</f>
        <v/>
      </c>
    </row>
    <row r="140" customFormat="false" ht="15" hidden="false" customHeight="false" outlineLevel="0" collapsed="false">
      <c r="B140" s="49" t="n">
        <v>128</v>
      </c>
      <c r="C140" s="50" t="str">
        <f aca="false">IFERROR(INDEX(DATABASE!$B$4:$B$2003,MATCH($B140,DATABASE!$Z$4:$Z$2003,0))&amp;"","")</f>
        <v/>
      </c>
      <c r="D140" s="51" t="str">
        <f aca="false">IFERROR(INDEX(DATABASE!$C$4:$C$2003,MATCH($B140,DATABASE!$Z$4:$Z$2003,0))&amp;"","")</f>
        <v/>
      </c>
      <c r="E140" s="49" t="str">
        <f aca="false">IFERROR(INDEX(DATABASE!$E$4:$E$2003,MATCH($B140,DATABASE!$Z$4:$Z$2003,0))&amp;"","")</f>
        <v/>
      </c>
      <c r="F140" s="49" t="str">
        <f aca="false">IFERROR(INDEX(DATABASE!$F$4:$F$2003,MATCH($B140,DATABASE!$Z$4:$Z$2003,0))&amp;"","")</f>
        <v/>
      </c>
      <c r="G140" s="51" t="str">
        <f aca="false">IFERROR(INDEX(DATABASE!$G$4:$G$2003,MATCH($B140,DATABASE!$Z$4:$Z$2003,0))&amp;"","")</f>
        <v/>
      </c>
      <c r="H140" s="50" t="str">
        <f aca="false">IFERROR(INDEX(DATABASE!$N$4:$N$2003,MATCH($B140,DATABASE!$Z$4:$Z$2003,0))&amp;"","")</f>
        <v/>
      </c>
      <c r="I140" s="51" t="str">
        <f aca="false">IFERROR(INDEX(DATABASE!$O$4:$O$2003,MATCH($B140,DATABASE!$Z$4:$Z$2003,0))&amp;"","")</f>
        <v/>
      </c>
      <c r="J140" s="49" t="str">
        <f aca="false">IFERROR(INDEX(DATABASE!$T$4:$T$2003,MATCH($B140,DATABASE!$Z$4:$Z$2003,0))&amp;"","")</f>
        <v/>
      </c>
      <c r="K140" s="50" t="str">
        <f aca="false">IFERROR(INDEX(DATABASE!$I$4:$I$2003,MATCH($B140,DATABASE!$Z$4:$Z$2003,0))&amp;"","")</f>
        <v/>
      </c>
    </row>
    <row r="141" customFormat="false" ht="15" hidden="false" customHeight="false" outlineLevel="0" collapsed="false">
      <c r="B141" s="46" t="n">
        <v>129</v>
      </c>
      <c r="C141" s="47" t="str">
        <f aca="false">IFERROR(INDEX(DATABASE!$B$4:$B$2003,MATCH($B141,DATABASE!$Z$4:$Z$2003,0))&amp;"","")</f>
        <v/>
      </c>
      <c r="D141" s="48" t="str">
        <f aca="false">IFERROR(INDEX(DATABASE!$C$4:$C$2003,MATCH($B141,DATABASE!$Z$4:$Z$2003,0))&amp;"","")</f>
        <v/>
      </c>
      <c r="E141" s="46" t="str">
        <f aca="false">IFERROR(INDEX(DATABASE!$E$4:$E$2003,MATCH($B141,DATABASE!$Z$4:$Z$2003,0))&amp;"","")</f>
        <v/>
      </c>
      <c r="F141" s="46" t="str">
        <f aca="false">IFERROR(INDEX(DATABASE!$F$4:$F$2003,MATCH($B141,DATABASE!$Z$4:$Z$2003,0))&amp;"","")</f>
        <v/>
      </c>
      <c r="G141" s="48" t="str">
        <f aca="false">IFERROR(INDEX(DATABASE!$G$4:$G$2003,MATCH($B141,DATABASE!$Z$4:$Z$2003,0))&amp;"","")</f>
        <v/>
      </c>
      <c r="H141" s="47" t="str">
        <f aca="false">IFERROR(INDEX(DATABASE!$N$4:$N$2003,MATCH($B141,DATABASE!$Z$4:$Z$2003,0))&amp;"","")</f>
        <v/>
      </c>
      <c r="I141" s="48" t="str">
        <f aca="false">IFERROR(INDEX(DATABASE!$O$4:$O$2003,MATCH($B141,DATABASE!$Z$4:$Z$2003,0))&amp;"","")</f>
        <v/>
      </c>
      <c r="J141" s="46" t="str">
        <f aca="false">IFERROR(INDEX(DATABASE!$T$4:$T$2003,MATCH($B141,DATABASE!$Z$4:$Z$2003,0))&amp;"","")</f>
        <v/>
      </c>
      <c r="K141" s="47" t="str">
        <f aca="false">IFERROR(INDEX(DATABASE!$I$4:$I$2003,MATCH($B141,DATABASE!$Z$4:$Z$2003,0))&amp;"","")</f>
        <v/>
      </c>
    </row>
    <row r="142" customFormat="false" ht="15" hidden="false" customHeight="false" outlineLevel="0" collapsed="false">
      <c r="B142" s="49" t="n">
        <v>130</v>
      </c>
      <c r="C142" s="50" t="str">
        <f aca="false">IFERROR(INDEX(DATABASE!$B$4:$B$2003,MATCH($B142,DATABASE!$Z$4:$Z$2003,0))&amp;"","")</f>
        <v/>
      </c>
      <c r="D142" s="51" t="str">
        <f aca="false">IFERROR(INDEX(DATABASE!$C$4:$C$2003,MATCH($B142,DATABASE!$Z$4:$Z$2003,0))&amp;"","")</f>
        <v/>
      </c>
      <c r="E142" s="49" t="str">
        <f aca="false">IFERROR(INDEX(DATABASE!$E$4:$E$2003,MATCH($B142,DATABASE!$Z$4:$Z$2003,0))&amp;"","")</f>
        <v/>
      </c>
      <c r="F142" s="49" t="str">
        <f aca="false">IFERROR(INDEX(DATABASE!$F$4:$F$2003,MATCH($B142,DATABASE!$Z$4:$Z$2003,0))&amp;"","")</f>
        <v/>
      </c>
      <c r="G142" s="51" t="str">
        <f aca="false">IFERROR(INDEX(DATABASE!$G$4:$G$2003,MATCH($B142,DATABASE!$Z$4:$Z$2003,0))&amp;"","")</f>
        <v/>
      </c>
      <c r="H142" s="50" t="str">
        <f aca="false">IFERROR(INDEX(DATABASE!$N$4:$N$2003,MATCH($B142,DATABASE!$Z$4:$Z$2003,0))&amp;"","")</f>
        <v/>
      </c>
      <c r="I142" s="51" t="str">
        <f aca="false">IFERROR(INDEX(DATABASE!$O$4:$O$2003,MATCH($B142,DATABASE!$Z$4:$Z$2003,0))&amp;"","")</f>
        <v/>
      </c>
      <c r="J142" s="49" t="str">
        <f aca="false">IFERROR(INDEX(DATABASE!$T$4:$T$2003,MATCH($B142,DATABASE!$Z$4:$Z$2003,0))&amp;"","")</f>
        <v/>
      </c>
      <c r="K142" s="50" t="str">
        <f aca="false">IFERROR(INDEX(DATABASE!$I$4:$I$2003,MATCH($B142,DATABASE!$Z$4:$Z$2003,0))&amp;"","")</f>
        <v/>
      </c>
    </row>
    <row r="143" customFormat="false" ht="15" hidden="false" customHeight="false" outlineLevel="0" collapsed="false">
      <c r="B143" s="46" t="n">
        <v>131</v>
      </c>
      <c r="C143" s="47" t="str">
        <f aca="false">IFERROR(INDEX(DATABASE!$B$4:$B$2003,MATCH($B143,DATABASE!$Z$4:$Z$2003,0))&amp;"","")</f>
        <v/>
      </c>
      <c r="D143" s="48" t="str">
        <f aca="false">IFERROR(INDEX(DATABASE!$C$4:$C$2003,MATCH($B143,DATABASE!$Z$4:$Z$2003,0))&amp;"","")</f>
        <v/>
      </c>
      <c r="E143" s="46" t="str">
        <f aca="false">IFERROR(INDEX(DATABASE!$E$4:$E$2003,MATCH($B143,DATABASE!$Z$4:$Z$2003,0))&amp;"","")</f>
        <v/>
      </c>
      <c r="F143" s="46" t="str">
        <f aca="false">IFERROR(INDEX(DATABASE!$F$4:$F$2003,MATCH($B143,DATABASE!$Z$4:$Z$2003,0))&amp;"","")</f>
        <v/>
      </c>
      <c r="G143" s="48" t="str">
        <f aca="false">IFERROR(INDEX(DATABASE!$G$4:$G$2003,MATCH($B143,DATABASE!$Z$4:$Z$2003,0))&amp;"","")</f>
        <v/>
      </c>
      <c r="H143" s="47" t="str">
        <f aca="false">IFERROR(INDEX(DATABASE!$N$4:$N$2003,MATCH($B143,DATABASE!$Z$4:$Z$2003,0))&amp;"","")</f>
        <v/>
      </c>
      <c r="I143" s="48" t="str">
        <f aca="false">IFERROR(INDEX(DATABASE!$O$4:$O$2003,MATCH($B143,DATABASE!$Z$4:$Z$2003,0))&amp;"","")</f>
        <v/>
      </c>
      <c r="J143" s="46" t="str">
        <f aca="false">IFERROR(INDEX(DATABASE!$T$4:$T$2003,MATCH($B143,DATABASE!$Z$4:$Z$2003,0))&amp;"","")</f>
        <v/>
      </c>
      <c r="K143" s="47" t="str">
        <f aca="false">IFERROR(INDEX(DATABASE!$I$4:$I$2003,MATCH($B143,DATABASE!$Z$4:$Z$2003,0))&amp;"","")</f>
        <v/>
      </c>
    </row>
    <row r="144" customFormat="false" ht="15" hidden="false" customHeight="false" outlineLevel="0" collapsed="false">
      <c r="B144" s="49" t="n">
        <v>132</v>
      </c>
      <c r="C144" s="50" t="str">
        <f aca="false">IFERROR(INDEX(DATABASE!$B$4:$B$2003,MATCH($B144,DATABASE!$Z$4:$Z$2003,0))&amp;"","")</f>
        <v/>
      </c>
      <c r="D144" s="51" t="str">
        <f aca="false">IFERROR(INDEX(DATABASE!$C$4:$C$2003,MATCH($B144,DATABASE!$Z$4:$Z$2003,0))&amp;"","")</f>
        <v/>
      </c>
      <c r="E144" s="49" t="str">
        <f aca="false">IFERROR(INDEX(DATABASE!$E$4:$E$2003,MATCH($B144,DATABASE!$Z$4:$Z$2003,0))&amp;"","")</f>
        <v/>
      </c>
      <c r="F144" s="49" t="str">
        <f aca="false">IFERROR(INDEX(DATABASE!$F$4:$F$2003,MATCH($B144,DATABASE!$Z$4:$Z$2003,0))&amp;"","")</f>
        <v/>
      </c>
      <c r="G144" s="51" t="str">
        <f aca="false">IFERROR(INDEX(DATABASE!$G$4:$G$2003,MATCH($B144,DATABASE!$Z$4:$Z$2003,0))&amp;"","")</f>
        <v/>
      </c>
      <c r="H144" s="50" t="str">
        <f aca="false">IFERROR(INDEX(DATABASE!$N$4:$N$2003,MATCH($B144,DATABASE!$Z$4:$Z$2003,0))&amp;"","")</f>
        <v/>
      </c>
      <c r="I144" s="51" t="str">
        <f aca="false">IFERROR(INDEX(DATABASE!$O$4:$O$2003,MATCH($B144,DATABASE!$Z$4:$Z$2003,0))&amp;"","")</f>
        <v/>
      </c>
      <c r="J144" s="49" t="str">
        <f aca="false">IFERROR(INDEX(DATABASE!$T$4:$T$2003,MATCH($B144,DATABASE!$Z$4:$Z$2003,0))&amp;"","")</f>
        <v/>
      </c>
      <c r="K144" s="50" t="str">
        <f aca="false">IFERROR(INDEX(DATABASE!$I$4:$I$2003,MATCH($B144,DATABASE!$Z$4:$Z$2003,0))&amp;"","")</f>
        <v/>
      </c>
    </row>
    <row r="145" customFormat="false" ht="15" hidden="false" customHeight="false" outlineLevel="0" collapsed="false">
      <c r="B145" s="46" t="n">
        <v>133</v>
      </c>
      <c r="C145" s="47" t="str">
        <f aca="false">IFERROR(INDEX(DATABASE!$B$4:$B$2003,MATCH($B145,DATABASE!$Z$4:$Z$2003,0))&amp;"","")</f>
        <v/>
      </c>
      <c r="D145" s="48" t="str">
        <f aca="false">IFERROR(INDEX(DATABASE!$C$4:$C$2003,MATCH($B145,DATABASE!$Z$4:$Z$2003,0))&amp;"","")</f>
        <v/>
      </c>
      <c r="E145" s="46" t="str">
        <f aca="false">IFERROR(INDEX(DATABASE!$E$4:$E$2003,MATCH($B145,DATABASE!$Z$4:$Z$2003,0))&amp;"","")</f>
        <v/>
      </c>
      <c r="F145" s="46" t="str">
        <f aca="false">IFERROR(INDEX(DATABASE!$F$4:$F$2003,MATCH($B145,DATABASE!$Z$4:$Z$2003,0))&amp;"","")</f>
        <v/>
      </c>
      <c r="G145" s="48" t="str">
        <f aca="false">IFERROR(INDEX(DATABASE!$G$4:$G$2003,MATCH($B145,DATABASE!$Z$4:$Z$2003,0))&amp;"","")</f>
        <v/>
      </c>
      <c r="H145" s="47" t="str">
        <f aca="false">IFERROR(INDEX(DATABASE!$N$4:$N$2003,MATCH($B145,DATABASE!$Z$4:$Z$2003,0))&amp;"","")</f>
        <v/>
      </c>
      <c r="I145" s="48" t="str">
        <f aca="false">IFERROR(INDEX(DATABASE!$O$4:$O$2003,MATCH($B145,DATABASE!$Z$4:$Z$2003,0))&amp;"","")</f>
        <v/>
      </c>
      <c r="J145" s="46" t="str">
        <f aca="false">IFERROR(INDEX(DATABASE!$T$4:$T$2003,MATCH($B145,DATABASE!$Z$4:$Z$2003,0))&amp;"","")</f>
        <v/>
      </c>
      <c r="K145" s="47" t="str">
        <f aca="false">IFERROR(INDEX(DATABASE!$I$4:$I$2003,MATCH($B145,DATABASE!$Z$4:$Z$2003,0))&amp;"","")</f>
        <v/>
      </c>
    </row>
    <row r="146" customFormat="false" ht="15" hidden="false" customHeight="false" outlineLevel="0" collapsed="false">
      <c r="B146" s="49" t="n">
        <v>134</v>
      </c>
      <c r="C146" s="50" t="str">
        <f aca="false">IFERROR(INDEX(DATABASE!$B$4:$B$2003,MATCH($B146,DATABASE!$Z$4:$Z$2003,0))&amp;"","")</f>
        <v/>
      </c>
      <c r="D146" s="51" t="str">
        <f aca="false">IFERROR(INDEX(DATABASE!$C$4:$C$2003,MATCH($B146,DATABASE!$Z$4:$Z$2003,0))&amp;"","")</f>
        <v/>
      </c>
      <c r="E146" s="49" t="str">
        <f aca="false">IFERROR(INDEX(DATABASE!$E$4:$E$2003,MATCH($B146,DATABASE!$Z$4:$Z$2003,0))&amp;"","")</f>
        <v/>
      </c>
      <c r="F146" s="49" t="str">
        <f aca="false">IFERROR(INDEX(DATABASE!$F$4:$F$2003,MATCH($B146,DATABASE!$Z$4:$Z$2003,0))&amp;"","")</f>
        <v/>
      </c>
      <c r="G146" s="51" t="str">
        <f aca="false">IFERROR(INDEX(DATABASE!$G$4:$G$2003,MATCH($B146,DATABASE!$Z$4:$Z$2003,0))&amp;"","")</f>
        <v/>
      </c>
      <c r="H146" s="50" t="str">
        <f aca="false">IFERROR(INDEX(DATABASE!$N$4:$N$2003,MATCH($B146,DATABASE!$Z$4:$Z$2003,0))&amp;"","")</f>
        <v/>
      </c>
      <c r="I146" s="51" t="str">
        <f aca="false">IFERROR(INDEX(DATABASE!$O$4:$O$2003,MATCH($B146,DATABASE!$Z$4:$Z$2003,0))&amp;"","")</f>
        <v/>
      </c>
      <c r="J146" s="49" t="str">
        <f aca="false">IFERROR(INDEX(DATABASE!$T$4:$T$2003,MATCH($B146,DATABASE!$Z$4:$Z$2003,0))&amp;"","")</f>
        <v/>
      </c>
      <c r="K146" s="50" t="str">
        <f aca="false">IFERROR(INDEX(DATABASE!$I$4:$I$2003,MATCH($B146,DATABASE!$Z$4:$Z$2003,0))&amp;"","")</f>
        <v/>
      </c>
    </row>
    <row r="147" customFormat="false" ht="15" hidden="false" customHeight="false" outlineLevel="0" collapsed="false">
      <c r="B147" s="46" t="n">
        <v>135</v>
      </c>
      <c r="C147" s="47" t="str">
        <f aca="false">IFERROR(INDEX(DATABASE!$B$4:$B$2003,MATCH($B147,DATABASE!$Z$4:$Z$2003,0))&amp;"","")</f>
        <v/>
      </c>
      <c r="D147" s="48" t="str">
        <f aca="false">IFERROR(INDEX(DATABASE!$C$4:$C$2003,MATCH($B147,DATABASE!$Z$4:$Z$2003,0))&amp;"","")</f>
        <v/>
      </c>
      <c r="E147" s="46" t="str">
        <f aca="false">IFERROR(INDEX(DATABASE!$E$4:$E$2003,MATCH($B147,DATABASE!$Z$4:$Z$2003,0))&amp;"","")</f>
        <v/>
      </c>
      <c r="F147" s="46" t="str">
        <f aca="false">IFERROR(INDEX(DATABASE!$F$4:$F$2003,MATCH($B147,DATABASE!$Z$4:$Z$2003,0))&amp;"","")</f>
        <v/>
      </c>
      <c r="G147" s="48" t="str">
        <f aca="false">IFERROR(INDEX(DATABASE!$G$4:$G$2003,MATCH($B147,DATABASE!$Z$4:$Z$2003,0))&amp;"","")</f>
        <v/>
      </c>
      <c r="H147" s="47" t="str">
        <f aca="false">IFERROR(INDEX(DATABASE!$N$4:$N$2003,MATCH($B147,DATABASE!$Z$4:$Z$2003,0))&amp;"","")</f>
        <v/>
      </c>
      <c r="I147" s="48" t="str">
        <f aca="false">IFERROR(INDEX(DATABASE!$O$4:$O$2003,MATCH($B147,DATABASE!$Z$4:$Z$2003,0))&amp;"","")</f>
        <v/>
      </c>
      <c r="J147" s="46" t="str">
        <f aca="false">IFERROR(INDEX(DATABASE!$T$4:$T$2003,MATCH($B147,DATABASE!$Z$4:$Z$2003,0))&amp;"","")</f>
        <v/>
      </c>
      <c r="K147" s="47" t="str">
        <f aca="false">IFERROR(INDEX(DATABASE!$I$4:$I$2003,MATCH($B147,DATABASE!$Z$4:$Z$2003,0))&amp;"","")</f>
        <v/>
      </c>
    </row>
    <row r="148" customFormat="false" ht="15" hidden="false" customHeight="false" outlineLevel="0" collapsed="false">
      <c r="B148" s="49" t="n">
        <v>136</v>
      </c>
      <c r="C148" s="50" t="str">
        <f aca="false">IFERROR(INDEX(DATABASE!$B$4:$B$2003,MATCH($B148,DATABASE!$Z$4:$Z$2003,0))&amp;"","")</f>
        <v/>
      </c>
      <c r="D148" s="51" t="str">
        <f aca="false">IFERROR(INDEX(DATABASE!$C$4:$C$2003,MATCH($B148,DATABASE!$Z$4:$Z$2003,0))&amp;"","")</f>
        <v/>
      </c>
      <c r="E148" s="49" t="str">
        <f aca="false">IFERROR(INDEX(DATABASE!$E$4:$E$2003,MATCH($B148,DATABASE!$Z$4:$Z$2003,0))&amp;"","")</f>
        <v/>
      </c>
      <c r="F148" s="49" t="str">
        <f aca="false">IFERROR(INDEX(DATABASE!$F$4:$F$2003,MATCH($B148,DATABASE!$Z$4:$Z$2003,0))&amp;"","")</f>
        <v/>
      </c>
      <c r="G148" s="51" t="str">
        <f aca="false">IFERROR(INDEX(DATABASE!$G$4:$G$2003,MATCH($B148,DATABASE!$Z$4:$Z$2003,0))&amp;"","")</f>
        <v/>
      </c>
      <c r="H148" s="50" t="str">
        <f aca="false">IFERROR(INDEX(DATABASE!$N$4:$N$2003,MATCH($B148,DATABASE!$Z$4:$Z$2003,0))&amp;"","")</f>
        <v/>
      </c>
      <c r="I148" s="51" t="str">
        <f aca="false">IFERROR(INDEX(DATABASE!$O$4:$O$2003,MATCH($B148,DATABASE!$Z$4:$Z$2003,0))&amp;"","")</f>
        <v/>
      </c>
      <c r="J148" s="49" t="str">
        <f aca="false">IFERROR(INDEX(DATABASE!$T$4:$T$2003,MATCH($B148,DATABASE!$Z$4:$Z$2003,0))&amp;"","")</f>
        <v/>
      </c>
      <c r="K148" s="50" t="str">
        <f aca="false">IFERROR(INDEX(DATABASE!$I$4:$I$2003,MATCH($B148,DATABASE!$Z$4:$Z$2003,0))&amp;"","")</f>
        <v/>
      </c>
    </row>
    <row r="149" customFormat="false" ht="15" hidden="false" customHeight="false" outlineLevel="0" collapsed="false">
      <c r="B149" s="46" t="n">
        <v>137</v>
      </c>
      <c r="C149" s="47" t="str">
        <f aca="false">IFERROR(INDEX(DATABASE!$B$4:$B$2003,MATCH($B149,DATABASE!$Z$4:$Z$2003,0))&amp;"","")</f>
        <v/>
      </c>
      <c r="D149" s="48" t="str">
        <f aca="false">IFERROR(INDEX(DATABASE!$C$4:$C$2003,MATCH($B149,DATABASE!$Z$4:$Z$2003,0))&amp;"","")</f>
        <v/>
      </c>
      <c r="E149" s="46" t="str">
        <f aca="false">IFERROR(INDEX(DATABASE!$E$4:$E$2003,MATCH($B149,DATABASE!$Z$4:$Z$2003,0))&amp;"","")</f>
        <v/>
      </c>
      <c r="F149" s="46" t="str">
        <f aca="false">IFERROR(INDEX(DATABASE!$F$4:$F$2003,MATCH($B149,DATABASE!$Z$4:$Z$2003,0))&amp;"","")</f>
        <v/>
      </c>
      <c r="G149" s="48" t="str">
        <f aca="false">IFERROR(INDEX(DATABASE!$G$4:$G$2003,MATCH($B149,DATABASE!$Z$4:$Z$2003,0))&amp;"","")</f>
        <v/>
      </c>
      <c r="H149" s="47" t="str">
        <f aca="false">IFERROR(INDEX(DATABASE!$N$4:$N$2003,MATCH($B149,DATABASE!$Z$4:$Z$2003,0))&amp;"","")</f>
        <v/>
      </c>
      <c r="I149" s="48" t="str">
        <f aca="false">IFERROR(INDEX(DATABASE!$O$4:$O$2003,MATCH($B149,DATABASE!$Z$4:$Z$2003,0))&amp;"","")</f>
        <v/>
      </c>
      <c r="J149" s="46" t="str">
        <f aca="false">IFERROR(INDEX(DATABASE!$T$4:$T$2003,MATCH($B149,DATABASE!$Z$4:$Z$2003,0))&amp;"","")</f>
        <v/>
      </c>
      <c r="K149" s="47" t="str">
        <f aca="false">IFERROR(INDEX(DATABASE!$I$4:$I$2003,MATCH($B149,DATABASE!$Z$4:$Z$2003,0))&amp;"","")</f>
        <v/>
      </c>
    </row>
    <row r="150" customFormat="false" ht="15" hidden="false" customHeight="false" outlineLevel="0" collapsed="false">
      <c r="B150" s="49" t="n">
        <v>138</v>
      </c>
      <c r="C150" s="50" t="str">
        <f aca="false">IFERROR(INDEX(DATABASE!$B$4:$B$2003,MATCH($B150,DATABASE!$Z$4:$Z$2003,0))&amp;"","")</f>
        <v/>
      </c>
      <c r="D150" s="51" t="str">
        <f aca="false">IFERROR(INDEX(DATABASE!$C$4:$C$2003,MATCH($B150,DATABASE!$Z$4:$Z$2003,0))&amp;"","")</f>
        <v/>
      </c>
      <c r="E150" s="49" t="str">
        <f aca="false">IFERROR(INDEX(DATABASE!$E$4:$E$2003,MATCH($B150,DATABASE!$Z$4:$Z$2003,0))&amp;"","")</f>
        <v/>
      </c>
      <c r="F150" s="49" t="str">
        <f aca="false">IFERROR(INDEX(DATABASE!$F$4:$F$2003,MATCH($B150,DATABASE!$Z$4:$Z$2003,0))&amp;"","")</f>
        <v/>
      </c>
      <c r="G150" s="51" t="str">
        <f aca="false">IFERROR(INDEX(DATABASE!$G$4:$G$2003,MATCH($B150,DATABASE!$Z$4:$Z$2003,0))&amp;"","")</f>
        <v/>
      </c>
      <c r="H150" s="50" t="str">
        <f aca="false">IFERROR(INDEX(DATABASE!$N$4:$N$2003,MATCH($B150,DATABASE!$Z$4:$Z$2003,0))&amp;"","")</f>
        <v/>
      </c>
      <c r="I150" s="51" t="str">
        <f aca="false">IFERROR(INDEX(DATABASE!$O$4:$O$2003,MATCH($B150,DATABASE!$Z$4:$Z$2003,0))&amp;"","")</f>
        <v/>
      </c>
      <c r="J150" s="49" t="str">
        <f aca="false">IFERROR(INDEX(DATABASE!$T$4:$T$2003,MATCH($B150,DATABASE!$Z$4:$Z$2003,0))&amp;"","")</f>
        <v/>
      </c>
      <c r="K150" s="50" t="str">
        <f aca="false">IFERROR(INDEX(DATABASE!$I$4:$I$2003,MATCH($B150,DATABASE!$Z$4:$Z$2003,0))&amp;"","")</f>
        <v/>
      </c>
    </row>
    <row r="151" customFormat="false" ht="15" hidden="false" customHeight="false" outlineLevel="0" collapsed="false">
      <c r="B151" s="46" t="n">
        <v>139</v>
      </c>
      <c r="C151" s="47" t="str">
        <f aca="false">IFERROR(INDEX(DATABASE!$B$4:$B$2003,MATCH($B151,DATABASE!$Z$4:$Z$2003,0))&amp;"","")</f>
        <v/>
      </c>
      <c r="D151" s="48" t="str">
        <f aca="false">IFERROR(INDEX(DATABASE!$C$4:$C$2003,MATCH($B151,DATABASE!$Z$4:$Z$2003,0))&amp;"","")</f>
        <v/>
      </c>
      <c r="E151" s="46" t="str">
        <f aca="false">IFERROR(INDEX(DATABASE!$E$4:$E$2003,MATCH($B151,DATABASE!$Z$4:$Z$2003,0))&amp;"","")</f>
        <v/>
      </c>
      <c r="F151" s="46" t="str">
        <f aca="false">IFERROR(INDEX(DATABASE!$F$4:$F$2003,MATCH($B151,DATABASE!$Z$4:$Z$2003,0))&amp;"","")</f>
        <v/>
      </c>
      <c r="G151" s="48" t="str">
        <f aca="false">IFERROR(INDEX(DATABASE!$G$4:$G$2003,MATCH($B151,DATABASE!$Z$4:$Z$2003,0))&amp;"","")</f>
        <v/>
      </c>
      <c r="H151" s="47" t="str">
        <f aca="false">IFERROR(INDEX(DATABASE!$N$4:$N$2003,MATCH($B151,DATABASE!$Z$4:$Z$2003,0))&amp;"","")</f>
        <v/>
      </c>
      <c r="I151" s="48" t="str">
        <f aca="false">IFERROR(INDEX(DATABASE!$O$4:$O$2003,MATCH($B151,DATABASE!$Z$4:$Z$2003,0))&amp;"","")</f>
        <v/>
      </c>
      <c r="J151" s="46" t="str">
        <f aca="false">IFERROR(INDEX(DATABASE!$T$4:$T$2003,MATCH($B151,DATABASE!$Z$4:$Z$2003,0))&amp;"","")</f>
        <v/>
      </c>
      <c r="K151" s="47" t="str">
        <f aca="false">IFERROR(INDEX(DATABASE!$I$4:$I$2003,MATCH($B151,DATABASE!$Z$4:$Z$2003,0))&amp;"","")</f>
        <v/>
      </c>
    </row>
    <row r="152" customFormat="false" ht="15" hidden="false" customHeight="false" outlineLevel="0" collapsed="false">
      <c r="B152" s="49" t="n">
        <v>140</v>
      </c>
      <c r="C152" s="50" t="str">
        <f aca="false">IFERROR(INDEX(DATABASE!$B$4:$B$2003,MATCH($B152,DATABASE!$Z$4:$Z$2003,0))&amp;"","")</f>
        <v/>
      </c>
      <c r="D152" s="51" t="str">
        <f aca="false">IFERROR(INDEX(DATABASE!$C$4:$C$2003,MATCH($B152,DATABASE!$Z$4:$Z$2003,0))&amp;"","")</f>
        <v/>
      </c>
      <c r="E152" s="49" t="str">
        <f aca="false">IFERROR(INDEX(DATABASE!$E$4:$E$2003,MATCH($B152,DATABASE!$Z$4:$Z$2003,0))&amp;"","")</f>
        <v/>
      </c>
      <c r="F152" s="49" t="str">
        <f aca="false">IFERROR(INDEX(DATABASE!$F$4:$F$2003,MATCH($B152,DATABASE!$Z$4:$Z$2003,0))&amp;"","")</f>
        <v/>
      </c>
      <c r="G152" s="51" t="str">
        <f aca="false">IFERROR(INDEX(DATABASE!$G$4:$G$2003,MATCH($B152,DATABASE!$Z$4:$Z$2003,0))&amp;"","")</f>
        <v/>
      </c>
      <c r="H152" s="50" t="str">
        <f aca="false">IFERROR(INDEX(DATABASE!$N$4:$N$2003,MATCH($B152,DATABASE!$Z$4:$Z$2003,0))&amp;"","")</f>
        <v/>
      </c>
      <c r="I152" s="51" t="str">
        <f aca="false">IFERROR(INDEX(DATABASE!$O$4:$O$2003,MATCH($B152,DATABASE!$Z$4:$Z$2003,0))&amp;"","")</f>
        <v/>
      </c>
      <c r="J152" s="49" t="str">
        <f aca="false">IFERROR(INDEX(DATABASE!$T$4:$T$2003,MATCH($B152,DATABASE!$Z$4:$Z$2003,0))&amp;"","")</f>
        <v/>
      </c>
      <c r="K152" s="50" t="str">
        <f aca="false">IFERROR(INDEX(DATABASE!$I$4:$I$2003,MATCH($B152,DATABASE!$Z$4:$Z$2003,0))&amp;"","")</f>
        <v/>
      </c>
    </row>
    <row r="153" customFormat="false" ht="15" hidden="false" customHeight="false" outlineLevel="0" collapsed="false">
      <c r="B153" s="46" t="n">
        <v>141</v>
      </c>
      <c r="C153" s="47" t="str">
        <f aca="false">IFERROR(INDEX(DATABASE!$B$4:$B$2003,MATCH($B153,DATABASE!$Z$4:$Z$2003,0))&amp;"","")</f>
        <v/>
      </c>
      <c r="D153" s="48" t="str">
        <f aca="false">IFERROR(INDEX(DATABASE!$C$4:$C$2003,MATCH($B153,DATABASE!$Z$4:$Z$2003,0))&amp;"","")</f>
        <v/>
      </c>
      <c r="E153" s="46" t="str">
        <f aca="false">IFERROR(INDEX(DATABASE!$E$4:$E$2003,MATCH($B153,DATABASE!$Z$4:$Z$2003,0))&amp;"","")</f>
        <v/>
      </c>
      <c r="F153" s="46" t="str">
        <f aca="false">IFERROR(INDEX(DATABASE!$F$4:$F$2003,MATCH($B153,DATABASE!$Z$4:$Z$2003,0))&amp;"","")</f>
        <v/>
      </c>
      <c r="G153" s="48" t="str">
        <f aca="false">IFERROR(INDEX(DATABASE!$G$4:$G$2003,MATCH($B153,DATABASE!$Z$4:$Z$2003,0))&amp;"","")</f>
        <v/>
      </c>
      <c r="H153" s="47" t="str">
        <f aca="false">IFERROR(INDEX(DATABASE!$N$4:$N$2003,MATCH($B153,DATABASE!$Z$4:$Z$2003,0))&amp;"","")</f>
        <v/>
      </c>
      <c r="I153" s="48" t="str">
        <f aca="false">IFERROR(INDEX(DATABASE!$O$4:$O$2003,MATCH($B153,DATABASE!$Z$4:$Z$2003,0))&amp;"","")</f>
        <v/>
      </c>
      <c r="J153" s="46" t="str">
        <f aca="false">IFERROR(INDEX(DATABASE!$T$4:$T$2003,MATCH($B153,DATABASE!$Z$4:$Z$2003,0))&amp;"","")</f>
        <v/>
      </c>
      <c r="K153" s="47" t="str">
        <f aca="false">IFERROR(INDEX(DATABASE!$I$4:$I$2003,MATCH($B153,DATABASE!$Z$4:$Z$2003,0))&amp;"","")</f>
        <v/>
      </c>
    </row>
    <row r="154" customFormat="false" ht="15" hidden="false" customHeight="false" outlineLevel="0" collapsed="false">
      <c r="B154" s="49" t="n">
        <v>142</v>
      </c>
      <c r="C154" s="50" t="str">
        <f aca="false">IFERROR(INDEX(DATABASE!$B$4:$B$2003,MATCH($B154,DATABASE!$Z$4:$Z$2003,0))&amp;"","")</f>
        <v/>
      </c>
      <c r="D154" s="51" t="str">
        <f aca="false">IFERROR(INDEX(DATABASE!$C$4:$C$2003,MATCH($B154,DATABASE!$Z$4:$Z$2003,0))&amp;"","")</f>
        <v/>
      </c>
      <c r="E154" s="49" t="str">
        <f aca="false">IFERROR(INDEX(DATABASE!$E$4:$E$2003,MATCH($B154,DATABASE!$Z$4:$Z$2003,0))&amp;"","")</f>
        <v/>
      </c>
      <c r="F154" s="49" t="str">
        <f aca="false">IFERROR(INDEX(DATABASE!$F$4:$F$2003,MATCH($B154,DATABASE!$Z$4:$Z$2003,0))&amp;"","")</f>
        <v/>
      </c>
      <c r="G154" s="51" t="str">
        <f aca="false">IFERROR(INDEX(DATABASE!$G$4:$G$2003,MATCH($B154,DATABASE!$Z$4:$Z$2003,0))&amp;"","")</f>
        <v/>
      </c>
      <c r="H154" s="50" t="str">
        <f aca="false">IFERROR(INDEX(DATABASE!$N$4:$N$2003,MATCH($B154,DATABASE!$Z$4:$Z$2003,0))&amp;"","")</f>
        <v/>
      </c>
      <c r="I154" s="51" t="str">
        <f aca="false">IFERROR(INDEX(DATABASE!$O$4:$O$2003,MATCH($B154,DATABASE!$Z$4:$Z$2003,0))&amp;"","")</f>
        <v/>
      </c>
      <c r="J154" s="49" t="str">
        <f aca="false">IFERROR(INDEX(DATABASE!$T$4:$T$2003,MATCH($B154,DATABASE!$Z$4:$Z$2003,0))&amp;"","")</f>
        <v/>
      </c>
      <c r="K154" s="50" t="str">
        <f aca="false">IFERROR(INDEX(DATABASE!$I$4:$I$2003,MATCH($B154,DATABASE!$Z$4:$Z$2003,0))&amp;"","")</f>
        <v/>
      </c>
    </row>
    <row r="155" customFormat="false" ht="15" hidden="false" customHeight="false" outlineLevel="0" collapsed="false">
      <c r="B155" s="46" t="n">
        <v>143</v>
      </c>
      <c r="C155" s="47" t="str">
        <f aca="false">IFERROR(INDEX(DATABASE!$B$4:$B$2003,MATCH($B155,DATABASE!$Z$4:$Z$2003,0))&amp;"","")</f>
        <v/>
      </c>
      <c r="D155" s="48" t="str">
        <f aca="false">IFERROR(INDEX(DATABASE!$C$4:$C$2003,MATCH($B155,DATABASE!$Z$4:$Z$2003,0))&amp;"","")</f>
        <v/>
      </c>
      <c r="E155" s="46" t="str">
        <f aca="false">IFERROR(INDEX(DATABASE!$E$4:$E$2003,MATCH($B155,DATABASE!$Z$4:$Z$2003,0))&amp;"","")</f>
        <v/>
      </c>
      <c r="F155" s="46" t="str">
        <f aca="false">IFERROR(INDEX(DATABASE!$F$4:$F$2003,MATCH($B155,DATABASE!$Z$4:$Z$2003,0))&amp;"","")</f>
        <v/>
      </c>
      <c r="G155" s="48" t="str">
        <f aca="false">IFERROR(INDEX(DATABASE!$G$4:$G$2003,MATCH($B155,DATABASE!$Z$4:$Z$2003,0))&amp;"","")</f>
        <v/>
      </c>
      <c r="H155" s="47" t="str">
        <f aca="false">IFERROR(INDEX(DATABASE!$N$4:$N$2003,MATCH($B155,DATABASE!$Z$4:$Z$2003,0))&amp;"","")</f>
        <v/>
      </c>
      <c r="I155" s="48" t="str">
        <f aca="false">IFERROR(INDEX(DATABASE!$O$4:$O$2003,MATCH($B155,DATABASE!$Z$4:$Z$2003,0))&amp;"","")</f>
        <v/>
      </c>
      <c r="J155" s="46" t="str">
        <f aca="false">IFERROR(INDEX(DATABASE!$T$4:$T$2003,MATCH($B155,DATABASE!$Z$4:$Z$2003,0))&amp;"","")</f>
        <v/>
      </c>
      <c r="K155" s="47" t="str">
        <f aca="false">IFERROR(INDEX(DATABASE!$I$4:$I$2003,MATCH($B155,DATABASE!$Z$4:$Z$2003,0))&amp;"","")</f>
        <v/>
      </c>
    </row>
    <row r="156" customFormat="false" ht="15" hidden="false" customHeight="false" outlineLevel="0" collapsed="false">
      <c r="B156" s="49" t="n">
        <v>144</v>
      </c>
      <c r="C156" s="50" t="str">
        <f aca="false">IFERROR(INDEX(DATABASE!$B$4:$B$2003,MATCH($B156,DATABASE!$Z$4:$Z$2003,0))&amp;"","")</f>
        <v/>
      </c>
      <c r="D156" s="51" t="str">
        <f aca="false">IFERROR(INDEX(DATABASE!$C$4:$C$2003,MATCH($B156,DATABASE!$Z$4:$Z$2003,0))&amp;"","")</f>
        <v/>
      </c>
      <c r="E156" s="49" t="str">
        <f aca="false">IFERROR(INDEX(DATABASE!$E$4:$E$2003,MATCH($B156,DATABASE!$Z$4:$Z$2003,0))&amp;"","")</f>
        <v/>
      </c>
      <c r="F156" s="49" t="str">
        <f aca="false">IFERROR(INDEX(DATABASE!$F$4:$F$2003,MATCH($B156,DATABASE!$Z$4:$Z$2003,0))&amp;"","")</f>
        <v/>
      </c>
      <c r="G156" s="51" t="str">
        <f aca="false">IFERROR(INDEX(DATABASE!$G$4:$G$2003,MATCH($B156,DATABASE!$Z$4:$Z$2003,0))&amp;"","")</f>
        <v/>
      </c>
      <c r="H156" s="50" t="str">
        <f aca="false">IFERROR(INDEX(DATABASE!$N$4:$N$2003,MATCH($B156,DATABASE!$Z$4:$Z$2003,0))&amp;"","")</f>
        <v/>
      </c>
      <c r="I156" s="51" t="str">
        <f aca="false">IFERROR(INDEX(DATABASE!$O$4:$O$2003,MATCH($B156,DATABASE!$Z$4:$Z$2003,0))&amp;"","")</f>
        <v/>
      </c>
      <c r="J156" s="49" t="str">
        <f aca="false">IFERROR(INDEX(DATABASE!$T$4:$T$2003,MATCH($B156,DATABASE!$Z$4:$Z$2003,0))&amp;"","")</f>
        <v/>
      </c>
      <c r="K156" s="50" t="str">
        <f aca="false">IFERROR(INDEX(DATABASE!$I$4:$I$2003,MATCH($B156,DATABASE!$Z$4:$Z$2003,0))&amp;"","")</f>
        <v/>
      </c>
    </row>
    <row r="157" customFormat="false" ht="15" hidden="false" customHeight="false" outlineLevel="0" collapsed="false">
      <c r="B157" s="46" t="n">
        <v>145</v>
      </c>
      <c r="C157" s="47" t="str">
        <f aca="false">IFERROR(INDEX(DATABASE!$B$4:$B$2003,MATCH($B157,DATABASE!$Z$4:$Z$2003,0))&amp;"","")</f>
        <v/>
      </c>
      <c r="D157" s="48" t="str">
        <f aca="false">IFERROR(INDEX(DATABASE!$C$4:$C$2003,MATCH($B157,DATABASE!$Z$4:$Z$2003,0))&amp;"","")</f>
        <v/>
      </c>
      <c r="E157" s="46" t="str">
        <f aca="false">IFERROR(INDEX(DATABASE!$E$4:$E$2003,MATCH($B157,DATABASE!$Z$4:$Z$2003,0))&amp;"","")</f>
        <v/>
      </c>
      <c r="F157" s="46" t="str">
        <f aca="false">IFERROR(INDEX(DATABASE!$F$4:$F$2003,MATCH($B157,DATABASE!$Z$4:$Z$2003,0))&amp;"","")</f>
        <v/>
      </c>
      <c r="G157" s="48" t="str">
        <f aca="false">IFERROR(INDEX(DATABASE!$G$4:$G$2003,MATCH($B157,DATABASE!$Z$4:$Z$2003,0))&amp;"","")</f>
        <v/>
      </c>
      <c r="H157" s="47" t="str">
        <f aca="false">IFERROR(INDEX(DATABASE!$N$4:$N$2003,MATCH($B157,DATABASE!$Z$4:$Z$2003,0))&amp;"","")</f>
        <v/>
      </c>
      <c r="I157" s="48" t="str">
        <f aca="false">IFERROR(INDEX(DATABASE!$O$4:$O$2003,MATCH($B157,DATABASE!$Z$4:$Z$2003,0))&amp;"","")</f>
        <v/>
      </c>
      <c r="J157" s="46" t="str">
        <f aca="false">IFERROR(INDEX(DATABASE!$T$4:$T$2003,MATCH($B157,DATABASE!$Z$4:$Z$2003,0))&amp;"","")</f>
        <v/>
      </c>
      <c r="K157" s="47" t="str">
        <f aca="false">IFERROR(INDEX(DATABASE!$I$4:$I$2003,MATCH($B157,DATABASE!$Z$4:$Z$2003,0))&amp;"","")</f>
        <v/>
      </c>
    </row>
    <row r="158" customFormat="false" ht="15" hidden="false" customHeight="false" outlineLevel="0" collapsed="false">
      <c r="B158" s="49" t="n">
        <v>146</v>
      </c>
      <c r="C158" s="50" t="str">
        <f aca="false">IFERROR(INDEX(DATABASE!$B$4:$B$2003,MATCH($B158,DATABASE!$Z$4:$Z$2003,0))&amp;"","")</f>
        <v/>
      </c>
      <c r="D158" s="51" t="str">
        <f aca="false">IFERROR(INDEX(DATABASE!$C$4:$C$2003,MATCH($B158,DATABASE!$Z$4:$Z$2003,0))&amp;"","")</f>
        <v/>
      </c>
      <c r="E158" s="49" t="str">
        <f aca="false">IFERROR(INDEX(DATABASE!$E$4:$E$2003,MATCH($B158,DATABASE!$Z$4:$Z$2003,0))&amp;"","")</f>
        <v/>
      </c>
      <c r="F158" s="49" t="str">
        <f aca="false">IFERROR(INDEX(DATABASE!$F$4:$F$2003,MATCH($B158,DATABASE!$Z$4:$Z$2003,0))&amp;"","")</f>
        <v/>
      </c>
      <c r="G158" s="51" t="str">
        <f aca="false">IFERROR(INDEX(DATABASE!$G$4:$G$2003,MATCH($B158,DATABASE!$Z$4:$Z$2003,0))&amp;"","")</f>
        <v/>
      </c>
      <c r="H158" s="50" t="str">
        <f aca="false">IFERROR(INDEX(DATABASE!$N$4:$N$2003,MATCH($B158,DATABASE!$Z$4:$Z$2003,0))&amp;"","")</f>
        <v/>
      </c>
      <c r="I158" s="51" t="str">
        <f aca="false">IFERROR(INDEX(DATABASE!$O$4:$O$2003,MATCH($B158,DATABASE!$Z$4:$Z$2003,0))&amp;"","")</f>
        <v/>
      </c>
      <c r="J158" s="49" t="str">
        <f aca="false">IFERROR(INDEX(DATABASE!$T$4:$T$2003,MATCH($B158,DATABASE!$Z$4:$Z$2003,0))&amp;"","")</f>
        <v/>
      </c>
      <c r="K158" s="50" t="str">
        <f aca="false">IFERROR(INDEX(DATABASE!$I$4:$I$2003,MATCH($B158,DATABASE!$Z$4:$Z$2003,0))&amp;"","")</f>
        <v/>
      </c>
    </row>
    <row r="159" customFormat="false" ht="15" hidden="false" customHeight="false" outlineLevel="0" collapsed="false">
      <c r="B159" s="46" t="n">
        <v>147</v>
      </c>
      <c r="C159" s="47" t="str">
        <f aca="false">IFERROR(INDEX(DATABASE!$B$4:$B$2003,MATCH($B159,DATABASE!$Z$4:$Z$2003,0))&amp;"","")</f>
        <v/>
      </c>
      <c r="D159" s="48" t="str">
        <f aca="false">IFERROR(INDEX(DATABASE!$C$4:$C$2003,MATCH($B159,DATABASE!$Z$4:$Z$2003,0))&amp;"","")</f>
        <v/>
      </c>
      <c r="E159" s="46" t="str">
        <f aca="false">IFERROR(INDEX(DATABASE!$E$4:$E$2003,MATCH($B159,DATABASE!$Z$4:$Z$2003,0))&amp;"","")</f>
        <v/>
      </c>
      <c r="F159" s="46" t="str">
        <f aca="false">IFERROR(INDEX(DATABASE!$F$4:$F$2003,MATCH($B159,DATABASE!$Z$4:$Z$2003,0))&amp;"","")</f>
        <v/>
      </c>
      <c r="G159" s="48" t="str">
        <f aca="false">IFERROR(INDEX(DATABASE!$G$4:$G$2003,MATCH($B159,DATABASE!$Z$4:$Z$2003,0))&amp;"","")</f>
        <v/>
      </c>
      <c r="H159" s="47" t="str">
        <f aca="false">IFERROR(INDEX(DATABASE!$N$4:$N$2003,MATCH($B159,DATABASE!$Z$4:$Z$2003,0))&amp;"","")</f>
        <v/>
      </c>
      <c r="I159" s="48" t="str">
        <f aca="false">IFERROR(INDEX(DATABASE!$O$4:$O$2003,MATCH($B159,DATABASE!$Z$4:$Z$2003,0))&amp;"","")</f>
        <v/>
      </c>
      <c r="J159" s="46" t="str">
        <f aca="false">IFERROR(INDEX(DATABASE!$T$4:$T$2003,MATCH($B159,DATABASE!$Z$4:$Z$2003,0))&amp;"","")</f>
        <v/>
      </c>
      <c r="K159" s="47" t="str">
        <f aca="false">IFERROR(INDEX(DATABASE!$I$4:$I$2003,MATCH($B159,DATABASE!$Z$4:$Z$2003,0))&amp;"","")</f>
        <v/>
      </c>
    </row>
    <row r="160" customFormat="false" ht="15" hidden="false" customHeight="false" outlineLevel="0" collapsed="false">
      <c r="B160" s="49" t="n">
        <v>148</v>
      </c>
      <c r="C160" s="50" t="str">
        <f aca="false">IFERROR(INDEX(DATABASE!$B$4:$B$2003,MATCH($B160,DATABASE!$Z$4:$Z$2003,0))&amp;"","")</f>
        <v/>
      </c>
      <c r="D160" s="51" t="str">
        <f aca="false">IFERROR(INDEX(DATABASE!$C$4:$C$2003,MATCH($B160,DATABASE!$Z$4:$Z$2003,0))&amp;"","")</f>
        <v/>
      </c>
      <c r="E160" s="49" t="str">
        <f aca="false">IFERROR(INDEX(DATABASE!$E$4:$E$2003,MATCH($B160,DATABASE!$Z$4:$Z$2003,0))&amp;"","")</f>
        <v/>
      </c>
      <c r="F160" s="49" t="str">
        <f aca="false">IFERROR(INDEX(DATABASE!$F$4:$F$2003,MATCH($B160,DATABASE!$Z$4:$Z$2003,0))&amp;"","")</f>
        <v/>
      </c>
      <c r="G160" s="51" t="str">
        <f aca="false">IFERROR(INDEX(DATABASE!$G$4:$G$2003,MATCH($B160,DATABASE!$Z$4:$Z$2003,0))&amp;"","")</f>
        <v/>
      </c>
      <c r="H160" s="50" t="str">
        <f aca="false">IFERROR(INDEX(DATABASE!$N$4:$N$2003,MATCH($B160,DATABASE!$Z$4:$Z$2003,0))&amp;"","")</f>
        <v/>
      </c>
      <c r="I160" s="51" t="str">
        <f aca="false">IFERROR(INDEX(DATABASE!$O$4:$O$2003,MATCH($B160,DATABASE!$Z$4:$Z$2003,0))&amp;"","")</f>
        <v/>
      </c>
      <c r="J160" s="49" t="str">
        <f aca="false">IFERROR(INDEX(DATABASE!$T$4:$T$2003,MATCH($B160,DATABASE!$Z$4:$Z$2003,0))&amp;"","")</f>
        <v/>
      </c>
      <c r="K160" s="50" t="str">
        <f aca="false">IFERROR(INDEX(DATABASE!$I$4:$I$2003,MATCH($B160,DATABASE!$Z$4:$Z$2003,0))&amp;"","")</f>
        <v/>
      </c>
    </row>
    <row r="161" customFormat="false" ht="15" hidden="false" customHeight="false" outlineLevel="0" collapsed="false">
      <c r="B161" s="46" t="n">
        <v>149</v>
      </c>
      <c r="C161" s="47" t="str">
        <f aca="false">IFERROR(INDEX(DATABASE!$B$4:$B$2003,MATCH($B161,DATABASE!$Z$4:$Z$2003,0))&amp;"","")</f>
        <v/>
      </c>
      <c r="D161" s="48" t="str">
        <f aca="false">IFERROR(INDEX(DATABASE!$C$4:$C$2003,MATCH($B161,DATABASE!$Z$4:$Z$2003,0))&amp;"","")</f>
        <v/>
      </c>
      <c r="E161" s="46" t="str">
        <f aca="false">IFERROR(INDEX(DATABASE!$E$4:$E$2003,MATCH($B161,DATABASE!$Z$4:$Z$2003,0))&amp;"","")</f>
        <v/>
      </c>
      <c r="F161" s="46" t="str">
        <f aca="false">IFERROR(INDEX(DATABASE!$F$4:$F$2003,MATCH($B161,DATABASE!$Z$4:$Z$2003,0))&amp;"","")</f>
        <v/>
      </c>
      <c r="G161" s="48" t="str">
        <f aca="false">IFERROR(INDEX(DATABASE!$G$4:$G$2003,MATCH($B161,DATABASE!$Z$4:$Z$2003,0))&amp;"","")</f>
        <v/>
      </c>
      <c r="H161" s="47" t="str">
        <f aca="false">IFERROR(INDEX(DATABASE!$N$4:$N$2003,MATCH($B161,DATABASE!$Z$4:$Z$2003,0))&amp;"","")</f>
        <v/>
      </c>
      <c r="I161" s="48" t="str">
        <f aca="false">IFERROR(INDEX(DATABASE!$O$4:$O$2003,MATCH($B161,DATABASE!$Z$4:$Z$2003,0))&amp;"","")</f>
        <v/>
      </c>
      <c r="J161" s="46" t="str">
        <f aca="false">IFERROR(INDEX(DATABASE!$T$4:$T$2003,MATCH($B161,DATABASE!$Z$4:$Z$2003,0))&amp;"","")</f>
        <v/>
      </c>
      <c r="K161" s="47" t="str">
        <f aca="false">IFERROR(INDEX(DATABASE!$I$4:$I$2003,MATCH($B161,DATABASE!$Z$4:$Z$2003,0))&amp;"","")</f>
        <v/>
      </c>
    </row>
    <row r="162" customFormat="false" ht="15" hidden="false" customHeight="false" outlineLevel="0" collapsed="false">
      <c r="B162" s="49" t="n">
        <v>150</v>
      </c>
      <c r="C162" s="50" t="str">
        <f aca="false">IFERROR(INDEX(DATABASE!$B$4:$B$2003,MATCH($B162,DATABASE!$Z$4:$Z$2003,0))&amp;"","")</f>
        <v/>
      </c>
      <c r="D162" s="51" t="str">
        <f aca="false">IFERROR(INDEX(DATABASE!$C$4:$C$2003,MATCH($B162,DATABASE!$Z$4:$Z$2003,0))&amp;"","")</f>
        <v/>
      </c>
      <c r="E162" s="49" t="str">
        <f aca="false">IFERROR(INDEX(DATABASE!$E$4:$E$2003,MATCH($B162,DATABASE!$Z$4:$Z$2003,0))&amp;"","")</f>
        <v/>
      </c>
      <c r="F162" s="49" t="str">
        <f aca="false">IFERROR(INDEX(DATABASE!$F$4:$F$2003,MATCH($B162,DATABASE!$Z$4:$Z$2003,0))&amp;"","")</f>
        <v/>
      </c>
      <c r="G162" s="51" t="str">
        <f aca="false">IFERROR(INDEX(DATABASE!$G$4:$G$2003,MATCH($B162,DATABASE!$Z$4:$Z$2003,0))&amp;"","")</f>
        <v/>
      </c>
      <c r="H162" s="50" t="str">
        <f aca="false">IFERROR(INDEX(DATABASE!$N$4:$N$2003,MATCH($B162,DATABASE!$Z$4:$Z$2003,0))&amp;"","")</f>
        <v/>
      </c>
      <c r="I162" s="51" t="str">
        <f aca="false">IFERROR(INDEX(DATABASE!$O$4:$O$2003,MATCH($B162,DATABASE!$Z$4:$Z$2003,0))&amp;"","")</f>
        <v/>
      </c>
      <c r="J162" s="49" t="str">
        <f aca="false">IFERROR(INDEX(DATABASE!$T$4:$T$2003,MATCH($B162,DATABASE!$Z$4:$Z$2003,0))&amp;"","")</f>
        <v/>
      </c>
      <c r="K162" s="50" t="str">
        <f aca="false">IFERROR(INDEX(DATABASE!$I$4:$I$2003,MATCH($B162,DATABASE!$Z$4:$Z$2003,0))&amp;"","")</f>
        <v/>
      </c>
    </row>
  </sheetData>
  <sheetProtection sheet="true" formatCells="false" formatColumns="false" formatRows="false" sort="false" autoFilter="false"/>
  <mergeCells count="2">
    <mergeCell ref="A1:K1"/>
    <mergeCell ref="B4:K4"/>
  </mergeCells>
  <dataValidations count="3">
    <dataValidation allowBlank="true" errorStyle="stop" operator="between" showDropDown="false" showErrorMessage="false" showInputMessage="false" sqref="C6" type="list">
      <formula1>daftar_kampung</formula1>
      <formula2>0</formula2>
    </dataValidation>
    <dataValidation allowBlank="true" errorStyle="stop" operator="between" showDropDown="false" showErrorMessage="false" showInputMessage="false" sqref="C7" type="list">
      <formula1>daftar_rt</formula1>
      <formula2>0</formula2>
    </dataValidation>
    <dataValidation allowBlank="true" errorStyle="stop" operator="between" showDropDown="false" showErrorMessage="false" showInputMessage="false" sqref="C8" type="list">
      <formula1>daftar_status</formula1>
      <formula2>0</formula2>
    </dataValidation>
  </dataValidations>
  <hyperlinks>
    <hyperlink ref="A2" location="MENU!A1" display="◀  MENU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5C"/>
    <pageSetUpPr fitToPage="true"/>
  </sheetPr>
  <dimension ref="A1:AA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8" min="3" style="0" width="7.5"/>
    <col collapsed="false" customWidth="true" hidden="false" outlineLevel="0" max="9" min="9" style="0" width="12"/>
    <col collapsed="false" customWidth="true" hidden="false" outlineLevel="0" max="24" min="10" style="0" width="7.5"/>
    <col collapsed="false" customWidth="true" hidden="true" outlineLevel="0" max="27" min="27" style="0" width="13"/>
  </cols>
  <sheetData>
    <row r="1" customFormat="false" ht="25.5" hidden="false" customHeight="true" outlineLevel="0" collapsed="false">
      <c r="A1" s="29" t="s">
        <v>218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AA1" s="52" t="str">
        <f aca="false">IF(OR($D$82="",$F$82=""),"~",$D$82&amp;" - RT "&amp;$F$82&amp;IF($H$82="","","/"&amp;$H$82))</f>
        <v>~</v>
      </c>
    </row>
    <row r="2" customFormat="false" ht="15" hidden="false" customHeight="false" outlineLevel="0" collapsed="false">
      <c r="A2" s="30" t="s">
        <v>34</v>
      </c>
      <c r="C2" s="31" t="s">
        <v>219</v>
      </c>
    </row>
    <row r="4" customFormat="false" ht="19.5" hidden="false" customHeight="true" outlineLevel="0" collapsed="false">
      <c r="B4" s="6" t="s">
        <v>220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5" hidden="false" customHeight="false" outlineLevel="0" collapsed="false">
      <c r="B5" s="53" t="s">
        <v>24</v>
      </c>
      <c r="C5" s="54" t="str">
        <f aca="false">REFERENSI!$D$6</f>
        <v>001</v>
      </c>
      <c r="D5" s="54" t="str">
        <f aca="false">REFERENSI!$D$7</f>
        <v>002</v>
      </c>
      <c r="E5" s="54" t="str">
        <f aca="false">REFERENSI!$D$8</f>
        <v>003</v>
      </c>
      <c r="F5" s="54" t="str">
        <f aca="false">REFERENSI!$D$9</f>
        <v>004</v>
      </c>
      <c r="G5" s="54" t="str">
        <f aca="false">REFERENSI!$D$10</f>
        <v>005</v>
      </c>
      <c r="H5" s="54" t="str">
        <f aca="false">REFERENSI!$D$11</f>
        <v>006</v>
      </c>
      <c r="I5" s="54" t="str">
        <f aca="false">REFERENSI!$D$12</f>
        <v>007</v>
      </c>
      <c r="J5" s="54" t="str">
        <f aca="false">REFERENSI!$D$13</f>
        <v>008</v>
      </c>
      <c r="K5" s="54" t="n">
        <f aca="false">REFERENSI!$D$14</f>
        <v>0</v>
      </c>
      <c r="L5" s="54" t="n">
        <f aca="false">REFERENSI!$D$15</f>
        <v>0</v>
      </c>
      <c r="M5" s="54" t="n">
        <f aca="false">REFERENSI!$D$16</f>
        <v>0</v>
      </c>
      <c r="N5" s="54" t="n">
        <f aca="false">REFERENSI!$D$17</f>
        <v>0</v>
      </c>
      <c r="O5" s="54" t="n">
        <f aca="false">REFERENSI!$D$18</f>
        <v>0</v>
      </c>
      <c r="P5" s="54" t="n">
        <f aca="false">REFERENSI!$D$19</f>
        <v>0</v>
      </c>
      <c r="Q5" s="54" t="n">
        <f aca="false">REFERENSI!$D$20</f>
        <v>0</v>
      </c>
      <c r="R5" s="54" t="n">
        <f aca="false">REFERENSI!$D$21</f>
        <v>0</v>
      </c>
      <c r="S5" s="54" t="n">
        <f aca="false">REFERENSI!$D$22</f>
        <v>0</v>
      </c>
      <c r="T5" s="54" t="n">
        <f aca="false">REFERENSI!$D$23</f>
        <v>0</v>
      </c>
      <c r="U5" s="54" t="n">
        <f aca="false">REFERENSI!$D$24</f>
        <v>0</v>
      </c>
      <c r="V5" s="54" t="n">
        <f aca="false">REFERENSI!$D$25</f>
        <v>0</v>
      </c>
      <c r="W5" s="17" t="s">
        <v>36</v>
      </c>
    </row>
    <row r="6" customFormat="false" ht="15" hidden="false" customHeight="false" outlineLevel="0" collapsed="false">
      <c r="B6" s="9" t="str">
        <f aca="true">IFERROR(INDEX(daftar_kampung,1),"")</f>
        <v>Kp. Gamprit</v>
      </c>
      <c r="C6" s="55" t="n">
        <f aca="false">IF(OR($B6="",C$5=""),"",COUNTIFS(DATABASE!$F$4:$F$2003,$B6,DATABASE!$G$4:$G$2003,C$5))</f>
        <v>2</v>
      </c>
      <c r="D6" s="55" t="n">
        <f aca="false">IF(OR($B6="",D$5=""),"",COUNTIFS(DATABASE!$F$4:$F$2003,$B6,DATABASE!$G$4:$G$2003,D$5))</f>
        <v>1</v>
      </c>
      <c r="E6" s="55" t="n">
        <f aca="false">IF(OR($B6="",E$5=""),"",COUNTIFS(DATABASE!$F$4:$F$2003,$B6,DATABASE!$G$4:$G$2003,E$5))</f>
        <v>8</v>
      </c>
      <c r="F6" s="55" t="n">
        <f aca="false">IF(OR($B6="",F$5=""),"",COUNTIFS(DATABASE!$F$4:$F$2003,$B6,DATABASE!$G$4:$G$2003,F$5))</f>
        <v>2</v>
      </c>
      <c r="G6" s="55" t="n">
        <f aca="false">IF(OR($B6="",G$5=""),"",COUNTIFS(DATABASE!$F$4:$F$2003,$B6,DATABASE!$G$4:$G$2003,G$5))</f>
        <v>0</v>
      </c>
      <c r="H6" s="55" t="n">
        <f aca="false">IF(OR($B6="",H$5=""),"",COUNTIFS(DATABASE!$F$4:$F$2003,$B6,DATABASE!$G$4:$G$2003,H$5))</f>
        <v>0</v>
      </c>
      <c r="I6" s="55" t="n">
        <f aca="false">IF(OR($B6="",I$5=""),"",COUNTIFS(DATABASE!$F$4:$F$2003,$B6,DATABASE!$G$4:$G$2003,I$5))</f>
        <v>0</v>
      </c>
      <c r="J6" s="55" t="n">
        <f aca="false">IF(OR($B6="",J$5=""),"",COUNTIFS(DATABASE!$F$4:$F$2003,$B6,DATABASE!$G$4:$G$2003,J$5))</f>
        <v>0</v>
      </c>
      <c r="K6" s="55" t="str">
        <f aca="false">IF(OR($B6="",K$5=""),"",COUNTIFS(DATABASE!$F$4:$F$2003,$B6,DATABASE!$G$4:$G$2003,K$5))</f>
        <v/>
      </c>
      <c r="L6" s="55" t="str">
        <f aca="false">IF(OR($B6="",L$5=""),"",COUNTIFS(DATABASE!$F$4:$F$2003,$B6,DATABASE!$G$4:$G$2003,L$5))</f>
        <v/>
      </c>
      <c r="M6" s="55" t="str">
        <f aca="false">IF(OR($B6="",M$5=""),"",COUNTIFS(DATABASE!$F$4:$F$2003,$B6,DATABASE!$G$4:$G$2003,M$5))</f>
        <v/>
      </c>
      <c r="N6" s="55" t="str">
        <f aca="false">IF(OR($B6="",N$5=""),"",COUNTIFS(DATABASE!$F$4:$F$2003,$B6,DATABASE!$G$4:$G$2003,N$5))</f>
        <v/>
      </c>
      <c r="O6" s="55" t="str">
        <f aca="false">IF(OR($B6="",O$5=""),"",COUNTIFS(DATABASE!$F$4:$F$2003,$B6,DATABASE!$G$4:$G$2003,O$5))</f>
        <v/>
      </c>
      <c r="P6" s="55" t="str">
        <f aca="false">IF(OR($B6="",P$5=""),"",COUNTIFS(DATABASE!$F$4:$F$2003,$B6,DATABASE!$G$4:$G$2003,P$5))</f>
        <v/>
      </c>
      <c r="Q6" s="55" t="str">
        <f aca="false">IF(OR($B6="",Q$5=""),"",COUNTIFS(DATABASE!$F$4:$F$2003,$B6,DATABASE!$G$4:$G$2003,Q$5))</f>
        <v/>
      </c>
      <c r="R6" s="55" t="str">
        <f aca="false">IF(OR($B6="",R$5=""),"",COUNTIFS(DATABASE!$F$4:$F$2003,$B6,DATABASE!$G$4:$G$2003,R$5))</f>
        <v/>
      </c>
      <c r="S6" s="55" t="str">
        <f aca="false">IF(OR($B6="",S$5=""),"",COUNTIFS(DATABASE!$F$4:$F$2003,$B6,DATABASE!$G$4:$G$2003,S$5))</f>
        <v/>
      </c>
      <c r="T6" s="55" t="str">
        <f aca="false">IF(OR($B6="",T$5=""),"",COUNTIFS(DATABASE!$F$4:$F$2003,$B6,DATABASE!$G$4:$G$2003,T$5))</f>
        <v/>
      </c>
      <c r="U6" s="55" t="str">
        <f aca="false">IF(OR($B6="",U$5=""),"",COUNTIFS(DATABASE!$F$4:$F$2003,$B6,DATABASE!$G$4:$G$2003,U$5))</f>
        <v/>
      </c>
      <c r="V6" s="55" t="str">
        <f aca="false">IF(OR($B6="",V$5=""),"",COUNTIFS(DATABASE!$F$4:$F$2003,$B6,DATABASE!$G$4:$G$2003,V$5))</f>
        <v/>
      </c>
      <c r="W6" s="56" t="n">
        <f aca="false">IF($B6="","",COUNTIF(DATABASE!$F$4:$F$2003,$B6))</f>
        <v>18</v>
      </c>
    </row>
    <row r="7" customFormat="false" ht="15" hidden="false" customHeight="false" outlineLevel="0" collapsed="false">
      <c r="B7" s="13" t="str">
        <f aca="true">IFERROR(INDEX(daftar_kampung,2),"")</f>
        <v>Kp. Kuda Kuda</v>
      </c>
      <c r="C7" s="57" t="n">
        <f aca="false">IF(OR($B7="",C$5=""),"",COUNTIFS(DATABASE!$F$4:$F$2003,$B7,DATABASE!$G$4:$G$2003,C$5))</f>
        <v>2</v>
      </c>
      <c r="D7" s="57" t="n">
        <f aca="false">IF(OR($B7="",D$5=""),"",COUNTIFS(DATABASE!$F$4:$F$2003,$B7,DATABASE!$G$4:$G$2003,D$5))</f>
        <v>0</v>
      </c>
      <c r="E7" s="57" t="n">
        <f aca="false">IF(OR($B7="",E$5=""),"",COUNTIFS(DATABASE!$F$4:$F$2003,$B7,DATABASE!$G$4:$G$2003,E$5))</f>
        <v>3</v>
      </c>
      <c r="F7" s="57" t="n">
        <f aca="false">IF(OR($B7="",F$5=""),"",COUNTIFS(DATABASE!$F$4:$F$2003,$B7,DATABASE!$G$4:$G$2003,F$5))</f>
        <v>5</v>
      </c>
      <c r="G7" s="57" t="n">
        <f aca="false">IF(OR($B7="",G$5=""),"",COUNTIFS(DATABASE!$F$4:$F$2003,$B7,DATABASE!$G$4:$G$2003,G$5))</f>
        <v>0</v>
      </c>
      <c r="H7" s="57" t="n">
        <f aca="false">IF(OR($B7="",H$5=""),"",COUNTIFS(DATABASE!$F$4:$F$2003,$B7,DATABASE!$G$4:$G$2003,H$5))</f>
        <v>0</v>
      </c>
      <c r="I7" s="57" t="n">
        <f aca="false">IF(OR($B7="",I$5=""),"",COUNTIFS(DATABASE!$F$4:$F$2003,$B7,DATABASE!$G$4:$G$2003,I$5))</f>
        <v>0</v>
      </c>
      <c r="J7" s="57" t="n">
        <f aca="false">IF(OR($B7="",J$5=""),"",COUNTIFS(DATABASE!$F$4:$F$2003,$B7,DATABASE!$G$4:$G$2003,J$5))</f>
        <v>0</v>
      </c>
      <c r="K7" s="57" t="str">
        <f aca="false">IF(OR($B7="",K$5=""),"",COUNTIFS(DATABASE!$F$4:$F$2003,$B7,DATABASE!$G$4:$G$2003,K$5))</f>
        <v/>
      </c>
      <c r="L7" s="57" t="str">
        <f aca="false">IF(OR($B7="",L$5=""),"",COUNTIFS(DATABASE!$F$4:$F$2003,$B7,DATABASE!$G$4:$G$2003,L$5))</f>
        <v/>
      </c>
      <c r="M7" s="57" t="str">
        <f aca="false">IF(OR($B7="",M$5=""),"",COUNTIFS(DATABASE!$F$4:$F$2003,$B7,DATABASE!$G$4:$G$2003,M$5))</f>
        <v/>
      </c>
      <c r="N7" s="57" t="str">
        <f aca="false">IF(OR($B7="",N$5=""),"",COUNTIFS(DATABASE!$F$4:$F$2003,$B7,DATABASE!$G$4:$G$2003,N$5))</f>
        <v/>
      </c>
      <c r="O7" s="57" t="str">
        <f aca="false">IF(OR($B7="",O$5=""),"",COUNTIFS(DATABASE!$F$4:$F$2003,$B7,DATABASE!$G$4:$G$2003,O$5))</f>
        <v/>
      </c>
      <c r="P7" s="57" t="str">
        <f aca="false">IF(OR($B7="",P$5=""),"",COUNTIFS(DATABASE!$F$4:$F$2003,$B7,DATABASE!$G$4:$G$2003,P$5))</f>
        <v/>
      </c>
      <c r="Q7" s="57" t="str">
        <f aca="false">IF(OR($B7="",Q$5=""),"",COUNTIFS(DATABASE!$F$4:$F$2003,$B7,DATABASE!$G$4:$G$2003,Q$5))</f>
        <v/>
      </c>
      <c r="R7" s="57" t="str">
        <f aca="false">IF(OR($B7="",R$5=""),"",COUNTIFS(DATABASE!$F$4:$F$2003,$B7,DATABASE!$G$4:$G$2003,R$5))</f>
        <v/>
      </c>
      <c r="S7" s="57" t="str">
        <f aca="false">IF(OR($B7="",S$5=""),"",COUNTIFS(DATABASE!$F$4:$F$2003,$B7,DATABASE!$G$4:$G$2003,S$5))</f>
        <v/>
      </c>
      <c r="T7" s="57" t="str">
        <f aca="false">IF(OR($B7="",T$5=""),"",COUNTIFS(DATABASE!$F$4:$F$2003,$B7,DATABASE!$G$4:$G$2003,T$5))</f>
        <v/>
      </c>
      <c r="U7" s="57" t="str">
        <f aca="false">IF(OR($B7="",U$5=""),"",COUNTIFS(DATABASE!$F$4:$F$2003,$B7,DATABASE!$G$4:$G$2003,U$5))</f>
        <v/>
      </c>
      <c r="V7" s="57" t="str">
        <f aca="false">IF(OR($B7="",V$5=""),"",COUNTIFS(DATABASE!$F$4:$F$2003,$B7,DATABASE!$G$4:$G$2003,V$5))</f>
        <v/>
      </c>
      <c r="W7" s="58" t="n">
        <f aca="false">IF($B7="","",COUNTIF(DATABASE!$F$4:$F$2003,$B7))</f>
        <v>11</v>
      </c>
    </row>
    <row r="8" customFormat="false" ht="15" hidden="false" customHeight="false" outlineLevel="0" collapsed="false">
      <c r="B8" s="9" t="str">
        <f aca="true">IFERROR(INDEX(daftar_kampung,3),"")</f>
        <v>Kp. Wangkal</v>
      </c>
      <c r="C8" s="55" t="n">
        <f aca="false">IF(OR($B8="",C$5=""),"",COUNTIFS(DATABASE!$F$4:$F$2003,$B8,DATABASE!$G$4:$G$2003,C$5))</f>
        <v>0</v>
      </c>
      <c r="D8" s="55" t="n">
        <f aca="false">IF(OR($B8="",D$5=""),"",COUNTIFS(DATABASE!$F$4:$F$2003,$B8,DATABASE!$G$4:$G$2003,D$5))</f>
        <v>0</v>
      </c>
      <c r="E8" s="55" t="n">
        <f aca="false">IF(OR($B8="",E$5=""),"",COUNTIFS(DATABASE!$F$4:$F$2003,$B8,DATABASE!$G$4:$G$2003,E$5))</f>
        <v>0</v>
      </c>
      <c r="F8" s="55" t="n">
        <f aca="false">IF(OR($B8="",F$5=""),"",COUNTIFS(DATABASE!$F$4:$F$2003,$B8,DATABASE!$G$4:$G$2003,F$5))</f>
        <v>5</v>
      </c>
      <c r="G8" s="55" t="n">
        <f aca="false">IF(OR($B8="",G$5=""),"",COUNTIFS(DATABASE!$F$4:$F$2003,$B8,DATABASE!$G$4:$G$2003,G$5))</f>
        <v>2</v>
      </c>
      <c r="H8" s="55" t="n">
        <f aca="false">IF(OR($B8="",H$5=""),"",COUNTIFS(DATABASE!$F$4:$F$2003,$B8,DATABASE!$G$4:$G$2003,H$5))</f>
        <v>0</v>
      </c>
      <c r="I8" s="55" t="n">
        <f aca="false">IF(OR($B8="",I$5=""),"",COUNTIFS(DATABASE!$F$4:$F$2003,$B8,DATABASE!$G$4:$G$2003,I$5))</f>
        <v>0</v>
      </c>
      <c r="J8" s="55" t="n">
        <f aca="false">IF(OR($B8="",J$5=""),"",COUNTIFS(DATABASE!$F$4:$F$2003,$B8,DATABASE!$G$4:$G$2003,J$5))</f>
        <v>0</v>
      </c>
      <c r="K8" s="55" t="str">
        <f aca="false">IF(OR($B8="",K$5=""),"",COUNTIFS(DATABASE!$F$4:$F$2003,$B8,DATABASE!$G$4:$G$2003,K$5))</f>
        <v/>
      </c>
      <c r="L8" s="55" t="str">
        <f aca="false">IF(OR($B8="",L$5=""),"",COUNTIFS(DATABASE!$F$4:$F$2003,$B8,DATABASE!$G$4:$G$2003,L$5))</f>
        <v/>
      </c>
      <c r="M8" s="55" t="str">
        <f aca="false">IF(OR($B8="",M$5=""),"",COUNTIFS(DATABASE!$F$4:$F$2003,$B8,DATABASE!$G$4:$G$2003,M$5))</f>
        <v/>
      </c>
      <c r="N8" s="55" t="str">
        <f aca="false">IF(OR($B8="",N$5=""),"",COUNTIFS(DATABASE!$F$4:$F$2003,$B8,DATABASE!$G$4:$G$2003,N$5))</f>
        <v/>
      </c>
      <c r="O8" s="55" t="str">
        <f aca="false">IF(OR($B8="",O$5=""),"",COUNTIFS(DATABASE!$F$4:$F$2003,$B8,DATABASE!$G$4:$G$2003,O$5))</f>
        <v/>
      </c>
      <c r="P8" s="55" t="str">
        <f aca="false">IF(OR($B8="",P$5=""),"",COUNTIFS(DATABASE!$F$4:$F$2003,$B8,DATABASE!$G$4:$G$2003,P$5))</f>
        <v/>
      </c>
      <c r="Q8" s="55" t="str">
        <f aca="false">IF(OR($B8="",Q$5=""),"",COUNTIFS(DATABASE!$F$4:$F$2003,$B8,DATABASE!$G$4:$G$2003,Q$5))</f>
        <v/>
      </c>
      <c r="R8" s="55" t="str">
        <f aca="false">IF(OR($B8="",R$5=""),"",COUNTIFS(DATABASE!$F$4:$F$2003,$B8,DATABASE!$G$4:$G$2003,R$5))</f>
        <v/>
      </c>
      <c r="S8" s="55" t="str">
        <f aca="false">IF(OR($B8="",S$5=""),"",COUNTIFS(DATABASE!$F$4:$F$2003,$B8,DATABASE!$G$4:$G$2003,S$5))</f>
        <v/>
      </c>
      <c r="T8" s="55" t="str">
        <f aca="false">IF(OR($B8="",T$5=""),"",COUNTIFS(DATABASE!$F$4:$F$2003,$B8,DATABASE!$G$4:$G$2003,T$5))</f>
        <v/>
      </c>
      <c r="U8" s="55" t="str">
        <f aca="false">IF(OR($B8="",U$5=""),"",COUNTIFS(DATABASE!$F$4:$F$2003,$B8,DATABASE!$G$4:$G$2003,U$5))</f>
        <v/>
      </c>
      <c r="V8" s="55" t="str">
        <f aca="false">IF(OR($B8="",V$5=""),"",COUNTIFS(DATABASE!$F$4:$F$2003,$B8,DATABASE!$G$4:$G$2003,V$5))</f>
        <v/>
      </c>
      <c r="W8" s="56" t="n">
        <f aca="false">IF($B8="","",COUNTIF(DATABASE!$F$4:$F$2003,$B8))</f>
        <v>10</v>
      </c>
    </row>
    <row r="9" customFormat="false" ht="15" hidden="false" customHeight="false" outlineLevel="0" collapsed="false">
      <c r="B9" s="13" t="str">
        <f aca="true">IFERROR(INDEX(daftar_kampung,4),"")</f>
        <v>Kp. Tenjolaut</v>
      </c>
      <c r="C9" s="57" t="n">
        <f aca="false">IF(OR($B9="",C$5=""),"",COUNTIFS(DATABASE!$F$4:$F$2003,$B9,DATABASE!$G$4:$G$2003,C$5))</f>
        <v>1</v>
      </c>
      <c r="D9" s="57" t="n">
        <f aca="false">IF(OR($B9="",D$5=""),"",COUNTIFS(DATABASE!$F$4:$F$2003,$B9,DATABASE!$G$4:$G$2003,D$5))</f>
        <v>0</v>
      </c>
      <c r="E9" s="57" t="n">
        <f aca="false">IF(OR($B9="",E$5=""),"",COUNTIFS(DATABASE!$F$4:$F$2003,$B9,DATABASE!$G$4:$G$2003,E$5))</f>
        <v>0</v>
      </c>
      <c r="F9" s="57" t="n">
        <f aca="false">IF(OR($B9="",F$5=""),"",COUNTIFS(DATABASE!$F$4:$F$2003,$B9,DATABASE!$G$4:$G$2003,F$5))</f>
        <v>0</v>
      </c>
      <c r="G9" s="57" t="n">
        <f aca="false">IF(OR($B9="",G$5=""),"",COUNTIFS(DATABASE!$F$4:$F$2003,$B9,DATABASE!$G$4:$G$2003,G$5))</f>
        <v>0</v>
      </c>
      <c r="H9" s="57" t="n">
        <f aca="false">IF(OR($B9="",H$5=""),"",COUNTIFS(DATABASE!$F$4:$F$2003,$B9,DATABASE!$G$4:$G$2003,H$5))</f>
        <v>0</v>
      </c>
      <c r="I9" s="57" t="n">
        <f aca="false">IF(OR($B9="",I$5=""),"",COUNTIFS(DATABASE!$F$4:$F$2003,$B9,DATABASE!$G$4:$G$2003,I$5))</f>
        <v>0</v>
      </c>
      <c r="J9" s="57" t="n">
        <f aca="false">IF(OR($B9="",J$5=""),"",COUNTIFS(DATABASE!$F$4:$F$2003,$B9,DATABASE!$G$4:$G$2003,J$5))</f>
        <v>0</v>
      </c>
      <c r="K9" s="57" t="str">
        <f aca="false">IF(OR($B9="",K$5=""),"",COUNTIFS(DATABASE!$F$4:$F$2003,$B9,DATABASE!$G$4:$G$2003,K$5))</f>
        <v/>
      </c>
      <c r="L9" s="57" t="str">
        <f aca="false">IF(OR($B9="",L$5=""),"",COUNTIFS(DATABASE!$F$4:$F$2003,$B9,DATABASE!$G$4:$G$2003,L$5))</f>
        <v/>
      </c>
      <c r="M9" s="57" t="str">
        <f aca="false">IF(OR($B9="",M$5=""),"",COUNTIFS(DATABASE!$F$4:$F$2003,$B9,DATABASE!$G$4:$G$2003,M$5))</f>
        <v/>
      </c>
      <c r="N9" s="57" t="str">
        <f aca="false">IF(OR($B9="",N$5=""),"",COUNTIFS(DATABASE!$F$4:$F$2003,$B9,DATABASE!$G$4:$G$2003,N$5))</f>
        <v/>
      </c>
      <c r="O9" s="57" t="str">
        <f aca="false">IF(OR($B9="",O$5=""),"",COUNTIFS(DATABASE!$F$4:$F$2003,$B9,DATABASE!$G$4:$G$2003,O$5))</f>
        <v/>
      </c>
      <c r="P9" s="57" t="str">
        <f aca="false">IF(OR($B9="",P$5=""),"",COUNTIFS(DATABASE!$F$4:$F$2003,$B9,DATABASE!$G$4:$G$2003,P$5))</f>
        <v/>
      </c>
      <c r="Q9" s="57" t="str">
        <f aca="false">IF(OR($B9="",Q$5=""),"",COUNTIFS(DATABASE!$F$4:$F$2003,$B9,DATABASE!$G$4:$G$2003,Q$5))</f>
        <v/>
      </c>
      <c r="R9" s="57" t="str">
        <f aca="false">IF(OR($B9="",R$5=""),"",COUNTIFS(DATABASE!$F$4:$F$2003,$B9,DATABASE!$G$4:$G$2003,R$5))</f>
        <v/>
      </c>
      <c r="S9" s="57" t="str">
        <f aca="false">IF(OR($B9="",S$5=""),"",COUNTIFS(DATABASE!$F$4:$F$2003,$B9,DATABASE!$G$4:$G$2003,S$5))</f>
        <v/>
      </c>
      <c r="T9" s="57" t="str">
        <f aca="false">IF(OR($B9="",T$5=""),"",COUNTIFS(DATABASE!$F$4:$F$2003,$B9,DATABASE!$G$4:$G$2003,T$5))</f>
        <v/>
      </c>
      <c r="U9" s="57" t="str">
        <f aca="false">IF(OR($B9="",U$5=""),"",COUNTIFS(DATABASE!$F$4:$F$2003,$B9,DATABASE!$G$4:$G$2003,U$5))</f>
        <v/>
      </c>
      <c r="V9" s="57" t="str">
        <f aca="false">IF(OR($B9="",V$5=""),"",COUNTIFS(DATABASE!$F$4:$F$2003,$B9,DATABASE!$G$4:$G$2003,V$5))</f>
        <v/>
      </c>
      <c r="W9" s="58" t="n">
        <f aca="false">IF($B9="","",COUNTIF(DATABASE!$F$4:$F$2003,$B9))</f>
        <v>2</v>
      </c>
    </row>
    <row r="10" customFormat="false" ht="15" hidden="false" customHeight="false" outlineLevel="0" collapsed="false">
      <c r="B10" s="9" t="str">
        <f aca="true">IFERROR(INDEX(daftar_kampung,5),"")</f>
        <v>Kp. Putri Melintang</v>
      </c>
      <c r="C10" s="55" t="n">
        <f aca="false">IF(OR($B10="",C$5=""),"",COUNTIFS(DATABASE!$F$4:$F$2003,$B10,DATABASE!$G$4:$G$2003,C$5))</f>
        <v>0</v>
      </c>
      <c r="D10" s="55" t="n">
        <f aca="false">IF(OR($B10="",D$5=""),"",COUNTIFS(DATABASE!$F$4:$F$2003,$B10,DATABASE!$G$4:$G$2003,D$5))</f>
        <v>0</v>
      </c>
      <c r="E10" s="55" t="n">
        <f aca="false">IF(OR($B10="",E$5=""),"",COUNTIFS(DATABASE!$F$4:$F$2003,$B10,DATABASE!$G$4:$G$2003,E$5))</f>
        <v>0</v>
      </c>
      <c r="F10" s="55" t="n">
        <f aca="false">IF(OR($B10="",F$5=""),"",COUNTIFS(DATABASE!$F$4:$F$2003,$B10,DATABASE!$G$4:$G$2003,F$5))</f>
        <v>0</v>
      </c>
      <c r="G10" s="55" t="n">
        <f aca="false">IF(OR($B10="",G$5=""),"",COUNTIFS(DATABASE!$F$4:$F$2003,$B10,DATABASE!$G$4:$G$2003,G$5))</f>
        <v>0</v>
      </c>
      <c r="H10" s="55" t="n">
        <f aca="false">IF(OR($B10="",H$5=""),"",COUNTIFS(DATABASE!$F$4:$F$2003,$B10,DATABASE!$G$4:$G$2003,H$5))</f>
        <v>0</v>
      </c>
      <c r="I10" s="55" t="n">
        <f aca="false">IF(OR($B10="",I$5=""),"",COUNTIFS(DATABASE!$F$4:$F$2003,$B10,DATABASE!$G$4:$G$2003,I$5))</f>
        <v>0</v>
      </c>
      <c r="J10" s="55" t="n">
        <f aca="false">IF(OR($B10="",J$5=""),"",COUNTIFS(DATABASE!$F$4:$F$2003,$B10,DATABASE!$G$4:$G$2003,J$5))</f>
        <v>0</v>
      </c>
      <c r="K10" s="55" t="str">
        <f aca="false">IF(OR($B10="",K$5=""),"",COUNTIFS(DATABASE!$F$4:$F$2003,$B10,DATABASE!$G$4:$G$2003,K$5))</f>
        <v/>
      </c>
      <c r="L10" s="55" t="str">
        <f aca="false">IF(OR($B10="",L$5=""),"",COUNTIFS(DATABASE!$F$4:$F$2003,$B10,DATABASE!$G$4:$G$2003,L$5))</f>
        <v/>
      </c>
      <c r="M10" s="55" t="str">
        <f aca="false">IF(OR($B10="",M$5=""),"",COUNTIFS(DATABASE!$F$4:$F$2003,$B10,DATABASE!$G$4:$G$2003,M$5))</f>
        <v/>
      </c>
      <c r="N10" s="55" t="str">
        <f aca="false">IF(OR($B10="",N$5=""),"",COUNTIFS(DATABASE!$F$4:$F$2003,$B10,DATABASE!$G$4:$G$2003,N$5))</f>
        <v/>
      </c>
      <c r="O10" s="55" t="str">
        <f aca="false">IF(OR($B10="",O$5=""),"",COUNTIFS(DATABASE!$F$4:$F$2003,$B10,DATABASE!$G$4:$G$2003,O$5))</f>
        <v/>
      </c>
      <c r="P10" s="55" t="str">
        <f aca="false">IF(OR($B10="",P$5=""),"",COUNTIFS(DATABASE!$F$4:$F$2003,$B10,DATABASE!$G$4:$G$2003,P$5))</f>
        <v/>
      </c>
      <c r="Q10" s="55" t="str">
        <f aca="false">IF(OR($B10="",Q$5=""),"",COUNTIFS(DATABASE!$F$4:$F$2003,$B10,DATABASE!$G$4:$G$2003,Q$5))</f>
        <v/>
      </c>
      <c r="R10" s="55" t="str">
        <f aca="false">IF(OR($B10="",R$5=""),"",COUNTIFS(DATABASE!$F$4:$F$2003,$B10,DATABASE!$G$4:$G$2003,R$5))</f>
        <v/>
      </c>
      <c r="S10" s="55" t="str">
        <f aca="false">IF(OR($B10="",S$5=""),"",COUNTIFS(DATABASE!$F$4:$F$2003,$B10,DATABASE!$G$4:$G$2003,S$5))</f>
        <v/>
      </c>
      <c r="T10" s="55" t="str">
        <f aca="false">IF(OR($B10="",T$5=""),"",COUNTIFS(DATABASE!$F$4:$F$2003,$B10,DATABASE!$G$4:$G$2003,T$5))</f>
        <v/>
      </c>
      <c r="U10" s="55" t="str">
        <f aca="false">IF(OR($B10="",U$5=""),"",COUNTIFS(DATABASE!$F$4:$F$2003,$B10,DATABASE!$G$4:$G$2003,U$5))</f>
        <v/>
      </c>
      <c r="V10" s="55" t="str">
        <f aca="false">IF(OR($B10="",V$5=""),"",COUNTIFS(DATABASE!$F$4:$F$2003,$B10,DATABASE!$G$4:$G$2003,V$5))</f>
        <v/>
      </c>
      <c r="W10" s="56" t="n">
        <f aca="false">IF($B10="","",COUNTIF(DATABASE!$F$4:$F$2003,$B10))</f>
        <v>1</v>
      </c>
    </row>
    <row r="11" customFormat="false" ht="15" hidden="false" customHeight="false" outlineLevel="0" collapsed="false">
      <c r="B11" s="13" t="str">
        <f aca="true">IFERROR(INDEX(daftar_kampung,6),"")</f>
        <v/>
      </c>
      <c r="C11" s="57" t="str">
        <f aca="false">IF(OR($B11="",C$5=""),"",COUNTIFS(DATABASE!$F$4:$F$2003,$B11,DATABASE!$G$4:$G$2003,C$5))</f>
        <v/>
      </c>
      <c r="D11" s="57" t="str">
        <f aca="false">IF(OR($B11="",D$5=""),"",COUNTIFS(DATABASE!$F$4:$F$2003,$B11,DATABASE!$G$4:$G$2003,D$5))</f>
        <v/>
      </c>
      <c r="E11" s="57" t="str">
        <f aca="false">IF(OR($B11="",E$5=""),"",COUNTIFS(DATABASE!$F$4:$F$2003,$B11,DATABASE!$G$4:$G$2003,E$5))</f>
        <v/>
      </c>
      <c r="F11" s="57" t="str">
        <f aca="false">IF(OR($B11="",F$5=""),"",COUNTIFS(DATABASE!$F$4:$F$2003,$B11,DATABASE!$G$4:$G$2003,F$5))</f>
        <v/>
      </c>
      <c r="G11" s="57" t="str">
        <f aca="false">IF(OR($B11="",G$5=""),"",COUNTIFS(DATABASE!$F$4:$F$2003,$B11,DATABASE!$G$4:$G$2003,G$5))</f>
        <v/>
      </c>
      <c r="H11" s="57" t="str">
        <f aca="false">IF(OR($B11="",H$5=""),"",COUNTIFS(DATABASE!$F$4:$F$2003,$B11,DATABASE!$G$4:$G$2003,H$5))</f>
        <v/>
      </c>
      <c r="I11" s="57" t="str">
        <f aca="false">IF(OR($B11="",I$5=""),"",COUNTIFS(DATABASE!$F$4:$F$2003,$B11,DATABASE!$G$4:$G$2003,I$5))</f>
        <v/>
      </c>
      <c r="J11" s="57" t="str">
        <f aca="false">IF(OR($B11="",J$5=""),"",COUNTIFS(DATABASE!$F$4:$F$2003,$B11,DATABASE!$G$4:$G$2003,J$5))</f>
        <v/>
      </c>
      <c r="K11" s="57" t="str">
        <f aca="false">IF(OR($B11="",K$5=""),"",COUNTIFS(DATABASE!$F$4:$F$2003,$B11,DATABASE!$G$4:$G$2003,K$5))</f>
        <v/>
      </c>
      <c r="L11" s="57" t="str">
        <f aca="false">IF(OR($B11="",L$5=""),"",COUNTIFS(DATABASE!$F$4:$F$2003,$B11,DATABASE!$G$4:$G$2003,L$5))</f>
        <v/>
      </c>
      <c r="M11" s="57" t="str">
        <f aca="false">IF(OR($B11="",M$5=""),"",COUNTIFS(DATABASE!$F$4:$F$2003,$B11,DATABASE!$G$4:$G$2003,M$5))</f>
        <v/>
      </c>
      <c r="N11" s="57" t="str">
        <f aca="false">IF(OR($B11="",N$5=""),"",COUNTIFS(DATABASE!$F$4:$F$2003,$B11,DATABASE!$G$4:$G$2003,N$5))</f>
        <v/>
      </c>
      <c r="O11" s="57" t="str">
        <f aca="false">IF(OR($B11="",O$5=""),"",COUNTIFS(DATABASE!$F$4:$F$2003,$B11,DATABASE!$G$4:$G$2003,O$5))</f>
        <v/>
      </c>
      <c r="P11" s="57" t="str">
        <f aca="false">IF(OR($B11="",P$5=""),"",COUNTIFS(DATABASE!$F$4:$F$2003,$B11,DATABASE!$G$4:$G$2003,P$5))</f>
        <v/>
      </c>
      <c r="Q11" s="57" t="str">
        <f aca="false">IF(OR($B11="",Q$5=""),"",COUNTIFS(DATABASE!$F$4:$F$2003,$B11,DATABASE!$G$4:$G$2003,Q$5))</f>
        <v/>
      </c>
      <c r="R11" s="57" t="str">
        <f aca="false">IF(OR($B11="",R$5=""),"",COUNTIFS(DATABASE!$F$4:$F$2003,$B11,DATABASE!$G$4:$G$2003,R$5))</f>
        <v/>
      </c>
      <c r="S11" s="57" t="str">
        <f aca="false">IF(OR($B11="",S$5=""),"",COUNTIFS(DATABASE!$F$4:$F$2003,$B11,DATABASE!$G$4:$G$2003,S$5))</f>
        <v/>
      </c>
      <c r="T11" s="57" t="str">
        <f aca="false">IF(OR($B11="",T$5=""),"",COUNTIFS(DATABASE!$F$4:$F$2003,$B11,DATABASE!$G$4:$G$2003,T$5))</f>
        <v/>
      </c>
      <c r="U11" s="57" t="str">
        <f aca="false">IF(OR($B11="",U$5=""),"",COUNTIFS(DATABASE!$F$4:$F$2003,$B11,DATABASE!$G$4:$G$2003,U$5))</f>
        <v/>
      </c>
      <c r="V11" s="57" t="str">
        <f aca="false">IF(OR($B11="",V$5=""),"",COUNTIFS(DATABASE!$F$4:$F$2003,$B11,DATABASE!$G$4:$G$2003,V$5))</f>
        <v/>
      </c>
      <c r="W11" s="58" t="str">
        <f aca="false">IF($B11="","",COUNTIF(DATABASE!$F$4:$F$2003,$B11))</f>
        <v/>
      </c>
    </row>
    <row r="12" customFormat="false" ht="15" hidden="false" customHeight="false" outlineLevel="0" collapsed="false">
      <c r="B12" s="9" t="str">
        <f aca="true">IFERROR(INDEX(daftar_kampung,7),"")</f>
        <v/>
      </c>
      <c r="C12" s="55" t="str">
        <f aca="false">IF(OR($B12="",C$5=""),"",COUNTIFS(DATABASE!$F$4:$F$2003,$B12,DATABASE!$G$4:$G$2003,C$5))</f>
        <v/>
      </c>
      <c r="D12" s="55" t="str">
        <f aca="false">IF(OR($B12="",D$5=""),"",COUNTIFS(DATABASE!$F$4:$F$2003,$B12,DATABASE!$G$4:$G$2003,D$5))</f>
        <v/>
      </c>
      <c r="E12" s="55" t="str">
        <f aca="false">IF(OR($B12="",E$5=""),"",COUNTIFS(DATABASE!$F$4:$F$2003,$B12,DATABASE!$G$4:$G$2003,E$5))</f>
        <v/>
      </c>
      <c r="F12" s="55" t="str">
        <f aca="false">IF(OR($B12="",F$5=""),"",COUNTIFS(DATABASE!$F$4:$F$2003,$B12,DATABASE!$G$4:$G$2003,F$5))</f>
        <v/>
      </c>
      <c r="G12" s="55" t="str">
        <f aca="false">IF(OR($B12="",G$5=""),"",COUNTIFS(DATABASE!$F$4:$F$2003,$B12,DATABASE!$G$4:$G$2003,G$5))</f>
        <v/>
      </c>
      <c r="H12" s="55" t="str">
        <f aca="false">IF(OR($B12="",H$5=""),"",COUNTIFS(DATABASE!$F$4:$F$2003,$B12,DATABASE!$G$4:$G$2003,H$5))</f>
        <v/>
      </c>
      <c r="I12" s="55" t="str">
        <f aca="false">IF(OR($B12="",I$5=""),"",COUNTIFS(DATABASE!$F$4:$F$2003,$B12,DATABASE!$G$4:$G$2003,I$5))</f>
        <v/>
      </c>
      <c r="J12" s="55" t="str">
        <f aca="false">IF(OR($B12="",J$5=""),"",COUNTIFS(DATABASE!$F$4:$F$2003,$B12,DATABASE!$G$4:$G$2003,J$5))</f>
        <v/>
      </c>
      <c r="K12" s="55" t="str">
        <f aca="false">IF(OR($B12="",K$5=""),"",COUNTIFS(DATABASE!$F$4:$F$2003,$B12,DATABASE!$G$4:$G$2003,K$5))</f>
        <v/>
      </c>
      <c r="L12" s="55" t="str">
        <f aca="false">IF(OR($B12="",L$5=""),"",COUNTIFS(DATABASE!$F$4:$F$2003,$B12,DATABASE!$G$4:$G$2003,L$5))</f>
        <v/>
      </c>
      <c r="M12" s="55" t="str">
        <f aca="false">IF(OR($B12="",M$5=""),"",COUNTIFS(DATABASE!$F$4:$F$2003,$B12,DATABASE!$G$4:$G$2003,M$5))</f>
        <v/>
      </c>
      <c r="N12" s="55" t="str">
        <f aca="false">IF(OR($B12="",N$5=""),"",COUNTIFS(DATABASE!$F$4:$F$2003,$B12,DATABASE!$G$4:$G$2003,N$5))</f>
        <v/>
      </c>
      <c r="O12" s="55" t="str">
        <f aca="false">IF(OR($B12="",O$5=""),"",COUNTIFS(DATABASE!$F$4:$F$2003,$B12,DATABASE!$G$4:$G$2003,O$5))</f>
        <v/>
      </c>
      <c r="P12" s="55" t="str">
        <f aca="false">IF(OR($B12="",P$5=""),"",COUNTIFS(DATABASE!$F$4:$F$2003,$B12,DATABASE!$G$4:$G$2003,P$5))</f>
        <v/>
      </c>
      <c r="Q12" s="55" t="str">
        <f aca="false">IF(OR($B12="",Q$5=""),"",COUNTIFS(DATABASE!$F$4:$F$2003,$B12,DATABASE!$G$4:$G$2003,Q$5))</f>
        <v/>
      </c>
      <c r="R12" s="55" t="str">
        <f aca="false">IF(OR($B12="",R$5=""),"",COUNTIFS(DATABASE!$F$4:$F$2003,$B12,DATABASE!$G$4:$G$2003,R$5))</f>
        <v/>
      </c>
      <c r="S12" s="55" t="str">
        <f aca="false">IF(OR($B12="",S$5=""),"",COUNTIFS(DATABASE!$F$4:$F$2003,$B12,DATABASE!$G$4:$G$2003,S$5))</f>
        <v/>
      </c>
      <c r="T12" s="55" t="str">
        <f aca="false">IF(OR($B12="",T$5=""),"",COUNTIFS(DATABASE!$F$4:$F$2003,$B12,DATABASE!$G$4:$G$2003,T$5))</f>
        <v/>
      </c>
      <c r="U12" s="55" t="str">
        <f aca="false">IF(OR($B12="",U$5=""),"",COUNTIFS(DATABASE!$F$4:$F$2003,$B12,DATABASE!$G$4:$G$2003,U$5))</f>
        <v/>
      </c>
      <c r="V12" s="55" t="str">
        <f aca="false">IF(OR($B12="",V$5=""),"",COUNTIFS(DATABASE!$F$4:$F$2003,$B12,DATABASE!$G$4:$G$2003,V$5))</f>
        <v/>
      </c>
      <c r="W12" s="56" t="str">
        <f aca="false">IF($B12="","",COUNTIF(DATABASE!$F$4:$F$2003,$B12))</f>
        <v/>
      </c>
    </row>
    <row r="13" customFormat="false" ht="15" hidden="false" customHeight="false" outlineLevel="0" collapsed="false">
      <c r="B13" s="13" t="str">
        <f aca="true">IFERROR(INDEX(daftar_kampung,8),"")</f>
        <v/>
      </c>
      <c r="C13" s="57" t="str">
        <f aca="false">IF(OR($B13="",C$5=""),"",COUNTIFS(DATABASE!$F$4:$F$2003,$B13,DATABASE!$G$4:$G$2003,C$5))</f>
        <v/>
      </c>
      <c r="D13" s="57" t="str">
        <f aca="false">IF(OR($B13="",D$5=""),"",COUNTIFS(DATABASE!$F$4:$F$2003,$B13,DATABASE!$G$4:$G$2003,D$5))</f>
        <v/>
      </c>
      <c r="E13" s="57" t="str">
        <f aca="false">IF(OR($B13="",E$5=""),"",COUNTIFS(DATABASE!$F$4:$F$2003,$B13,DATABASE!$G$4:$G$2003,E$5))</f>
        <v/>
      </c>
      <c r="F13" s="57" t="str">
        <f aca="false">IF(OR($B13="",F$5=""),"",COUNTIFS(DATABASE!$F$4:$F$2003,$B13,DATABASE!$G$4:$G$2003,F$5))</f>
        <v/>
      </c>
      <c r="G13" s="57" t="str">
        <f aca="false">IF(OR($B13="",G$5=""),"",COUNTIFS(DATABASE!$F$4:$F$2003,$B13,DATABASE!$G$4:$G$2003,G$5))</f>
        <v/>
      </c>
      <c r="H13" s="57" t="str">
        <f aca="false">IF(OR($B13="",H$5=""),"",COUNTIFS(DATABASE!$F$4:$F$2003,$B13,DATABASE!$G$4:$G$2003,H$5))</f>
        <v/>
      </c>
      <c r="I13" s="57" t="str">
        <f aca="false">IF(OR($B13="",I$5=""),"",COUNTIFS(DATABASE!$F$4:$F$2003,$B13,DATABASE!$G$4:$G$2003,I$5))</f>
        <v/>
      </c>
      <c r="J13" s="57" t="str">
        <f aca="false">IF(OR($B13="",J$5=""),"",COUNTIFS(DATABASE!$F$4:$F$2003,$B13,DATABASE!$G$4:$G$2003,J$5))</f>
        <v/>
      </c>
      <c r="K13" s="57" t="str">
        <f aca="false">IF(OR($B13="",K$5=""),"",COUNTIFS(DATABASE!$F$4:$F$2003,$B13,DATABASE!$G$4:$G$2003,K$5))</f>
        <v/>
      </c>
      <c r="L13" s="57" t="str">
        <f aca="false">IF(OR($B13="",L$5=""),"",COUNTIFS(DATABASE!$F$4:$F$2003,$B13,DATABASE!$G$4:$G$2003,L$5))</f>
        <v/>
      </c>
      <c r="M13" s="57" t="str">
        <f aca="false">IF(OR($B13="",M$5=""),"",COUNTIFS(DATABASE!$F$4:$F$2003,$B13,DATABASE!$G$4:$G$2003,M$5))</f>
        <v/>
      </c>
      <c r="N13" s="57" t="str">
        <f aca="false">IF(OR($B13="",N$5=""),"",COUNTIFS(DATABASE!$F$4:$F$2003,$B13,DATABASE!$G$4:$G$2003,N$5))</f>
        <v/>
      </c>
      <c r="O13" s="57" t="str">
        <f aca="false">IF(OR($B13="",O$5=""),"",COUNTIFS(DATABASE!$F$4:$F$2003,$B13,DATABASE!$G$4:$G$2003,O$5))</f>
        <v/>
      </c>
      <c r="P13" s="57" t="str">
        <f aca="false">IF(OR($B13="",P$5=""),"",COUNTIFS(DATABASE!$F$4:$F$2003,$B13,DATABASE!$G$4:$G$2003,P$5))</f>
        <v/>
      </c>
      <c r="Q13" s="57" t="str">
        <f aca="false">IF(OR($B13="",Q$5=""),"",COUNTIFS(DATABASE!$F$4:$F$2003,$B13,DATABASE!$G$4:$G$2003,Q$5))</f>
        <v/>
      </c>
      <c r="R13" s="57" t="str">
        <f aca="false">IF(OR($B13="",R$5=""),"",COUNTIFS(DATABASE!$F$4:$F$2003,$B13,DATABASE!$G$4:$G$2003,R$5))</f>
        <v/>
      </c>
      <c r="S13" s="57" t="str">
        <f aca="false">IF(OR($B13="",S$5=""),"",COUNTIFS(DATABASE!$F$4:$F$2003,$B13,DATABASE!$G$4:$G$2003,S$5))</f>
        <v/>
      </c>
      <c r="T13" s="57" t="str">
        <f aca="false">IF(OR($B13="",T$5=""),"",COUNTIFS(DATABASE!$F$4:$F$2003,$B13,DATABASE!$G$4:$G$2003,T$5))</f>
        <v/>
      </c>
      <c r="U13" s="57" t="str">
        <f aca="false">IF(OR($B13="",U$5=""),"",COUNTIFS(DATABASE!$F$4:$F$2003,$B13,DATABASE!$G$4:$G$2003,U$5))</f>
        <v/>
      </c>
      <c r="V13" s="57" t="str">
        <f aca="false">IF(OR($B13="",V$5=""),"",COUNTIFS(DATABASE!$F$4:$F$2003,$B13,DATABASE!$G$4:$G$2003,V$5))</f>
        <v/>
      </c>
      <c r="W13" s="58" t="str">
        <f aca="false">IF($B13="","",COUNTIF(DATABASE!$F$4:$F$2003,$B13))</f>
        <v/>
      </c>
    </row>
    <row r="14" customFormat="false" ht="15" hidden="false" customHeight="false" outlineLevel="0" collapsed="false">
      <c r="B14" s="9" t="str">
        <f aca="true">IFERROR(INDEX(daftar_kampung,9),"")</f>
        <v/>
      </c>
      <c r="C14" s="55" t="str">
        <f aca="false">IF(OR($B14="",C$5=""),"",COUNTIFS(DATABASE!$F$4:$F$2003,$B14,DATABASE!$G$4:$G$2003,C$5))</f>
        <v/>
      </c>
      <c r="D14" s="55" t="str">
        <f aca="false">IF(OR($B14="",D$5=""),"",COUNTIFS(DATABASE!$F$4:$F$2003,$B14,DATABASE!$G$4:$G$2003,D$5))</f>
        <v/>
      </c>
      <c r="E14" s="55" t="str">
        <f aca="false">IF(OR($B14="",E$5=""),"",COUNTIFS(DATABASE!$F$4:$F$2003,$B14,DATABASE!$G$4:$G$2003,E$5))</f>
        <v/>
      </c>
      <c r="F14" s="55" t="str">
        <f aca="false">IF(OR($B14="",F$5=""),"",COUNTIFS(DATABASE!$F$4:$F$2003,$B14,DATABASE!$G$4:$G$2003,F$5))</f>
        <v/>
      </c>
      <c r="G14" s="55" t="str">
        <f aca="false">IF(OR($B14="",G$5=""),"",COUNTIFS(DATABASE!$F$4:$F$2003,$B14,DATABASE!$G$4:$G$2003,G$5))</f>
        <v/>
      </c>
      <c r="H14" s="55" t="str">
        <f aca="false">IF(OR($B14="",H$5=""),"",COUNTIFS(DATABASE!$F$4:$F$2003,$B14,DATABASE!$G$4:$G$2003,H$5))</f>
        <v/>
      </c>
      <c r="I14" s="55" t="str">
        <f aca="false">IF(OR($B14="",I$5=""),"",COUNTIFS(DATABASE!$F$4:$F$2003,$B14,DATABASE!$G$4:$G$2003,I$5))</f>
        <v/>
      </c>
      <c r="J14" s="55" t="str">
        <f aca="false">IF(OR($B14="",J$5=""),"",COUNTIFS(DATABASE!$F$4:$F$2003,$B14,DATABASE!$G$4:$G$2003,J$5))</f>
        <v/>
      </c>
      <c r="K14" s="55" t="str">
        <f aca="false">IF(OR($B14="",K$5=""),"",COUNTIFS(DATABASE!$F$4:$F$2003,$B14,DATABASE!$G$4:$G$2003,K$5))</f>
        <v/>
      </c>
      <c r="L14" s="55" t="str">
        <f aca="false">IF(OR($B14="",L$5=""),"",COUNTIFS(DATABASE!$F$4:$F$2003,$B14,DATABASE!$G$4:$G$2003,L$5))</f>
        <v/>
      </c>
      <c r="M14" s="55" t="str">
        <f aca="false">IF(OR($B14="",M$5=""),"",COUNTIFS(DATABASE!$F$4:$F$2003,$B14,DATABASE!$G$4:$G$2003,M$5))</f>
        <v/>
      </c>
      <c r="N14" s="55" t="str">
        <f aca="false">IF(OR($B14="",N$5=""),"",COUNTIFS(DATABASE!$F$4:$F$2003,$B14,DATABASE!$G$4:$G$2003,N$5))</f>
        <v/>
      </c>
      <c r="O14" s="55" t="str">
        <f aca="false">IF(OR($B14="",O$5=""),"",COUNTIFS(DATABASE!$F$4:$F$2003,$B14,DATABASE!$G$4:$G$2003,O$5))</f>
        <v/>
      </c>
      <c r="P14" s="55" t="str">
        <f aca="false">IF(OR($B14="",P$5=""),"",COUNTIFS(DATABASE!$F$4:$F$2003,$B14,DATABASE!$G$4:$G$2003,P$5))</f>
        <v/>
      </c>
      <c r="Q14" s="55" t="str">
        <f aca="false">IF(OR($B14="",Q$5=""),"",COUNTIFS(DATABASE!$F$4:$F$2003,$B14,DATABASE!$G$4:$G$2003,Q$5))</f>
        <v/>
      </c>
      <c r="R14" s="55" t="str">
        <f aca="false">IF(OR($B14="",R$5=""),"",COUNTIFS(DATABASE!$F$4:$F$2003,$B14,DATABASE!$G$4:$G$2003,R$5))</f>
        <v/>
      </c>
      <c r="S14" s="55" t="str">
        <f aca="false">IF(OR($B14="",S$5=""),"",COUNTIFS(DATABASE!$F$4:$F$2003,$B14,DATABASE!$G$4:$G$2003,S$5))</f>
        <v/>
      </c>
      <c r="T14" s="55" t="str">
        <f aca="false">IF(OR($B14="",T$5=""),"",COUNTIFS(DATABASE!$F$4:$F$2003,$B14,DATABASE!$G$4:$G$2003,T$5))</f>
        <v/>
      </c>
      <c r="U14" s="55" t="str">
        <f aca="false">IF(OR($B14="",U$5=""),"",COUNTIFS(DATABASE!$F$4:$F$2003,$B14,DATABASE!$G$4:$G$2003,U$5))</f>
        <v/>
      </c>
      <c r="V14" s="55" t="str">
        <f aca="false">IF(OR($B14="",V$5=""),"",COUNTIFS(DATABASE!$F$4:$F$2003,$B14,DATABASE!$G$4:$G$2003,V$5))</f>
        <v/>
      </c>
      <c r="W14" s="56" t="str">
        <f aca="false">IF($B14="","",COUNTIF(DATABASE!$F$4:$F$2003,$B14))</f>
        <v/>
      </c>
    </row>
    <row r="15" customFormat="false" ht="15" hidden="false" customHeight="false" outlineLevel="0" collapsed="false">
      <c r="B15" s="13" t="str">
        <f aca="true">IFERROR(INDEX(daftar_kampung,10),"")</f>
        <v/>
      </c>
      <c r="C15" s="57" t="str">
        <f aca="false">IF(OR($B15="",C$5=""),"",COUNTIFS(DATABASE!$F$4:$F$2003,$B15,DATABASE!$G$4:$G$2003,C$5))</f>
        <v/>
      </c>
      <c r="D15" s="57" t="str">
        <f aca="false">IF(OR($B15="",D$5=""),"",COUNTIFS(DATABASE!$F$4:$F$2003,$B15,DATABASE!$G$4:$G$2003,D$5))</f>
        <v/>
      </c>
      <c r="E15" s="57" t="str">
        <f aca="false">IF(OR($B15="",E$5=""),"",COUNTIFS(DATABASE!$F$4:$F$2003,$B15,DATABASE!$G$4:$G$2003,E$5))</f>
        <v/>
      </c>
      <c r="F15" s="57" t="str">
        <f aca="false">IF(OR($B15="",F$5=""),"",COUNTIFS(DATABASE!$F$4:$F$2003,$B15,DATABASE!$G$4:$G$2003,F$5))</f>
        <v/>
      </c>
      <c r="G15" s="57" t="str">
        <f aca="false">IF(OR($B15="",G$5=""),"",COUNTIFS(DATABASE!$F$4:$F$2003,$B15,DATABASE!$G$4:$G$2003,G$5))</f>
        <v/>
      </c>
      <c r="H15" s="57" t="str">
        <f aca="false">IF(OR($B15="",H$5=""),"",COUNTIFS(DATABASE!$F$4:$F$2003,$B15,DATABASE!$G$4:$G$2003,H$5))</f>
        <v/>
      </c>
      <c r="I15" s="57" t="str">
        <f aca="false">IF(OR($B15="",I$5=""),"",COUNTIFS(DATABASE!$F$4:$F$2003,$B15,DATABASE!$G$4:$G$2003,I$5))</f>
        <v/>
      </c>
      <c r="J15" s="57" t="str">
        <f aca="false">IF(OR($B15="",J$5=""),"",COUNTIFS(DATABASE!$F$4:$F$2003,$B15,DATABASE!$G$4:$G$2003,J$5))</f>
        <v/>
      </c>
      <c r="K15" s="57" t="str">
        <f aca="false">IF(OR($B15="",K$5=""),"",COUNTIFS(DATABASE!$F$4:$F$2003,$B15,DATABASE!$G$4:$G$2003,K$5))</f>
        <v/>
      </c>
      <c r="L15" s="57" t="str">
        <f aca="false">IF(OR($B15="",L$5=""),"",COUNTIFS(DATABASE!$F$4:$F$2003,$B15,DATABASE!$G$4:$G$2003,L$5))</f>
        <v/>
      </c>
      <c r="M15" s="57" t="str">
        <f aca="false">IF(OR($B15="",M$5=""),"",COUNTIFS(DATABASE!$F$4:$F$2003,$B15,DATABASE!$G$4:$G$2003,M$5))</f>
        <v/>
      </c>
      <c r="N15" s="57" t="str">
        <f aca="false">IF(OR($B15="",N$5=""),"",COUNTIFS(DATABASE!$F$4:$F$2003,$B15,DATABASE!$G$4:$G$2003,N$5))</f>
        <v/>
      </c>
      <c r="O15" s="57" t="str">
        <f aca="false">IF(OR($B15="",O$5=""),"",COUNTIFS(DATABASE!$F$4:$F$2003,$B15,DATABASE!$G$4:$G$2003,O$5))</f>
        <v/>
      </c>
      <c r="P15" s="57" t="str">
        <f aca="false">IF(OR($B15="",P$5=""),"",COUNTIFS(DATABASE!$F$4:$F$2003,$B15,DATABASE!$G$4:$G$2003,P$5))</f>
        <v/>
      </c>
      <c r="Q15" s="57" t="str">
        <f aca="false">IF(OR($B15="",Q$5=""),"",COUNTIFS(DATABASE!$F$4:$F$2003,$B15,DATABASE!$G$4:$G$2003,Q$5))</f>
        <v/>
      </c>
      <c r="R15" s="57" t="str">
        <f aca="false">IF(OR($B15="",R$5=""),"",COUNTIFS(DATABASE!$F$4:$F$2003,$B15,DATABASE!$G$4:$G$2003,R$5))</f>
        <v/>
      </c>
      <c r="S15" s="57" t="str">
        <f aca="false">IF(OR($B15="",S$5=""),"",COUNTIFS(DATABASE!$F$4:$F$2003,$B15,DATABASE!$G$4:$G$2003,S$5))</f>
        <v/>
      </c>
      <c r="T15" s="57" t="str">
        <f aca="false">IF(OR($B15="",T$5=""),"",COUNTIFS(DATABASE!$F$4:$F$2003,$B15,DATABASE!$G$4:$G$2003,T$5))</f>
        <v/>
      </c>
      <c r="U15" s="57" t="str">
        <f aca="false">IF(OR($B15="",U$5=""),"",COUNTIFS(DATABASE!$F$4:$F$2003,$B15,DATABASE!$G$4:$G$2003,U$5))</f>
        <v/>
      </c>
      <c r="V15" s="57" t="str">
        <f aca="false">IF(OR($B15="",V$5=""),"",COUNTIFS(DATABASE!$F$4:$F$2003,$B15,DATABASE!$G$4:$G$2003,V$5))</f>
        <v/>
      </c>
      <c r="W15" s="58" t="str">
        <f aca="false">IF($B15="","",COUNTIF(DATABASE!$F$4:$F$2003,$B15))</f>
        <v/>
      </c>
    </row>
    <row r="16" customFormat="false" ht="15" hidden="false" customHeight="false" outlineLevel="0" collapsed="false">
      <c r="B16" s="9" t="str">
        <f aca="true">IFERROR(INDEX(daftar_kampung,11),"")</f>
        <v/>
      </c>
      <c r="C16" s="55" t="str">
        <f aca="false">IF(OR($B16="",C$5=""),"",COUNTIFS(DATABASE!$F$4:$F$2003,$B16,DATABASE!$G$4:$G$2003,C$5))</f>
        <v/>
      </c>
      <c r="D16" s="55" t="str">
        <f aca="false">IF(OR($B16="",D$5=""),"",COUNTIFS(DATABASE!$F$4:$F$2003,$B16,DATABASE!$G$4:$G$2003,D$5))</f>
        <v/>
      </c>
      <c r="E16" s="55" t="str">
        <f aca="false">IF(OR($B16="",E$5=""),"",COUNTIFS(DATABASE!$F$4:$F$2003,$B16,DATABASE!$G$4:$G$2003,E$5))</f>
        <v/>
      </c>
      <c r="F16" s="55" t="str">
        <f aca="false">IF(OR($B16="",F$5=""),"",COUNTIFS(DATABASE!$F$4:$F$2003,$B16,DATABASE!$G$4:$G$2003,F$5))</f>
        <v/>
      </c>
      <c r="G16" s="55" t="str">
        <f aca="false">IF(OR($B16="",G$5=""),"",COUNTIFS(DATABASE!$F$4:$F$2003,$B16,DATABASE!$G$4:$G$2003,G$5))</f>
        <v/>
      </c>
      <c r="H16" s="55" t="str">
        <f aca="false">IF(OR($B16="",H$5=""),"",COUNTIFS(DATABASE!$F$4:$F$2003,$B16,DATABASE!$G$4:$G$2003,H$5))</f>
        <v/>
      </c>
      <c r="I16" s="55" t="str">
        <f aca="false">IF(OR($B16="",I$5=""),"",COUNTIFS(DATABASE!$F$4:$F$2003,$B16,DATABASE!$G$4:$G$2003,I$5))</f>
        <v/>
      </c>
      <c r="J16" s="55" t="str">
        <f aca="false">IF(OR($B16="",J$5=""),"",COUNTIFS(DATABASE!$F$4:$F$2003,$B16,DATABASE!$G$4:$G$2003,J$5))</f>
        <v/>
      </c>
      <c r="K16" s="55" t="str">
        <f aca="false">IF(OR($B16="",K$5=""),"",COUNTIFS(DATABASE!$F$4:$F$2003,$B16,DATABASE!$G$4:$G$2003,K$5))</f>
        <v/>
      </c>
      <c r="L16" s="55" t="str">
        <f aca="false">IF(OR($B16="",L$5=""),"",COUNTIFS(DATABASE!$F$4:$F$2003,$B16,DATABASE!$G$4:$G$2003,L$5))</f>
        <v/>
      </c>
      <c r="M16" s="55" t="str">
        <f aca="false">IF(OR($B16="",M$5=""),"",COUNTIFS(DATABASE!$F$4:$F$2003,$B16,DATABASE!$G$4:$G$2003,M$5))</f>
        <v/>
      </c>
      <c r="N16" s="55" t="str">
        <f aca="false">IF(OR($B16="",N$5=""),"",COUNTIFS(DATABASE!$F$4:$F$2003,$B16,DATABASE!$G$4:$G$2003,N$5))</f>
        <v/>
      </c>
      <c r="O16" s="55" t="str">
        <f aca="false">IF(OR($B16="",O$5=""),"",COUNTIFS(DATABASE!$F$4:$F$2003,$B16,DATABASE!$G$4:$G$2003,O$5))</f>
        <v/>
      </c>
      <c r="P16" s="55" t="str">
        <f aca="false">IF(OR($B16="",P$5=""),"",COUNTIFS(DATABASE!$F$4:$F$2003,$B16,DATABASE!$G$4:$G$2003,P$5))</f>
        <v/>
      </c>
      <c r="Q16" s="55" t="str">
        <f aca="false">IF(OR($B16="",Q$5=""),"",COUNTIFS(DATABASE!$F$4:$F$2003,$B16,DATABASE!$G$4:$G$2003,Q$5))</f>
        <v/>
      </c>
      <c r="R16" s="55" t="str">
        <f aca="false">IF(OR($B16="",R$5=""),"",COUNTIFS(DATABASE!$F$4:$F$2003,$B16,DATABASE!$G$4:$G$2003,R$5))</f>
        <v/>
      </c>
      <c r="S16" s="55" t="str">
        <f aca="false">IF(OR($B16="",S$5=""),"",COUNTIFS(DATABASE!$F$4:$F$2003,$B16,DATABASE!$G$4:$G$2003,S$5))</f>
        <v/>
      </c>
      <c r="T16" s="55" t="str">
        <f aca="false">IF(OR($B16="",T$5=""),"",COUNTIFS(DATABASE!$F$4:$F$2003,$B16,DATABASE!$G$4:$G$2003,T$5))</f>
        <v/>
      </c>
      <c r="U16" s="55" t="str">
        <f aca="false">IF(OR($B16="",U$5=""),"",COUNTIFS(DATABASE!$F$4:$F$2003,$B16,DATABASE!$G$4:$G$2003,U$5))</f>
        <v/>
      </c>
      <c r="V16" s="55" t="str">
        <f aca="false">IF(OR($B16="",V$5=""),"",COUNTIFS(DATABASE!$F$4:$F$2003,$B16,DATABASE!$G$4:$G$2003,V$5))</f>
        <v/>
      </c>
      <c r="W16" s="56" t="str">
        <f aca="false">IF($B16="","",COUNTIF(DATABASE!$F$4:$F$2003,$B16))</f>
        <v/>
      </c>
    </row>
    <row r="17" customFormat="false" ht="15" hidden="false" customHeight="false" outlineLevel="0" collapsed="false">
      <c r="B17" s="13" t="str">
        <f aca="true">IFERROR(INDEX(daftar_kampung,12),"")</f>
        <v/>
      </c>
      <c r="C17" s="57" t="str">
        <f aca="false">IF(OR($B17="",C$5=""),"",COUNTIFS(DATABASE!$F$4:$F$2003,$B17,DATABASE!$G$4:$G$2003,C$5))</f>
        <v/>
      </c>
      <c r="D17" s="57" t="str">
        <f aca="false">IF(OR($B17="",D$5=""),"",COUNTIFS(DATABASE!$F$4:$F$2003,$B17,DATABASE!$G$4:$G$2003,D$5))</f>
        <v/>
      </c>
      <c r="E17" s="57" t="str">
        <f aca="false">IF(OR($B17="",E$5=""),"",COUNTIFS(DATABASE!$F$4:$F$2003,$B17,DATABASE!$G$4:$G$2003,E$5))</f>
        <v/>
      </c>
      <c r="F17" s="57" t="str">
        <f aca="false">IF(OR($B17="",F$5=""),"",COUNTIFS(DATABASE!$F$4:$F$2003,$B17,DATABASE!$G$4:$G$2003,F$5))</f>
        <v/>
      </c>
      <c r="G17" s="57" t="str">
        <f aca="false">IF(OR($B17="",G$5=""),"",COUNTIFS(DATABASE!$F$4:$F$2003,$B17,DATABASE!$G$4:$G$2003,G$5))</f>
        <v/>
      </c>
      <c r="H17" s="57" t="str">
        <f aca="false">IF(OR($B17="",H$5=""),"",COUNTIFS(DATABASE!$F$4:$F$2003,$B17,DATABASE!$G$4:$G$2003,H$5))</f>
        <v/>
      </c>
      <c r="I17" s="57" t="str">
        <f aca="false">IF(OR($B17="",I$5=""),"",COUNTIFS(DATABASE!$F$4:$F$2003,$B17,DATABASE!$G$4:$G$2003,I$5))</f>
        <v/>
      </c>
      <c r="J17" s="57" t="str">
        <f aca="false">IF(OR($B17="",J$5=""),"",COUNTIFS(DATABASE!$F$4:$F$2003,$B17,DATABASE!$G$4:$G$2003,J$5))</f>
        <v/>
      </c>
      <c r="K17" s="57" t="str">
        <f aca="false">IF(OR($B17="",K$5=""),"",COUNTIFS(DATABASE!$F$4:$F$2003,$B17,DATABASE!$G$4:$G$2003,K$5))</f>
        <v/>
      </c>
      <c r="L17" s="57" t="str">
        <f aca="false">IF(OR($B17="",L$5=""),"",COUNTIFS(DATABASE!$F$4:$F$2003,$B17,DATABASE!$G$4:$G$2003,L$5))</f>
        <v/>
      </c>
      <c r="M17" s="57" t="str">
        <f aca="false">IF(OR($B17="",M$5=""),"",COUNTIFS(DATABASE!$F$4:$F$2003,$B17,DATABASE!$G$4:$G$2003,M$5))</f>
        <v/>
      </c>
      <c r="N17" s="57" t="str">
        <f aca="false">IF(OR($B17="",N$5=""),"",COUNTIFS(DATABASE!$F$4:$F$2003,$B17,DATABASE!$G$4:$G$2003,N$5))</f>
        <v/>
      </c>
      <c r="O17" s="57" t="str">
        <f aca="false">IF(OR($B17="",O$5=""),"",COUNTIFS(DATABASE!$F$4:$F$2003,$B17,DATABASE!$G$4:$G$2003,O$5))</f>
        <v/>
      </c>
      <c r="P17" s="57" t="str">
        <f aca="false">IF(OR($B17="",P$5=""),"",COUNTIFS(DATABASE!$F$4:$F$2003,$B17,DATABASE!$G$4:$G$2003,P$5))</f>
        <v/>
      </c>
      <c r="Q17" s="57" t="str">
        <f aca="false">IF(OR($B17="",Q$5=""),"",COUNTIFS(DATABASE!$F$4:$F$2003,$B17,DATABASE!$G$4:$G$2003,Q$5))</f>
        <v/>
      </c>
      <c r="R17" s="57" t="str">
        <f aca="false">IF(OR($B17="",R$5=""),"",COUNTIFS(DATABASE!$F$4:$F$2003,$B17,DATABASE!$G$4:$G$2003,R$5))</f>
        <v/>
      </c>
      <c r="S17" s="57" t="str">
        <f aca="false">IF(OR($B17="",S$5=""),"",COUNTIFS(DATABASE!$F$4:$F$2003,$B17,DATABASE!$G$4:$G$2003,S$5))</f>
        <v/>
      </c>
      <c r="T17" s="57" t="str">
        <f aca="false">IF(OR($B17="",T$5=""),"",COUNTIFS(DATABASE!$F$4:$F$2003,$B17,DATABASE!$G$4:$G$2003,T$5))</f>
        <v/>
      </c>
      <c r="U17" s="57" t="str">
        <f aca="false">IF(OR($B17="",U$5=""),"",COUNTIFS(DATABASE!$F$4:$F$2003,$B17,DATABASE!$G$4:$G$2003,U$5))</f>
        <v/>
      </c>
      <c r="V17" s="57" t="str">
        <f aca="false">IF(OR($B17="",V$5=""),"",COUNTIFS(DATABASE!$F$4:$F$2003,$B17,DATABASE!$G$4:$G$2003,V$5))</f>
        <v/>
      </c>
      <c r="W17" s="58" t="str">
        <f aca="false">IF($B17="","",COUNTIF(DATABASE!$F$4:$F$2003,$B17))</f>
        <v/>
      </c>
    </row>
    <row r="18" customFormat="false" ht="15" hidden="false" customHeight="false" outlineLevel="0" collapsed="false">
      <c r="B18" s="9" t="str">
        <f aca="true">IFERROR(INDEX(daftar_kampung,13),"")</f>
        <v/>
      </c>
      <c r="C18" s="55" t="str">
        <f aca="false">IF(OR($B18="",C$5=""),"",COUNTIFS(DATABASE!$F$4:$F$2003,$B18,DATABASE!$G$4:$G$2003,C$5))</f>
        <v/>
      </c>
      <c r="D18" s="55" t="str">
        <f aca="false">IF(OR($B18="",D$5=""),"",COUNTIFS(DATABASE!$F$4:$F$2003,$B18,DATABASE!$G$4:$G$2003,D$5))</f>
        <v/>
      </c>
      <c r="E18" s="55" t="str">
        <f aca="false">IF(OR($B18="",E$5=""),"",COUNTIFS(DATABASE!$F$4:$F$2003,$B18,DATABASE!$G$4:$G$2003,E$5))</f>
        <v/>
      </c>
      <c r="F18" s="55" t="str">
        <f aca="false">IF(OR($B18="",F$5=""),"",COUNTIFS(DATABASE!$F$4:$F$2003,$B18,DATABASE!$G$4:$G$2003,F$5))</f>
        <v/>
      </c>
      <c r="G18" s="55" t="str">
        <f aca="false">IF(OR($B18="",G$5=""),"",COUNTIFS(DATABASE!$F$4:$F$2003,$B18,DATABASE!$G$4:$G$2003,G$5))</f>
        <v/>
      </c>
      <c r="H18" s="55" t="str">
        <f aca="false">IF(OR($B18="",H$5=""),"",COUNTIFS(DATABASE!$F$4:$F$2003,$B18,DATABASE!$G$4:$G$2003,H$5))</f>
        <v/>
      </c>
      <c r="I18" s="55" t="str">
        <f aca="false">IF(OR($B18="",I$5=""),"",COUNTIFS(DATABASE!$F$4:$F$2003,$B18,DATABASE!$G$4:$G$2003,I$5))</f>
        <v/>
      </c>
      <c r="J18" s="55" t="str">
        <f aca="false">IF(OR($B18="",J$5=""),"",COUNTIFS(DATABASE!$F$4:$F$2003,$B18,DATABASE!$G$4:$G$2003,J$5))</f>
        <v/>
      </c>
      <c r="K18" s="55" t="str">
        <f aca="false">IF(OR($B18="",K$5=""),"",COUNTIFS(DATABASE!$F$4:$F$2003,$B18,DATABASE!$G$4:$G$2003,K$5))</f>
        <v/>
      </c>
      <c r="L18" s="55" t="str">
        <f aca="false">IF(OR($B18="",L$5=""),"",COUNTIFS(DATABASE!$F$4:$F$2003,$B18,DATABASE!$G$4:$G$2003,L$5))</f>
        <v/>
      </c>
      <c r="M18" s="55" t="str">
        <f aca="false">IF(OR($B18="",M$5=""),"",COUNTIFS(DATABASE!$F$4:$F$2003,$B18,DATABASE!$G$4:$G$2003,M$5))</f>
        <v/>
      </c>
      <c r="N18" s="55" t="str">
        <f aca="false">IF(OR($B18="",N$5=""),"",COUNTIFS(DATABASE!$F$4:$F$2003,$B18,DATABASE!$G$4:$G$2003,N$5))</f>
        <v/>
      </c>
      <c r="O18" s="55" t="str">
        <f aca="false">IF(OR($B18="",O$5=""),"",COUNTIFS(DATABASE!$F$4:$F$2003,$B18,DATABASE!$G$4:$G$2003,O$5))</f>
        <v/>
      </c>
      <c r="P18" s="55" t="str">
        <f aca="false">IF(OR($B18="",P$5=""),"",COUNTIFS(DATABASE!$F$4:$F$2003,$B18,DATABASE!$G$4:$G$2003,P$5))</f>
        <v/>
      </c>
      <c r="Q18" s="55" t="str">
        <f aca="false">IF(OR($B18="",Q$5=""),"",COUNTIFS(DATABASE!$F$4:$F$2003,$B18,DATABASE!$G$4:$G$2003,Q$5))</f>
        <v/>
      </c>
      <c r="R18" s="55" t="str">
        <f aca="false">IF(OR($B18="",R$5=""),"",COUNTIFS(DATABASE!$F$4:$F$2003,$B18,DATABASE!$G$4:$G$2003,R$5))</f>
        <v/>
      </c>
      <c r="S18" s="55" t="str">
        <f aca="false">IF(OR($B18="",S$5=""),"",COUNTIFS(DATABASE!$F$4:$F$2003,$B18,DATABASE!$G$4:$G$2003,S$5))</f>
        <v/>
      </c>
      <c r="T18" s="55" t="str">
        <f aca="false">IF(OR($B18="",T$5=""),"",COUNTIFS(DATABASE!$F$4:$F$2003,$B18,DATABASE!$G$4:$G$2003,T$5))</f>
        <v/>
      </c>
      <c r="U18" s="55" t="str">
        <f aca="false">IF(OR($B18="",U$5=""),"",COUNTIFS(DATABASE!$F$4:$F$2003,$B18,DATABASE!$G$4:$G$2003,U$5))</f>
        <v/>
      </c>
      <c r="V18" s="55" t="str">
        <f aca="false">IF(OR($B18="",V$5=""),"",COUNTIFS(DATABASE!$F$4:$F$2003,$B18,DATABASE!$G$4:$G$2003,V$5))</f>
        <v/>
      </c>
      <c r="W18" s="56" t="str">
        <f aca="false">IF($B18="","",COUNTIF(DATABASE!$F$4:$F$2003,$B18))</f>
        <v/>
      </c>
    </row>
    <row r="19" customFormat="false" ht="15" hidden="false" customHeight="false" outlineLevel="0" collapsed="false">
      <c r="B19" s="13" t="str">
        <f aca="true">IFERROR(INDEX(daftar_kampung,14),"")</f>
        <v/>
      </c>
      <c r="C19" s="57" t="str">
        <f aca="false">IF(OR($B19="",C$5=""),"",COUNTIFS(DATABASE!$F$4:$F$2003,$B19,DATABASE!$G$4:$G$2003,C$5))</f>
        <v/>
      </c>
      <c r="D19" s="57" t="str">
        <f aca="false">IF(OR($B19="",D$5=""),"",COUNTIFS(DATABASE!$F$4:$F$2003,$B19,DATABASE!$G$4:$G$2003,D$5))</f>
        <v/>
      </c>
      <c r="E19" s="57" t="str">
        <f aca="false">IF(OR($B19="",E$5=""),"",COUNTIFS(DATABASE!$F$4:$F$2003,$B19,DATABASE!$G$4:$G$2003,E$5))</f>
        <v/>
      </c>
      <c r="F19" s="57" t="str">
        <f aca="false">IF(OR($B19="",F$5=""),"",COUNTIFS(DATABASE!$F$4:$F$2003,$B19,DATABASE!$G$4:$G$2003,F$5))</f>
        <v/>
      </c>
      <c r="G19" s="57" t="str">
        <f aca="false">IF(OR($B19="",G$5=""),"",COUNTIFS(DATABASE!$F$4:$F$2003,$B19,DATABASE!$G$4:$G$2003,G$5))</f>
        <v/>
      </c>
      <c r="H19" s="57" t="str">
        <f aca="false">IF(OR($B19="",H$5=""),"",COUNTIFS(DATABASE!$F$4:$F$2003,$B19,DATABASE!$G$4:$G$2003,H$5))</f>
        <v/>
      </c>
      <c r="I19" s="57" t="str">
        <f aca="false">IF(OR($B19="",I$5=""),"",COUNTIFS(DATABASE!$F$4:$F$2003,$B19,DATABASE!$G$4:$G$2003,I$5))</f>
        <v/>
      </c>
      <c r="J19" s="57" t="str">
        <f aca="false">IF(OR($B19="",J$5=""),"",COUNTIFS(DATABASE!$F$4:$F$2003,$B19,DATABASE!$G$4:$G$2003,J$5))</f>
        <v/>
      </c>
      <c r="K19" s="57" t="str">
        <f aca="false">IF(OR($B19="",K$5=""),"",COUNTIFS(DATABASE!$F$4:$F$2003,$B19,DATABASE!$G$4:$G$2003,K$5))</f>
        <v/>
      </c>
      <c r="L19" s="57" t="str">
        <f aca="false">IF(OR($B19="",L$5=""),"",COUNTIFS(DATABASE!$F$4:$F$2003,$B19,DATABASE!$G$4:$G$2003,L$5))</f>
        <v/>
      </c>
      <c r="M19" s="57" t="str">
        <f aca="false">IF(OR($B19="",M$5=""),"",COUNTIFS(DATABASE!$F$4:$F$2003,$B19,DATABASE!$G$4:$G$2003,M$5))</f>
        <v/>
      </c>
      <c r="N19" s="57" t="str">
        <f aca="false">IF(OR($B19="",N$5=""),"",COUNTIFS(DATABASE!$F$4:$F$2003,$B19,DATABASE!$G$4:$G$2003,N$5))</f>
        <v/>
      </c>
      <c r="O19" s="57" t="str">
        <f aca="false">IF(OR($B19="",O$5=""),"",COUNTIFS(DATABASE!$F$4:$F$2003,$B19,DATABASE!$G$4:$G$2003,O$5))</f>
        <v/>
      </c>
      <c r="P19" s="57" t="str">
        <f aca="false">IF(OR($B19="",P$5=""),"",COUNTIFS(DATABASE!$F$4:$F$2003,$B19,DATABASE!$G$4:$G$2003,P$5))</f>
        <v/>
      </c>
      <c r="Q19" s="57" t="str">
        <f aca="false">IF(OR($B19="",Q$5=""),"",COUNTIFS(DATABASE!$F$4:$F$2003,$B19,DATABASE!$G$4:$G$2003,Q$5))</f>
        <v/>
      </c>
      <c r="R19" s="57" t="str">
        <f aca="false">IF(OR($B19="",R$5=""),"",COUNTIFS(DATABASE!$F$4:$F$2003,$B19,DATABASE!$G$4:$G$2003,R$5))</f>
        <v/>
      </c>
      <c r="S19" s="57" t="str">
        <f aca="false">IF(OR($B19="",S$5=""),"",COUNTIFS(DATABASE!$F$4:$F$2003,$B19,DATABASE!$G$4:$G$2003,S$5))</f>
        <v/>
      </c>
      <c r="T19" s="57" t="str">
        <f aca="false">IF(OR($B19="",T$5=""),"",COUNTIFS(DATABASE!$F$4:$F$2003,$B19,DATABASE!$G$4:$G$2003,T$5))</f>
        <v/>
      </c>
      <c r="U19" s="57" t="str">
        <f aca="false">IF(OR($B19="",U$5=""),"",COUNTIFS(DATABASE!$F$4:$F$2003,$B19,DATABASE!$G$4:$G$2003,U$5))</f>
        <v/>
      </c>
      <c r="V19" s="57" t="str">
        <f aca="false">IF(OR($B19="",V$5=""),"",COUNTIFS(DATABASE!$F$4:$F$2003,$B19,DATABASE!$G$4:$G$2003,V$5))</f>
        <v/>
      </c>
      <c r="W19" s="58" t="str">
        <f aca="false">IF($B19="","",COUNTIF(DATABASE!$F$4:$F$2003,$B19))</f>
        <v/>
      </c>
    </row>
    <row r="20" customFormat="false" ht="15" hidden="false" customHeight="false" outlineLevel="0" collapsed="false">
      <c r="B20" s="9" t="str">
        <f aca="true">IFERROR(INDEX(daftar_kampung,15),"")</f>
        <v/>
      </c>
      <c r="C20" s="55" t="str">
        <f aca="false">IF(OR($B20="",C$5=""),"",COUNTIFS(DATABASE!$F$4:$F$2003,$B20,DATABASE!$G$4:$G$2003,C$5))</f>
        <v/>
      </c>
      <c r="D20" s="55" t="str">
        <f aca="false">IF(OR($B20="",D$5=""),"",COUNTIFS(DATABASE!$F$4:$F$2003,$B20,DATABASE!$G$4:$G$2003,D$5))</f>
        <v/>
      </c>
      <c r="E20" s="55" t="str">
        <f aca="false">IF(OR($B20="",E$5=""),"",COUNTIFS(DATABASE!$F$4:$F$2003,$B20,DATABASE!$G$4:$G$2003,E$5))</f>
        <v/>
      </c>
      <c r="F20" s="55" t="str">
        <f aca="false">IF(OR($B20="",F$5=""),"",COUNTIFS(DATABASE!$F$4:$F$2003,$B20,DATABASE!$G$4:$G$2003,F$5))</f>
        <v/>
      </c>
      <c r="G20" s="55" t="str">
        <f aca="false">IF(OR($B20="",G$5=""),"",COUNTIFS(DATABASE!$F$4:$F$2003,$B20,DATABASE!$G$4:$G$2003,G$5))</f>
        <v/>
      </c>
      <c r="H20" s="55" t="str">
        <f aca="false">IF(OR($B20="",H$5=""),"",COUNTIFS(DATABASE!$F$4:$F$2003,$B20,DATABASE!$G$4:$G$2003,H$5))</f>
        <v/>
      </c>
      <c r="I20" s="55" t="str">
        <f aca="false">IF(OR($B20="",I$5=""),"",COUNTIFS(DATABASE!$F$4:$F$2003,$B20,DATABASE!$G$4:$G$2003,I$5))</f>
        <v/>
      </c>
      <c r="J20" s="55" t="str">
        <f aca="false">IF(OR($B20="",J$5=""),"",COUNTIFS(DATABASE!$F$4:$F$2003,$B20,DATABASE!$G$4:$G$2003,J$5))</f>
        <v/>
      </c>
      <c r="K20" s="55" t="str">
        <f aca="false">IF(OR($B20="",K$5=""),"",COUNTIFS(DATABASE!$F$4:$F$2003,$B20,DATABASE!$G$4:$G$2003,K$5))</f>
        <v/>
      </c>
      <c r="L20" s="55" t="str">
        <f aca="false">IF(OR($B20="",L$5=""),"",COUNTIFS(DATABASE!$F$4:$F$2003,$B20,DATABASE!$G$4:$G$2003,L$5))</f>
        <v/>
      </c>
      <c r="M20" s="55" t="str">
        <f aca="false">IF(OR($B20="",M$5=""),"",COUNTIFS(DATABASE!$F$4:$F$2003,$B20,DATABASE!$G$4:$G$2003,M$5))</f>
        <v/>
      </c>
      <c r="N20" s="55" t="str">
        <f aca="false">IF(OR($B20="",N$5=""),"",COUNTIFS(DATABASE!$F$4:$F$2003,$B20,DATABASE!$G$4:$G$2003,N$5))</f>
        <v/>
      </c>
      <c r="O20" s="55" t="str">
        <f aca="false">IF(OR($B20="",O$5=""),"",COUNTIFS(DATABASE!$F$4:$F$2003,$B20,DATABASE!$G$4:$G$2003,O$5))</f>
        <v/>
      </c>
      <c r="P20" s="55" t="str">
        <f aca="false">IF(OR($B20="",P$5=""),"",COUNTIFS(DATABASE!$F$4:$F$2003,$B20,DATABASE!$G$4:$G$2003,P$5))</f>
        <v/>
      </c>
      <c r="Q20" s="55" t="str">
        <f aca="false">IF(OR($B20="",Q$5=""),"",COUNTIFS(DATABASE!$F$4:$F$2003,$B20,DATABASE!$G$4:$G$2003,Q$5))</f>
        <v/>
      </c>
      <c r="R20" s="55" t="str">
        <f aca="false">IF(OR($B20="",R$5=""),"",COUNTIFS(DATABASE!$F$4:$F$2003,$B20,DATABASE!$G$4:$G$2003,R$5))</f>
        <v/>
      </c>
      <c r="S20" s="55" t="str">
        <f aca="false">IF(OR($B20="",S$5=""),"",COUNTIFS(DATABASE!$F$4:$F$2003,$B20,DATABASE!$G$4:$G$2003,S$5))</f>
        <v/>
      </c>
      <c r="T20" s="55" t="str">
        <f aca="false">IF(OR($B20="",T$5=""),"",COUNTIFS(DATABASE!$F$4:$F$2003,$B20,DATABASE!$G$4:$G$2003,T$5))</f>
        <v/>
      </c>
      <c r="U20" s="55" t="str">
        <f aca="false">IF(OR($B20="",U$5=""),"",COUNTIFS(DATABASE!$F$4:$F$2003,$B20,DATABASE!$G$4:$G$2003,U$5))</f>
        <v/>
      </c>
      <c r="V20" s="55" t="str">
        <f aca="false">IF(OR($B20="",V$5=""),"",COUNTIFS(DATABASE!$F$4:$F$2003,$B20,DATABASE!$G$4:$G$2003,V$5))</f>
        <v/>
      </c>
      <c r="W20" s="56" t="str">
        <f aca="false">IF($B20="","",COUNTIF(DATABASE!$F$4:$F$2003,$B20))</f>
        <v/>
      </c>
    </row>
    <row r="21" customFormat="false" ht="15" hidden="false" customHeight="false" outlineLevel="0" collapsed="false">
      <c r="B21" s="13" t="str">
        <f aca="true">IFERROR(INDEX(daftar_kampung,16),"")</f>
        <v/>
      </c>
      <c r="C21" s="57" t="str">
        <f aca="false">IF(OR($B21="",C$5=""),"",COUNTIFS(DATABASE!$F$4:$F$2003,$B21,DATABASE!$G$4:$G$2003,C$5))</f>
        <v/>
      </c>
      <c r="D21" s="57" t="str">
        <f aca="false">IF(OR($B21="",D$5=""),"",COUNTIFS(DATABASE!$F$4:$F$2003,$B21,DATABASE!$G$4:$G$2003,D$5))</f>
        <v/>
      </c>
      <c r="E21" s="57" t="str">
        <f aca="false">IF(OR($B21="",E$5=""),"",COUNTIFS(DATABASE!$F$4:$F$2003,$B21,DATABASE!$G$4:$G$2003,E$5))</f>
        <v/>
      </c>
      <c r="F21" s="57" t="str">
        <f aca="false">IF(OR($B21="",F$5=""),"",COUNTIFS(DATABASE!$F$4:$F$2003,$B21,DATABASE!$G$4:$G$2003,F$5))</f>
        <v/>
      </c>
      <c r="G21" s="57" t="str">
        <f aca="false">IF(OR($B21="",G$5=""),"",COUNTIFS(DATABASE!$F$4:$F$2003,$B21,DATABASE!$G$4:$G$2003,G$5))</f>
        <v/>
      </c>
      <c r="H21" s="57" t="str">
        <f aca="false">IF(OR($B21="",H$5=""),"",COUNTIFS(DATABASE!$F$4:$F$2003,$B21,DATABASE!$G$4:$G$2003,H$5))</f>
        <v/>
      </c>
      <c r="I21" s="57" t="str">
        <f aca="false">IF(OR($B21="",I$5=""),"",COUNTIFS(DATABASE!$F$4:$F$2003,$B21,DATABASE!$G$4:$G$2003,I$5))</f>
        <v/>
      </c>
      <c r="J21" s="57" t="str">
        <f aca="false">IF(OR($B21="",J$5=""),"",COUNTIFS(DATABASE!$F$4:$F$2003,$B21,DATABASE!$G$4:$G$2003,J$5))</f>
        <v/>
      </c>
      <c r="K21" s="57" t="str">
        <f aca="false">IF(OR($B21="",K$5=""),"",COUNTIFS(DATABASE!$F$4:$F$2003,$B21,DATABASE!$G$4:$G$2003,K$5))</f>
        <v/>
      </c>
      <c r="L21" s="57" t="str">
        <f aca="false">IF(OR($B21="",L$5=""),"",COUNTIFS(DATABASE!$F$4:$F$2003,$B21,DATABASE!$G$4:$G$2003,L$5))</f>
        <v/>
      </c>
      <c r="M21" s="57" t="str">
        <f aca="false">IF(OR($B21="",M$5=""),"",COUNTIFS(DATABASE!$F$4:$F$2003,$B21,DATABASE!$G$4:$G$2003,M$5))</f>
        <v/>
      </c>
      <c r="N21" s="57" t="str">
        <f aca="false">IF(OR($B21="",N$5=""),"",COUNTIFS(DATABASE!$F$4:$F$2003,$B21,DATABASE!$G$4:$G$2003,N$5))</f>
        <v/>
      </c>
      <c r="O21" s="57" t="str">
        <f aca="false">IF(OR($B21="",O$5=""),"",COUNTIFS(DATABASE!$F$4:$F$2003,$B21,DATABASE!$G$4:$G$2003,O$5))</f>
        <v/>
      </c>
      <c r="P21" s="57" t="str">
        <f aca="false">IF(OR($B21="",P$5=""),"",COUNTIFS(DATABASE!$F$4:$F$2003,$B21,DATABASE!$G$4:$G$2003,P$5))</f>
        <v/>
      </c>
      <c r="Q21" s="57" t="str">
        <f aca="false">IF(OR($B21="",Q$5=""),"",COUNTIFS(DATABASE!$F$4:$F$2003,$B21,DATABASE!$G$4:$G$2003,Q$5))</f>
        <v/>
      </c>
      <c r="R21" s="57" t="str">
        <f aca="false">IF(OR($B21="",R$5=""),"",COUNTIFS(DATABASE!$F$4:$F$2003,$B21,DATABASE!$G$4:$G$2003,R$5))</f>
        <v/>
      </c>
      <c r="S21" s="57" t="str">
        <f aca="false">IF(OR($B21="",S$5=""),"",COUNTIFS(DATABASE!$F$4:$F$2003,$B21,DATABASE!$G$4:$G$2003,S$5))</f>
        <v/>
      </c>
      <c r="T21" s="57" t="str">
        <f aca="false">IF(OR($B21="",T$5=""),"",COUNTIFS(DATABASE!$F$4:$F$2003,$B21,DATABASE!$G$4:$G$2003,T$5))</f>
        <v/>
      </c>
      <c r="U21" s="57" t="str">
        <f aca="false">IF(OR($B21="",U$5=""),"",COUNTIFS(DATABASE!$F$4:$F$2003,$B21,DATABASE!$G$4:$G$2003,U$5))</f>
        <v/>
      </c>
      <c r="V21" s="57" t="str">
        <f aca="false">IF(OR($B21="",V$5=""),"",COUNTIFS(DATABASE!$F$4:$F$2003,$B21,DATABASE!$G$4:$G$2003,V$5))</f>
        <v/>
      </c>
      <c r="W21" s="58" t="str">
        <f aca="false">IF($B21="","",COUNTIF(DATABASE!$F$4:$F$2003,$B21))</f>
        <v/>
      </c>
    </row>
    <row r="22" customFormat="false" ht="15" hidden="false" customHeight="false" outlineLevel="0" collapsed="false">
      <c r="B22" s="9" t="str">
        <f aca="true">IFERROR(INDEX(daftar_kampung,17),"")</f>
        <v/>
      </c>
      <c r="C22" s="55" t="str">
        <f aca="false">IF(OR($B22="",C$5=""),"",COUNTIFS(DATABASE!$F$4:$F$2003,$B22,DATABASE!$G$4:$G$2003,C$5))</f>
        <v/>
      </c>
      <c r="D22" s="55" t="str">
        <f aca="false">IF(OR($B22="",D$5=""),"",COUNTIFS(DATABASE!$F$4:$F$2003,$B22,DATABASE!$G$4:$G$2003,D$5))</f>
        <v/>
      </c>
      <c r="E22" s="55" t="str">
        <f aca="false">IF(OR($B22="",E$5=""),"",COUNTIFS(DATABASE!$F$4:$F$2003,$B22,DATABASE!$G$4:$G$2003,E$5))</f>
        <v/>
      </c>
      <c r="F22" s="55" t="str">
        <f aca="false">IF(OR($B22="",F$5=""),"",COUNTIFS(DATABASE!$F$4:$F$2003,$B22,DATABASE!$G$4:$G$2003,F$5))</f>
        <v/>
      </c>
      <c r="G22" s="55" t="str">
        <f aca="false">IF(OR($B22="",G$5=""),"",COUNTIFS(DATABASE!$F$4:$F$2003,$B22,DATABASE!$G$4:$G$2003,G$5))</f>
        <v/>
      </c>
      <c r="H22" s="55" t="str">
        <f aca="false">IF(OR($B22="",H$5=""),"",COUNTIFS(DATABASE!$F$4:$F$2003,$B22,DATABASE!$G$4:$G$2003,H$5))</f>
        <v/>
      </c>
      <c r="I22" s="55" t="str">
        <f aca="false">IF(OR($B22="",I$5=""),"",COUNTIFS(DATABASE!$F$4:$F$2003,$B22,DATABASE!$G$4:$G$2003,I$5))</f>
        <v/>
      </c>
      <c r="J22" s="55" t="str">
        <f aca="false">IF(OR($B22="",J$5=""),"",COUNTIFS(DATABASE!$F$4:$F$2003,$B22,DATABASE!$G$4:$G$2003,J$5))</f>
        <v/>
      </c>
      <c r="K22" s="55" t="str">
        <f aca="false">IF(OR($B22="",K$5=""),"",COUNTIFS(DATABASE!$F$4:$F$2003,$B22,DATABASE!$G$4:$G$2003,K$5))</f>
        <v/>
      </c>
      <c r="L22" s="55" t="str">
        <f aca="false">IF(OR($B22="",L$5=""),"",COUNTIFS(DATABASE!$F$4:$F$2003,$B22,DATABASE!$G$4:$G$2003,L$5))</f>
        <v/>
      </c>
      <c r="M22" s="55" t="str">
        <f aca="false">IF(OR($B22="",M$5=""),"",COUNTIFS(DATABASE!$F$4:$F$2003,$B22,DATABASE!$G$4:$G$2003,M$5))</f>
        <v/>
      </c>
      <c r="N22" s="55" t="str">
        <f aca="false">IF(OR($B22="",N$5=""),"",COUNTIFS(DATABASE!$F$4:$F$2003,$B22,DATABASE!$G$4:$G$2003,N$5))</f>
        <v/>
      </c>
      <c r="O22" s="55" t="str">
        <f aca="false">IF(OR($B22="",O$5=""),"",COUNTIFS(DATABASE!$F$4:$F$2003,$B22,DATABASE!$G$4:$G$2003,O$5))</f>
        <v/>
      </c>
      <c r="P22" s="55" t="str">
        <f aca="false">IF(OR($B22="",P$5=""),"",COUNTIFS(DATABASE!$F$4:$F$2003,$B22,DATABASE!$G$4:$G$2003,P$5))</f>
        <v/>
      </c>
      <c r="Q22" s="55" t="str">
        <f aca="false">IF(OR($B22="",Q$5=""),"",COUNTIFS(DATABASE!$F$4:$F$2003,$B22,DATABASE!$G$4:$G$2003,Q$5))</f>
        <v/>
      </c>
      <c r="R22" s="55" t="str">
        <f aca="false">IF(OR($B22="",R$5=""),"",COUNTIFS(DATABASE!$F$4:$F$2003,$B22,DATABASE!$G$4:$G$2003,R$5))</f>
        <v/>
      </c>
      <c r="S22" s="55" t="str">
        <f aca="false">IF(OR($B22="",S$5=""),"",COUNTIFS(DATABASE!$F$4:$F$2003,$B22,DATABASE!$G$4:$G$2003,S$5))</f>
        <v/>
      </c>
      <c r="T22" s="55" t="str">
        <f aca="false">IF(OR($B22="",T$5=""),"",COUNTIFS(DATABASE!$F$4:$F$2003,$B22,DATABASE!$G$4:$G$2003,T$5))</f>
        <v/>
      </c>
      <c r="U22" s="55" t="str">
        <f aca="false">IF(OR($B22="",U$5=""),"",COUNTIFS(DATABASE!$F$4:$F$2003,$B22,DATABASE!$G$4:$G$2003,U$5))</f>
        <v/>
      </c>
      <c r="V22" s="55" t="str">
        <f aca="false">IF(OR($B22="",V$5=""),"",COUNTIFS(DATABASE!$F$4:$F$2003,$B22,DATABASE!$G$4:$G$2003,V$5))</f>
        <v/>
      </c>
      <c r="W22" s="56" t="str">
        <f aca="false">IF($B22="","",COUNTIF(DATABASE!$F$4:$F$2003,$B22))</f>
        <v/>
      </c>
    </row>
    <row r="23" customFormat="false" ht="15" hidden="false" customHeight="false" outlineLevel="0" collapsed="false">
      <c r="B23" s="13" t="str">
        <f aca="true">IFERROR(INDEX(daftar_kampung,18),"")</f>
        <v/>
      </c>
      <c r="C23" s="57" t="str">
        <f aca="false">IF(OR($B23="",C$5=""),"",COUNTIFS(DATABASE!$F$4:$F$2003,$B23,DATABASE!$G$4:$G$2003,C$5))</f>
        <v/>
      </c>
      <c r="D23" s="57" t="str">
        <f aca="false">IF(OR($B23="",D$5=""),"",COUNTIFS(DATABASE!$F$4:$F$2003,$B23,DATABASE!$G$4:$G$2003,D$5))</f>
        <v/>
      </c>
      <c r="E23" s="57" t="str">
        <f aca="false">IF(OR($B23="",E$5=""),"",COUNTIFS(DATABASE!$F$4:$F$2003,$B23,DATABASE!$G$4:$G$2003,E$5))</f>
        <v/>
      </c>
      <c r="F23" s="57" t="str">
        <f aca="false">IF(OR($B23="",F$5=""),"",COUNTIFS(DATABASE!$F$4:$F$2003,$B23,DATABASE!$G$4:$G$2003,F$5))</f>
        <v/>
      </c>
      <c r="G23" s="57" t="str">
        <f aca="false">IF(OR($B23="",G$5=""),"",COUNTIFS(DATABASE!$F$4:$F$2003,$B23,DATABASE!$G$4:$G$2003,G$5))</f>
        <v/>
      </c>
      <c r="H23" s="57" t="str">
        <f aca="false">IF(OR($B23="",H$5=""),"",COUNTIFS(DATABASE!$F$4:$F$2003,$B23,DATABASE!$G$4:$G$2003,H$5))</f>
        <v/>
      </c>
      <c r="I23" s="57" t="str">
        <f aca="false">IF(OR($B23="",I$5=""),"",COUNTIFS(DATABASE!$F$4:$F$2003,$B23,DATABASE!$G$4:$G$2003,I$5))</f>
        <v/>
      </c>
      <c r="J23" s="57" t="str">
        <f aca="false">IF(OR($B23="",J$5=""),"",COUNTIFS(DATABASE!$F$4:$F$2003,$B23,DATABASE!$G$4:$G$2003,J$5))</f>
        <v/>
      </c>
      <c r="K23" s="57" t="str">
        <f aca="false">IF(OR($B23="",K$5=""),"",COUNTIFS(DATABASE!$F$4:$F$2003,$B23,DATABASE!$G$4:$G$2003,K$5))</f>
        <v/>
      </c>
      <c r="L23" s="57" t="str">
        <f aca="false">IF(OR($B23="",L$5=""),"",COUNTIFS(DATABASE!$F$4:$F$2003,$B23,DATABASE!$G$4:$G$2003,L$5))</f>
        <v/>
      </c>
      <c r="M23" s="57" t="str">
        <f aca="false">IF(OR($B23="",M$5=""),"",COUNTIFS(DATABASE!$F$4:$F$2003,$B23,DATABASE!$G$4:$G$2003,M$5))</f>
        <v/>
      </c>
      <c r="N23" s="57" t="str">
        <f aca="false">IF(OR($B23="",N$5=""),"",COUNTIFS(DATABASE!$F$4:$F$2003,$B23,DATABASE!$G$4:$G$2003,N$5))</f>
        <v/>
      </c>
      <c r="O23" s="57" t="str">
        <f aca="false">IF(OR($B23="",O$5=""),"",COUNTIFS(DATABASE!$F$4:$F$2003,$B23,DATABASE!$G$4:$G$2003,O$5))</f>
        <v/>
      </c>
      <c r="P23" s="57" t="str">
        <f aca="false">IF(OR($B23="",P$5=""),"",COUNTIFS(DATABASE!$F$4:$F$2003,$B23,DATABASE!$G$4:$G$2003,P$5))</f>
        <v/>
      </c>
      <c r="Q23" s="57" t="str">
        <f aca="false">IF(OR($B23="",Q$5=""),"",COUNTIFS(DATABASE!$F$4:$F$2003,$B23,DATABASE!$G$4:$G$2003,Q$5))</f>
        <v/>
      </c>
      <c r="R23" s="57" t="str">
        <f aca="false">IF(OR($B23="",R$5=""),"",COUNTIFS(DATABASE!$F$4:$F$2003,$B23,DATABASE!$G$4:$G$2003,R$5))</f>
        <v/>
      </c>
      <c r="S23" s="57" t="str">
        <f aca="false">IF(OR($B23="",S$5=""),"",COUNTIFS(DATABASE!$F$4:$F$2003,$B23,DATABASE!$G$4:$G$2003,S$5))</f>
        <v/>
      </c>
      <c r="T23" s="57" t="str">
        <f aca="false">IF(OR($B23="",T$5=""),"",COUNTIFS(DATABASE!$F$4:$F$2003,$B23,DATABASE!$G$4:$G$2003,T$5))</f>
        <v/>
      </c>
      <c r="U23" s="57" t="str">
        <f aca="false">IF(OR($B23="",U$5=""),"",COUNTIFS(DATABASE!$F$4:$F$2003,$B23,DATABASE!$G$4:$G$2003,U$5))</f>
        <v/>
      </c>
      <c r="V23" s="57" t="str">
        <f aca="false">IF(OR($B23="",V$5=""),"",COUNTIFS(DATABASE!$F$4:$F$2003,$B23,DATABASE!$G$4:$G$2003,V$5))</f>
        <v/>
      </c>
      <c r="W23" s="58" t="str">
        <f aca="false">IF($B23="","",COUNTIF(DATABASE!$F$4:$F$2003,$B23))</f>
        <v/>
      </c>
    </row>
    <row r="24" customFormat="false" ht="15" hidden="false" customHeight="false" outlineLevel="0" collapsed="false">
      <c r="B24" s="9" t="str">
        <f aca="true">IFERROR(INDEX(daftar_kampung,19),"")</f>
        <v/>
      </c>
      <c r="C24" s="55" t="str">
        <f aca="false">IF(OR($B24="",C$5=""),"",COUNTIFS(DATABASE!$F$4:$F$2003,$B24,DATABASE!$G$4:$G$2003,C$5))</f>
        <v/>
      </c>
      <c r="D24" s="55" t="str">
        <f aca="false">IF(OR($B24="",D$5=""),"",COUNTIFS(DATABASE!$F$4:$F$2003,$B24,DATABASE!$G$4:$G$2003,D$5))</f>
        <v/>
      </c>
      <c r="E24" s="55" t="str">
        <f aca="false">IF(OR($B24="",E$5=""),"",COUNTIFS(DATABASE!$F$4:$F$2003,$B24,DATABASE!$G$4:$G$2003,E$5))</f>
        <v/>
      </c>
      <c r="F24" s="55" t="str">
        <f aca="false">IF(OR($B24="",F$5=""),"",COUNTIFS(DATABASE!$F$4:$F$2003,$B24,DATABASE!$G$4:$G$2003,F$5))</f>
        <v/>
      </c>
      <c r="G24" s="55" t="str">
        <f aca="false">IF(OR($B24="",G$5=""),"",COUNTIFS(DATABASE!$F$4:$F$2003,$B24,DATABASE!$G$4:$G$2003,G$5))</f>
        <v/>
      </c>
      <c r="H24" s="55" t="str">
        <f aca="false">IF(OR($B24="",H$5=""),"",COUNTIFS(DATABASE!$F$4:$F$2003,$B24,DATABASE!$G$4:$G$2003,H$5))</f>
        <v/>
      </c>
      <c r="I24" s="55" t="str">
        <f aca="false">IF(OR($B24="",I$5=""),"",COUNTIFS(DATABASE!$F$4:$F$2003,$B24,DATABASE!$G$4:$G$2003,I$5))</f>
        <v/>
      </c>
      <c r="J24" s="55" t="str">
        <f aca="false">IF(OR($B24="",J$5=""),"",COUNTIFS(DATABASE!$F$4:$F$2003,$B24,DATABASE!$G$4:$G$2003,J$5))</f>
        <v/>
      </c>
      <c r="K24" s="55" t="str">
        <f aca="false">IF(OR($B24="",K$5=""),"",COUNTIFS(DATABASE!$F$4:$F$2003,$B24,DATABASE!$G$4:$G$2003,K$5))</f>
        <v/>
      </c>
      <c r="L24" s="55" t="str">
        <f aca="false">IF(OR($B24="",L$5=""),"",COUNTIFS(DATABASE!$F$4:$F$2003,$B24,DATABASE!$G$4:$G$2003,L$5))</f>
        <v/>
      </c>
      <c r="M24" s="55" t="str">
        <f aca="false">IF(OR($B24="",M$5=""),"",COUNTIFS(DATABASE!$F$4:$F$2003,$B24,DATABASE!$G$4:$G$2003,M$5))</f>
        <v/>
      </c>
      <c r="N24" s="55" t="str">
        <f aca="false">IF(OR($B24="",N$5=""),"",COUNTIFS(DATABASE!$F$4:$F$2003,$B24,DATABASE!$G$4:$G$2003,N$5))</f>
        <v/>
      </c>
      <c r="O24" s="55" t="str">
        <f aca="false">IF(OR($B24="",O$5=""),"",COUNTIFS(DATABASE!$F$4:$F$2003,$B24,DATABASE!$G$4:$G$2003,O$5))</f>
        <v/>
      </c>
      <c r="P24" s="55" t="str">
        <f aca="false">IF(OR($B24="",P$5=""),"",COUNTIFS(DATABASE!$F$4:$F$2003,$B24,DATABASE!$G$4:$G$2003,P$5))</f>
        <v/>
      </c>
      <c r="Q24" s="55" t="str">
        <f aca="false">IF(OR($B24="",Q$5=""),"",COUNTIFS(DATABASE!$F$4:$F$2003,$B24,DATABASE!$G$4:$G$2003,Q$5))</f>
        <v/>
      </c>
      <c r="R24" s="55" t="str">
        <f aca="false">IF(OR($B24="",R$5=""),"",COUNTIFS(DATABASE!$F$4:$F$2003,$B24,DATABASE!$G$4:$G$2003,R$5))</f>
        <v/>
      </c>
      <c r="S24" s="55" t="str">
        <f aca="false">IF(OR($B24="",S$5=""),"",COUNTIFS(DATABASE!$F$4:$F$2003,$B24,DATABASE!$G$4:$G$2003,S$5))</f>
        <v/>
      </c>
      <c r="T24" s="55" t="str">
        <f aca="false">IF(OR($B24="",T$5=""),"",COUNTIFS(DATABASE!$F$4:$F$2003,$B24,DATABASE!$G$4:$G$2003,T$5))</f>
        <v/>
      </c>
      <c r="U24" s="55" t="str">
        <f aca="false">IF(OR($B24="",U$5=""),"",COUNTIFS(DATABASE!$F$4:$F$2003,$B24,DATABASE!$G$4:$G$2003,U$5))</f>
        <v/>
      </c>
      <c r="V24" s="55" t="str">
        <f aca="false">IF(OR($B24="",V$5=""),"",COUNTIFS(DATABASE!$F$4:$F$2003,$B24,DATABASE!$G$4:$G$2003,V$5))</f>
        <v/>
      </c>
      <c r="W24" s="56" t="str">
        <f aca="false">IF($B24="","",COUNTIF(DATABASE!$F$4:$F$2003,$B24))</f>
        <v/>
      </c>
    </row>
    <row r="25" customFormat="false" ht="15" hidden="false" customHeight="false" outlineLevel="0" collapsed="false">
      <c r="B25" s="13" t="str">
        <f aca="true">IFERROR(INDEX(daftar_kampung,20),"")</f>
        <v/>
      </c>
      <c r="C25" s="57" t="str">
        <f aca="false">IF(OR($B25="",C$5=""),"",COUNTIFS(DATABASE!$F$4:$F$2003,$B25,DATABASE!$G$4:$G$2003,C$5))</f>
        <v/>
      </c>
      <c r="D25" s="57" t="str">
        <f aca="false">IF(OR($B25="",D$5=""),"",COUNTIFS(DATABASE!$F$4:$F$2003,$B25,DATABASE!$G$4:$G$2003,D$5))</f>
        <v/>
      </c>
      <c r="E25" s="57" t="str">
        <f aca="false">IF(OR($B25="",E$5=""),"",COUNTIFS(DATABASE!$F$4:$F$2003,$B25,DATABASE!$G$4:$G$2003,E$5))</f>
        <v/>
      </c>
      <c r="F25" s="57" t="str">
        <f aca="false">IF(OR($B25="",F$5=""),"",COUNTIFS(DATABASE!$F$4:$F$2003,$B25,DATABASE!$G$4:$G$2003,F$5))</f>
        <v/>
      </c>
      <c r="G25" s="57" t="str">
        <f aca="false">IF(OR($B25="",G$5=""),"",COUNTIFS(DATABASE!$F$4:$F$2003,$B25,DATABASE!$G$4:$G$2003,G$5))</f>
        <v/>
      </c>
      <c r="H25" s="57" t="str">
        <f aca="false">IF(OR($B25="",H$5=""),"",COUNTIFS(DATABASE!$F$4:$F$2003,$B25,DATABASE!$G$4:$G$2003,H$5))</f>
        <v/>
      </c>
      <c r="I25" s="57" t="str">
        <f aca="false">IF(OR($B25="",I$5=""),"",COUNTIFS(DATABASE!$F$4:$F$2003,$B25,DATABASE!$G$4:$G$2003,I$5))</f>
        <v/>
      </c>
      <c r="J25" s="57" t="str">
        <f aca="false">IF(OR($B25="",J$5=""),"",COUNTIFS(DATABASE!$F$4:$F$2003,$B25,DATABASE!$G$4:$G$2003,J$5))</f>
        <v/>
      </c>
      <c r="K25" s="57" t="str">
        <f aca="false">IF(OR($B25="",K$5=""),"",COUNTIFS(DATABASE!$F$4:$F$2003,$B25,DATABASE!$G$4:$G$2003,K$5))</f>
        <v/>
      </c>
      <c r="L25" s="57" t="str">
        <f aca="false">IF(OR($B25="",L$5=""),"",COUNTIFS(DATABASE!$F$4:$F$2003,$B25,DATABASE!$G$4:$G$2003,L$5))</f>
        <v/>
      </c>
      <c r="M25" s="57" t="str">
        <f aca="false">IF(OR($B25="",M$5=""),"",COUNTIFS(DATABASE!$F$4:$F$2003,$B25,DATABASE!$G$4:$G$2003,M$5))</f>
        <v/>
      </c>
      <c r="N25" s="57" t="str">
        <f aca="false">IF(OR($B25="",N$5=""),"",COUNTIFS(DATABASE!$F$4:$F$2003,$B25,DATABASE!$G$4:$G$2003,N$5))</f>
        <v/>
      </c>
      <c r="O25" s="57" t="str">
        <f aca="false">IF(OR($B25="",O$5=""),"",COUNTIFS(DATABASE!$F$4:$F$2003,$B25,DATABASE!$G$4:$G$2003,O$5))</f>
        <v/>
      </c>
      <c r="P25" s="57" t="str">
        <f aca="false">IF(OR($B25="",P$5=""),"",COUNTIFS(DATABASE!$F$4:$F$2003,$B25,DATABASE!$G$4:$G$2003,P$5))</f>
        <v/>
      </c>
      <c r="Q25" s="57" t="str">
        <f aca="false">IF(OR($B25="",Q$5=""),"",COUNTIFS(DATABASE!$F$4:$F$2003,$B25,DATABASE!$G$4:$G$2003,Q$5))</f>
        <v/>
      </c>
      <c r="R25" s="57" t="str">
        <f aca="false">IF(OR($B25="",R$5=""),"",COUNTIFS(DATABASE!$F$4:$F$2003,$B25,DATABASE!$G$4:$G$2003,R$5))</f>
        <v/>
      </c>
      <c r="S25" s="57" t="str">
        <f aca="false">IF(OR($B25="",S$5=""),"",COUNTIFS(DATABASE!$F$4:$F$2003,$B25,DATABASE!$G$4:$G$2003,S$5))</f>
        <v/>
      </c>
      <c r="T25" s="57" t="str">
        <f aca="false">IF(OR($B25="",T$5=""),"",COUNTIFS(DATABASE!$F$4:$F$2003,$B25,DATABASE!$G$4:$G$2003,T$5))</f>
        <v/>
      </c>
      <c r="U25" s="57" t="str">
        <f aca="false">IF(OR($B25="",U$5=""),"",COUNTIFS(DATABASE!$F$4:$F$2003,$B25,DATABASE!$G$4:$G$2003,U$5))</f>
        <v/>
      </c>
      <c r="V25" s="57" t="str">
        <f aca="false">IF(OR($B25="",V$5=""),"",COUNTIFS(DATABASE!$F$4:$F$2003,$B25,DATABASE!$G$4:$G$2003,V$5))</f>
        <v/>
      </c>
      <c r="W25" s="58" t="str">
        <f aca="false">IF($B25="","",COUNTIF(DATABASE!$F$4:$F$2003,$B25))</f>
        <v/>
      </c>
    </row>
    <row r="26" customFormat="false" ht="15" hidden="false" customHeight="false" outlineLevel="0" collapsed="false">
      <c r="B26" s="24" t="s">
        <v>36</v>
      </c>
      <c r="C26" s="17" t="n">
        <f aca="false">SUM(C6:C25)</f>
        <v>5</v>
      </c>
      <c r="D26" s="17" t="n">
        <f aca="false">SUM(D6:D25)</f>
        <v>1</v>
      </c>
      <c r="E26" s="17" t="n">
        <f aca="false">SUM(E6:E25)</f>
        <v>11</v>
      </c>
      <c r="F26" s="17" t="n">
        <f aca="false">SUM(F6:F25)</f>
        <v>12</v>
      </c>
      <c r="G26" s="17" t="n">
        <f aca="false">SUM(G6:G25)</f>
        <v>2</v>
      </c>
      <c r="H26" s="17" t="n">
        <f aca="false">SUM(H6:H25)</f>
        <v>0</v>
      </c>
      <c r="I26" s="17" t="n">
        <f aca="false">SUM(I6:I25)</f>
        <v>0</v>
      </c>
      <c r="J26" s="17" t="n">
        <f aca="false">SUM(J6:J25)</f>
        <v>0</v>
      </c>
      <c r="K26" s="17" t="n">
        <f aca="false">SUM(K6:K25)</f>
        <v>0</v>
      </c>
      <c r="L26" s="17" t="n">
        <f aca="false">SUM(L6:L25)</f>
        <v>0</v>
      </c>
      <c r="M26" s="17" t="n">
        <f aca="false">SUM(M6:M25)</f>
        <v>0</v>
      </c>
      <c r="N26" s="17" t="n">
        <f aca="false">SUM(N6:N25)</f>
        <v>0</v>
      </c>
      <c r="O26" s="17" t="n">
        <f aca="false">SUM(O6:O25)</f>
        <v>0</v>
      </c>
      <c r="P26" s="17" t="n">
        <f aca="false">SUM(P6:P25)</f>
        <v>0</v>
      </c>
      <c r="Q26" s="17" t="n">
        <f aca="false">SUM(Q6:Q25)</f>
        <v>0</v>
      </c>
      <c r="R26" s="17" t="n">
        <f aca="false">SUM(R6:R25)</f>
        <v>0</v>
      </c>
      <c r="S26" s="17" t="n">
        <f aca="false">SUM(S6:S25)</f>
        <v>0</v>
      </c>
      <c r="T26" s="17" t="n">
        <f aca="false">SUM(T6:T25)</f>
        <v>0</v>
      </c>
      <c r="U26" s="17" t="n">
        <f aca="false">SUM(U6:U25)</f>
        <v>0</v>
      </c>
      <c r="V26" s="17" t="n">
        <f aca="false">SUM(V6:V25)</f>
        <v>0</v>
      </c>
      <c r="W26" s="17" t="n">
        <f aca="false">SUM(W6:W25)</f>
        <v>42</v>
      </c>
    </row>
    <row r="28" customFormat="false" ht="19.5" hidden="false" customHeight="true" outlineLevel="0" collapsed="false">
      <c r="B28" s="6" t="s">
        <v>221</v>
      </c>
      <c r="C28" s="6"/>
      <c r="D28" s="6"/>
      <c r="E28" s="6"/>
      <c r="F28" s="6"/>
      <c r="G28" s="6"/>
      <c r="H28" s="6"/>
      <c r="I28" s="6"/>
      <c r="J28" s="6"/>
      <c r="K28" s="6"/>
    </row>
    <row r="29" customFormat="false" ht="15" hidden="false" customHeight="false" outlineLevel="0" collapsed="false">
      <c r="B29" s="54" t="s">
        <v>24</v>
      </c>
      <c r="C29" s="54" t="s">
        <v>222</v>
      </c>
      <c r="D29" s="54" t="s">
        <v>223</v>
      </c>
      <c r="E29" s="54" t="s">
        <v>224</v>
      </c>
      <c r="F29" s="54" t="s">
        <v>225</v>
      </c>
      <c r="G29" s="54" t="s">
        <v>226</v>
      </c>
      <c r="H29" s="54" t="s">
        <v>36</v>
      </c>
      <c r="I29" s="54" t="s">
        <v>227</v>
      </c>
    </row>
    <row r="30" customFormat="false" ht="15" hidden="false" customHeight="false" outlineLevel="0" collapsed="false">
      <c r="B30" s="9" t="str">
        <f aca="true">IFERROR(INDEX(daftar_kampung,1),"")</f>
        <v>Kp. Gamprit</v>
      </c>
      <c r="C30" s="46" t="n">
        <f aca="false">IF($B30="","",COUNTIFS(DATABASE!$F$4:$F$2003,$B30,DATABASE!$D$4:$D$2003,"L"))</f>
        <v>0</v>
      </c>
      <c r="D30" s="46" t="n">
        <f aca="false">IF($B30="","",COUNTIFS(DATABASE!$F$4:$F$2003,$B30,DATABASE!$D$4:$D$2003,"P"))</f>
        <v>0</v>
      </c>
      <c r="E30" s="46" t="n">
        <f aca="false">IF($B30="","",COUNTIFS(DATABASE!$F$4:$F$2003,$B30,DATABASE!$O$4:$O$2003,"Aktif"))</f>
        <v>0</v>
      </c>
      <c r="F30" s="46" t="n">
        <f aca="false">IF($B30="","",COUNTIFS(DATABASE!$F$4:$F$2003,$B30,DATABASE!$O$4:$O$2003,"Calon"))</f>
        <v>0</v>
      </c>
      <c r="G30" s="46" t="n">
        <f aca="false">IF($B30="","",COUNTIFS(DATABASE!$F$4:$F$2003,$B30,DATABASE!$O$4:$O$2003,"Nonaktif"))</f>
        <v>0</v>
      </c>
      <c r="H30" s="56" t="n">
        <f aca="false">IF($B30="","",COUNTIF(DATABASE!$F$4:$F$2003,$B30))</f>
        <v>18</v>
      </c>
      <c r="I30" s="59" t="n">
        <f aca="false">IF(OR($B30="",COUNTA(DATABASE!$B$4:$B$2003)=0),"",$H30/COUNTA(DATABASE!$B$4:$B$2003))</f>
        <v>0.346153846153846</v>
      </c>
    </row>
    <row r="31" customFormat="false" ht="15" hidden="false" customHeight="false" outlineLevel="0" collapsed="false">
      <c r="B31" s="13" t="str">
        <f aca="true">IFERROR(INDEX(daftar_kampung,2),"")</f>
        <v>Kp. Kuda Kuda</v>
      </c>
      <c r="C31" s="49" t="n">
        <f aca="false">IF($B31="","",COUNTIFS(DATABASE!$F$4:$F$2003,$B31,DATABASE!$D$4:$D$2003,"L"))</f>
        <v>0</v>
      </c>
      <c r="D31" s="49" t="n">
        <f aca="false">IF($B31="","",COUNTIFS(DATABASE!$F$4:$F$2003,$B31,DATABASE!$D$4:$D$2003,"P"))</f>
        <v>0</v>
      </c>
      <c r="E31" s="49" t="n">
        <f aca="false">IF($B31="","",COUNTIFS(DATABASE!$F$4:$F$2003,$B31,DATABASE!$O$4:$O$2003,"Aktif"))</f>
        <v>0</v>
      </c>
      <c r="F31" s="49" t="n">
        <f aca="false">IF($B31="","",COUNTIFS(DATABASE!$F$4:$F$2003,$B31,DATABASE!$O$4:$O$2003,"Calon"))</f>
        <v>0</v>
      </c>
      <c r="G31" s="49" t="n">
        <f aca="false">IF($B31="","",COUNTIFS(DATABASE!$F$4:$F$2003,$B31,DATABASE!$O$4:$O$2003,"Nonaktif"))</f>
        <v>0</v>
      </c>
      <c r="H31" s="58" t="n">
        <f aca="false">IF($B31="","",COUNTIF(DATABASE!$F$4:$F$2003,$B31))</f>
        <v>11</v>
      </c>
      <c r="I31" s="60" t="n">
        <f aca="false">IF(OR($B31="",COUNTA(DATABASE!$B$4:$B$2003)=0),"",$H31/COUNTA(DATABASE!$B$4:$B$2003))</f>
        <v>0.211538461538462</v>
      </c>
    </row>
    <row r="32" customFormat="false" ht="15" hidden="false" customHeight="false" outlineLevel="0" collapsed="false">
      <c r="B32" s="9" t="str">
        <f aca="true">IFERROR(INDEX(daftar_kampung,3),"")</f>
        <v>Kp. Wangkal</v>
      </c>
      <c r="C32" s="46" t="n">
        <f aca="false">IF($B32="","",COUNTIFS(DATABASE!$F$4:$F$2003,$B32,DATABASE!$D$4:$D$2003,"L"))</f>
        <v>0</v>
      </c>
      <c r="D32" s="46" t="n">
        <f aca="false">IF($B32="","",COUNTIFS(DATABASE!$F$4:$F$2003,$B32,DATABASE!$D$4:$D$2003,"P"))</f>
        <v>0</v>
      </c>
      <c r="E32" s="46" t="n">
        <f aca="false">IF($B32="","",COUNTIFS(DATABASE!$F$4:$F$2003,$B32,DATABASE!$O$4:$O$2003,"Aktif"))</f>
        <v>0</v>
      </c>
      <c r="F32" s="46" t="n">
        <f aca="false">IF($B32="","",COUNTIFS(DATABASE!$F$4:$F$2003,$B32,DATABASE!$O$4:$O$2003,"Calon"))</f>
        <v>0</v>
      </c>
      <c r="G32" s="46" t="n">
        <f aca="false">IF($B32="","",COUNTIFS(DATABASE!$F$4:$F$2003,$B32,DATABASE!$O$4:$O$2003,"Nonaktif"))</f>
        <v>0</v>
      </c>
      <c r="H32" s="56" t="n">
        <f aca="false">IF($B32="","",COUNTIF(DATABASE!$F$4:$F$2003,$B32))</f>
        <v>10</v>
      </c>
      <c r="I32" s="59" t="n">
        <f aca="false">IF(OR($B32="",COUNTA(DATABASE!$B$4:$B$2003)=0),"",$H32/COUNTA(DATABASE!$B$4:$B$2003))</f>
        <v>0.192307692307692</v>
      </c>
    </row>
    <row r="33" customFormat="false" ht="15" hidden="false" customHeight="false" outlineLevel="0" collapsed="false">
      <c r="B33" s="13" t="str">
        <f aca="true">IFERROR(INDEX(daftar_kampung,4),"")</f>
        <v>Kp. Tenjolaut</v>
      </c>
      <c r="C33" s="49" t="n">
        <f aca="false">IF($B33="","",COUNTIFS(DATABASE!$F$4:$F$2003,$B33,DATABASE!$D$4:$D$2003,"L"))</f>
        <v>0</v>
      </c>
      <c r="D33" s="49" t="n">
        <f aca="false">IF($B33="","",COUNTIFS(DATABASE!$F$4:$F$2003,$B33,DATABASE!$D$4:$D$2003,"P"))</f>
        <v>0</v>
      </c>
      <c r="E33" s="49" t="n">
        <f aca="false">IF($B33="","",COUNTIFS(DATABASE!$F$4:$F$2003,$B33,DATABASE!$O$4:$O$2003,"Aktif"))</f>
        <v>0</v>
      </c>
      <c r="F33" s="49" t="n">
        <f aca="false">IF($B33="","",COUNTIFS(DATABASE!$F$4:$F$2003,$B33,DATABASE!$O$4:$O$2003,"Calon"))</f>
        <v>0</v>
      </c>
      <c r="G33" s="49" t="n">
        <f aca="false">IF($B33="","",COUNTIFS(DATABASE!$F$4:$F$2003,$B33,DATABASE!$O$4:$O$2003,"Nonaktif"))</f>
        <v>0</v>
      </c>
      <c r="H33" s="58" t="n">
        <f aca="false">IF($B33="","",COUNTIF(DATABASE!$F$4:$F$2003,$B33))</f>
        <v>2</v>
      </c>
      <c r="I33" s="60" t="n">
        <f aca="false">IF(OR($B33="",COUNTA(DATABASE!$B$4:$B$2003)=0),"",$H33/COUNTA(DATABASE!$B$4:$B$2003))</f>
        <v>0.0384615384615385</v>
      </c>
    </row>
    <row r="34" customFormat="false" ht="15" hidden="false" customHeight="false" outlineLevel="0" collapsed="false">
      <c r="B34" s="9" t="str">
        <f aca="true">IFERROR(INDEX(daftar_kampung,5),"")</f>
        <v>Kp. Putri Melintang</v>
      </c>
      <c r="C34" s="46" t="n">
        <f aca="false">IF($B34="","",COUNTIFS(DATABASE!$F$4:$F$2003,$B34,DATABASE!$D$4:$D$2003,"L"))</f>
        <v>0</v>
      </c>
      <c r="D34" s="46" t="n">
        <f aca="false">IF($B34="","",COUNTIFS(DATABASE!$F$4:$F$2003,$B34,DATABASE!$D$4:$D$2003,"P"))</f>
        <v>0</v>
      </c>
      <c r="E34" s="46" t="n">
        <f aca="false">IF($B34="","",COUNTIFS(DATABASE!$F$4:$F$2003,$B34,DATABASE!$O$4:$O$2003,"Aktif"))</f>
        <v>0</v>
      </c>
      <c r="F34" s="46" t="n">
        <f aca="false">IF($B34="","",COUNTIFS(DATABASE!$F$4:$F$2003,$B34,DATABASE!$O$4:$O$2003,"Calon"))</f>
        <v>0</v>
      </c>
      <c r="G34" s="46" t="n">
        <f aca="false">IF($B34="","",COUNTIFS(DATABASE!$F$4:$F$2003,$B34,DATABASE!$O$4:$O$2003,"Nonaktif"))</f>
        <v>0</v>
      </c>
      <c r="H34" s="56" t="n">
        <f aca="false">IF($B34="","",COUNTIF(DATABASE!$F$4:$F$2003,$B34))</f>
        <v>1</v>
      </c>
      <c r="I34" s="59" t="n">
        <f aca="false">IF(OR($B34="",COUNTA(DATABASE!$B$4:$B$2003)=0),"",$H34/COUNTA(DATABASE!$B$4:$B$2003))</f>
        <v>0.0192307692307692</v>
      </c>
    </row>
    <row r="35" customFormat="false" ht="15" hidden="false" customHeight="false" outlineLevel="0" collapsed="false">
      <c r="B35" s="13" t="str">
        <f aca="true">IFERROR(INDEX(daftar_kampung,6),"")</f>
        <v/>
      </c>
      <c r="C35" s="49" t="str">
        <f aca="false">IF($B35="","",COUNTIFS(DATABASE!$F$4:$F$2003,$B35,DATABASE!$D$4:$D$2003,"L"))</f>
        <v/>
      </c>
      <c r="D35" s="49" t="str">
        <f aca="false">IF($B35="","",COUNTIFS(DATABASE!$F$4:$F$2003,$B35,DATABASE!$D$4:$D$2003,"P"))</f>
        <v/>
      </c>
      <c r="E35" s="49" t="str">
        <f aca="false">IF($B35="","",COUNTIFS(DATABASE!$F$4:$F$2003,$B35,DATABASE!$O$4:$O$2003,"Aktif"))</f>
        <v/>
      </c>
      <c r="F35" s="49" t="str">
        <f aca="false">IF($B35="","",COUNTIFS(DATABASE!$F$4:$F$2003,$B35,DATABASE!$O$4:$O$2003,"Calon"))</f>
        <v/>
      </c>
      <c r="G35" s="49" t="str">
        <f aca="false">IF($B35="","",COUNTIFS(DATABASE!$F$4:$F$2003,$B35,DATABASE!$O$4:$O$2003,"Nonaktif"))</f>
        <v/>
      </c>
      <c r="H35" s="58" t="str">
        <f aca="false">IF($B35="","",COUNTIF(DATABASE!$F$4:$F$2003,$B35))</f>
        <v/>
      </c>
      <c r="I35" s="60" t="str">
        <f aca="false">IF(OR($B35="",COUNTA(DATABASE!$B$4:$B$2003)=0),"",$H35/COUNTA(DATABASE!$B$4:$B$2003))</f>
        <v/>
      </c>
    </row>
    <row r="36" customFormat="false" ht="15" hidden="false" customHeight="false" outlineLevel="0" collapsed="false">
      <c r="B36" s="9" t="str">
        <f aca="true">IFERROR(INDEX(daftar_kampung,7),"")</f>
        <v/>
      </c>
      <c r="C36" s="46" t="str">
        <f aca="false">IF($B36="","",COUNTIFS(DATABASE!$F$4:$F$2003,$B36,DATABASE!$D$4:$D$2003,"L"))</f>
        <v/>
      </c>
      <c r="D36" s="46" t="str">
        <f aca="false">IF($B36="","",COUNTIFS(DATABASE!$F$4:$F$2003,$B36,DATABASE!$D$4:$D$2003,"P"))</f>
        <v/>
      </c>
      <c r="E36" s="46" t="str">
        <f aca="false">IF($B36="","",COUNTIFS(DATABASE!$F$4:$F$2003,$B36,DATABASE!$O$4:$O$2003,"Aktif"))</f>
        <v/>
      </c>
      <c r="F36" s="46" t="str">
        <f aca="false">IF($B36="","",COUNTIFS(DATABASE!$F$4:$F$2003,$B36,DATABASE!$O$4:$O$2003,"Calon"))</f>
        <v/>
      </c>
      <c r="G36" s="46" t="str">
        <f aca="false">IF($B36="","",COUNTIFS(DATABASE!$F$4:$F$2003,$B36,DATABASE!$O$4:$O$2003,"Nonaktif"))</f>
        <v/>
      </c>
      <c r="H36" s="56" t="str">
        <f aca="false">IF($B36="","",COUNTIF(DATABASE!$F$4:$F$2003,$B36))</f>
        <v/>
      </c>
      <c r="I36" s="59" t="str">
        <f aca="false">IF(OR($B36="",COUNTA(DATABASE!$B$4:$B$2003)=0),"",$H36/COUNTA(DATABASE!$B$4:$B$2003))</f>
        <v/>
      </c>
    </row>
    <row r="37" customFormat="false" ht="15" hidden="false" customHeight="false" outlineLevel="0" collapsed="false">
      <c r="B37" s="13" t="str">
        <f aca="true">IFERROR(INDEX(daftar_kampung,8),"")</f>
        <v/>
      </c>
      <c r="C37" s="49" t="str">
        <f aca="false">IF($B37="","",COUNTIFS(DATABASE!$F$4:$F$2003,$B37,DATABASE!$D$4:$D$2003,"L"))</f>
        <v/>
      </c>
      <c r="D37" s="49" t="str">
        <f aca="false">IF($B37="","",COUNTIFS(DATABASE!$F$4:$F$2003,$B37,DATABASE!$D$4:$D$2003,"P"))</f>
        <v/>
      </c>
      <c r="E37" s="49" t="str">
        <f aca="false">IF($B37="","",COUNTIFS(DATABASE!$F$4:$F$2003,$B37,DATABASE!$O$4:$O$2003,"Aktif"))</f>
        <v/>
      </c>
      <c r="F37" s="49" t="str">
        <f aca="false">IF($B37="","",COUNTIFS(DATABASE!$F$4:$F$2003,$B37,DATABASE!$O$4:$O$2003,"Calon"))</f>
        <v/>
      </c>
      <c r="G37" s="49" t="str">
        <f aca="false">IF($B37="","",COUNTIFS(DATABASE!$F$4:$F$2003,$B37,DATABASE!$O$4:$O$2003,"Nonaktif"))</f>
        <v/>
      </c>
      <c r="H37" s="58" t="str">
        <f aca="false">IF($B37="","",COUNTIF(DATABASE!$F$4:$F$2003,$B37))</f>
        <v/>
      </c>
      <c r="I37" s="60" t="str">
        <f aca="false">IF(OR($B37="",COUNTA(DATABASE!$B$4:$B$2003)=0),"",$H37/COUNTA(DATABASE!$B$4:$B$2003))</f>
        <v/>
      </c>
    </row>
    <row r="38" customFormat="false" ht="15" hidden="false" customHeight="false" outlineLevel="0" collapsed="false">
      <c r="B38" s="9" t="str">
        <f aca="true">IFERROR(INDEX(daftar_kampung,9),"")</f>
        <v/>
      </c>
      <c r="C38" s="46" t="str">
        <f aca="false">IF($B38="","",COUNTIFS(DATABASE!$F$4:$F$2003,$B38,DATABASE!$D$4:$D$2003,"L"))</f>
        <v/>
      </c>
      <c r="D38" s="46" t="str">
        <f aca="false">IF($B38="","",COUNTIFS(DATABASE!$F$4:$F$2003,$B38,DATABASE!$D$4:$D$2003,"P"))</f>
        <v/>
      </c>
      <c r="E38" s="46" t="str">
        <f aca="false">IF($B38="","",COUNTIFS(DATABASE!$F$4:$F$2003,$B38,DATABASE!$O$4:$O$2003,"Aktif"))</f>
        <v/>
      </c>
      <c r="F38" s="46" t="str">
        <f aca="false">IF($B38="","",COUNTIFS(DATABASE!$F$4:$F$2003,$B38,DATABASE!$O$4:$O$2003,"Calon"))</f>
        <v/>
      </c>
      <c r="G38" s="46" t="str">
        <f aca="false">IF($B38="","",COUNTIFS(DATABASE!$F$4:$F$2003,$B38,DATABASE!$O$4:$O$2003,"Nonaktif"))</f>
        <v/>
      </c>
      <c r="H38" s="56" t="str">
        <f aca="false">IF($B38="","",COUNTIF(DATABASE!$F$4:$F$2003,$B38))</f>
        <v/>
      </c>
      <c r="I38" s="59" t="str">
        <f aca="false">IF(OR($B38="",COUNTA(DATABASE!$B$4:$B$2003)=0),"",$H38/COUNTA(DATABASE!$B$4:$B$2003))</f>
        <v/>
      </c>
    </row>
    <row r="39" customFormat="false" ht="15" hidden="false" customHeight="false" outlineLevel="0" collapsed="false">
      <c r="B39" s="13" t="str">
        <f aca="true">IFERROR(INDEX(daftar_kampung,10),"")</f>
        <v/>
      </c>
      <c r="C39" s="49" t="str">
        <f aca="false">IF($B39="","",COUNTIFS(DATABASE!$F$4:$F$2003,$B39,DATABASE!$D$4:$D$2003,"L"))</f>
        <v/>
      </c>
      <c r="D39" s="49" t="str">
        <f aca="false">IF($B39="","",COUNTIFS(DATABASE!$F$4:$F$2003,$B39,DATABASE!$D$4:$D$2003,"P"))</f>
        <v/>
      </c>
      <c r="E39" s="49" t="str">
        <f aca="false">IF($B39="","",COUNTIFS(DATABASE!$F$4:$F$2003,$B39,DATABASE!$O$4:$O$2003,"Aktif"))</f>
        <v/>
      </c>
      <c r="F39" s="49" t="str">
        <f aca="false">IF($B39="","",COUNTIFS(DATABASE!$F$4:$F$2003,$B39,DATABASE!$O$4:$O$2003,"Calon"))</f>
        <v/>
      </c>
      <c r="G39" s="49" t="str">
        <f aca="false">IF($B39="","",COUNTIFS(DATABASE!$F$4:$F$2003,$B39,DATABASE!$O$4:$O$2003,"Nonaktif"))</f>
        <v/>
      </c>
      <c r="H39" s="58" t="str">
        <f aca="false">IF($B39="","",COUNTIF(DATABASE!$F$4:$F$2003,$B39))</f>
        <v/>
      </c>
      <c r="I39" s="60" t="str">
        <f aca="false">IF(OR($B39="",COUNTA(DATABASE!$B$4:$B$2003)=0),"",$H39/COUNTA(DATABASE!$B$4:$B$2003))</f>
        <v/>
      </c>
    </row>
    <row r="40" customFormat="false" ht="15" hidden="false" customHeight="false" outlineLevel="0" collapsed="false">
      <c r="B40" s="9" t="str">
        <f aca="true">IFERROR(INDEX(daftar_kampung,11),"")</f>
        <v/>
      </c>
      <c r="C40" s="46" t="str">
        <f aca="false">IF($B40="","",COUNTIFS(DATABASE!$F$4:$F$2003,$B40,DATABASE!$D$4:$D$2003,"L"))</f>
        <v/>
      </c>
      <c r="D40" s="46" t="str">
        <f aca="false">IF($B40="","",COUNTIFS(DATABASE!$F$4:$F$2003,$B40,DATABASE!$D$4:$D$2003,"P"))</f>
        <v/>
      </c>
      <c r="E40" s="46" t="str">
        <f aca="false">IF($B40="","",COUNTIFS(DATABASE!$F$4:$F$2003,$B40,DATABASE!$O$4:$O$2003,"Aktif"))</f>
        <v/>
      </c>
      <c r="F40" s="46" t="str">
        <f aca="false">IF($B40="","",COUNTIFS(DATABASE!$F$4:$F$2003,$B40,DATABASE!$O$4:$O$2003,"Calon"))</f>
        <v/>
      </c>
      <c r="G40" s="46" t="str">
        <f aca="false">IF($B40="","",COUNTIFS(DATABASE!$F$4:$F$2003,$B40,DATABASE!$O$4:$O$2003,"Nonaktif"))</f>
        <v/>
      </c>
      <c r="H40" s="56" t="str">
        <f aca="false">IF($B40="","",COUNTIF(DATABASE!$F$4:$F$2003,$B40))</f>
        <v/>
      </c>
      <c r="I40" s="59" t="str">
        <f aca="false">IF(OR($B40="",COUNTA(DATABASE!$B$4:$B$2003)=0),"",$H40/COUNTA(DATABASE!$B$4:$B$2003))</f>
        <v/>
      </c>
    </row>
    <row r="41" customFormat="false" ht="15" hidden="false" customHeight="false" outlineLevel="0" collapsed="false">
      <c r="B41" s="13" t="str">
        <f aca="true">IFERROR(INDEX(daftar_kampung,12),"")</f>
        <v/>
      </c>
      <c r="C41" s="49" t="str">
        <f aca="false">IF($B41="","",COUNTIFS(DATABASE!$F$4:$F$2003,$B41,DATABASE!$D$4:$D$2003,"L"))</f>
        <v/>
      </c>
      <c r="D41" s="49" t="str">
        <f aca="false">IF($B41="","",COUNTIFS(DATABASE!$F$4:$F$2003,$B41,DATABASE!$D$4:$D$2003,"P"))</f>
        <v/>
      </c>
      <c r="E41" s="49" t="str">
        <f aca="false">IF($B41="","",COUNTIFS(DATABASE!$F$4:$F$2003,$B41,DATABASE!$O$4:$O$2003,"Aktif"))</f>
        <v/>
      </c>
      <c r="F41" s="49" t="str">
        <f aca="false">IF($B41="","",COUNTIFS(DATABASE!$F$4:$F$2003,$B41,DATABASE!$O$4:$O$2003,"Calon"))</f>
        <v/>
      </c>
      <c r="G41" s="49" t="str">
        <f aca="false">IF($B41="","",COUNTIFS(DATABASE!$F$4:$F$2003,$B41,DATABASE!$O$4:$O$2003,"Nonaktif"))</f>
        <v/>
      </c>
      <c r="H41" s="58" t="str">
        <f aca="false">IF($B41="","",COUNTIF(DATABASE!$F$4:$F$2003,$B41))</f>
        <v/>
      </c>
      <c r="I41" s="60" t="str">
        <f aca="false">IF(OR($B41="",COUNTA(DATABASE!$B$4:$B$2003)=0),"",$H41/COUNTA(DATABASE!$B$4:$B$2003))</f>
        <v/>
      </c>
    </row>
    <row r="42" customFormat="false" ht="15" hidden="false" customHeight="false" outlineLevel="0" collapsed="false">
      <c r="B42" s="9" t="str">
        <f aca="true">IFERROR(INDEX(daftar_kampung,13),"")</f>
        <v/>
      </c>
      <c r="C42" s="46" t="str">
        <f aca="false">IF($B42="","",COUNTIFS(DATABASE!$F$4:$F$2003,$B42,DATABASE!$D$4:$D$2003,"L"))</f>
        <v/>
      </c>
      <c r="D42" s="46" t="str">
        <f aca="false">IF($B42="","",COUNTIFS(DATABASE!$F$4:$F$2003,$B42,DATABASE!$D$4:$D$2003,"P"))</f>
        <v/>
      </c>
      <c r="E42" s="46" t="str">
        <f aca="false">IF($B42="","",COUNTIFS(DATABASE!$F$4:$F$2003,$B42,DATABASE!$O$4:$O$2003,"Aktif"))</f>
        <v/>
      </c>
      <c r="F42" s="46" t="str">
        <f aca="false">IF($B42="","",COUNTIFS(DATABASE!$F$4:$F$2003,$B42,DATABASE!$O$4:$O$2003,"Calon"))</f>
        <v/>
      </c>
      <c r="G42" s="46" t="str">
        <f aca="false">IF($B42="","",COUNTIFS(DATABASE!$F$4:$F$2003,$B42,DATABASE!$O$4:$O$2003,"Nonaktif"))</f>
        <v/>
      </c>
      <c r="H42" s="56" t="str">
        <f aca="false">IF($B42="","",COUNTIF(DATABASE!$F$4:$F$2003,$B42))</f>
        <v/>
      </c>
      <c r="I42" s="59" t="str">
        <f aca="false">IF(OR($B42="",COUNTA(DATABASE!$B$4:$B$2003)=0),"",$H42/COUNTA(DATABASE!$B$4:$B$2003))</f>
        <v/>
      </c>
    </row>
    <row r="43" customFormat="false" ht="15" hidden="false" customHeight="false" outlineLevel="0" collapsed="false">
      <c r="B43" s="13" t="str">
        <f aca="true">IFERROR(INDEX(daftar_kampung,14),"")</f>
        <v/>
      </c>
      <c r="C43" s="49" t="str">
        <f aca="false">IF($B43="","",COUNTIFS(DATABASE!$F$4:$F$2003,$B43,DATABASE!$D$4:$D$2003,"L"))</f>
        <v/>
      </c>
      <c r="D43" s="49" t="str">
        <f aca="false">IF($B43="","",COUNTIFS(DATABASE!$F$4:$F$2003,$B43,DATABASE!$D$4:$D$2003,"P"))</f>
        <v/>
      </c>
      <c r="E43" s="49" t="str">
        <f aca="false">IF($B43="","",COUNTIFS(DATABASE!$F$4:$F$2003,$B43,DATABASE!$O$4:$O$2003,"Aktif"))</f>
        <v/>
      </c>
      <c r="F43" s="49" t="str">
        <f aca="false">IF($B43="","",COUNTIFS(DATABASE!$F$4:$F$2003,$B43,DATABASE!$O$4:$O$2003,"Calon"))</f>
        <v/>
      </c>
      <c r="G43" s="49" t="str">
        <f aca="false">IF($B43="","",COUNTIFS(DATABASE!$F$4:$F$2003,$B43,DATABASE!$O$4:$O$2003,"Nonaktif"))</f>
        <v/>
      </c>
      <c r="H43" s="58" t="str">
        <f aca="false">IF($B43="","",COUNTIF(DATABASE!$F$4:$F$2003,$B43))</f>
        <v/>
      </c>
      <c r="I43" s="60" t="str">
        <f aca="false">IF(OR($B43="",COUNTA(DATABASE!$B$4:$B$2003)=0),"",$H43/COUNTA(DATABASE!$B$4:$B$2003))</f>
        <v/>
      </c>
    </row>
    <row r="44" customFormat="false" ht="15" hidden="false" customHeight="false" outlineLevel="0" collapsed="false">
      <c r="B44" s="9" t="str">
        <f aca="true">IFERROR(INDEX(daftar_kampung,15),"")</f>
        <v/>
      </c>
      <c r="C44" s="46" t="str">
        <f aca="false">IF($B44="","",COUNTIFS(DATABASE!$F$4:$F$2003,$B44,DATABASE!$D$4:$D$2003,"L"))</f>
        <v/>
      </c>
      <c r="D44" s="46" t="str">
        <f aca="false">IF($B44="","",COUNTIFS(DATABASE!$F$4:$F$2003,$B44,DATABASE!$D$4:$D$2003,"P"))</f>
        <v/>
      </c>
      <c r="E44" s="46" t="str">
        <f aca="false">IF($B44="","",COUNTIFS(DATABASE!$F$4:$F$2003,$B44,DATABASE!$O$4:$O$2003,"Aktif"))</f>
        <v/>
      </c>
      <c r="F44" s="46" t="str">
        <f aca="false">IF($B44="","",COUNTIFS(DATABASE!$F$4:$F$2003,$B44,DATABASE!$O$4:$O$2003,"Calon"))</f>
        <v/>
      </c>
      <c r="G44" s="46" t="str">
        <f aca="false">IF($B44="","",COUNTIFS(DATABASE!$F$4:$F$2003,$B44,DATABASE!$O$4:$O$2003,"Nonaktif"))</f>
        <v/>
      </c>
      <c r="H44" s="56" t="str">
        <f aca="false">IF($B44="","",COUNTIF(DATABASE!$F$4:$F$2003,$B44))</f>
        <v/>
      </c>
      <c r="I44" s="59" t="str">
        <f aca="false">IF(OR($B44="",COUNTA(DATABASE!$B$4:$B$2003)=0),"",$H44/COUNTA(DATABASE!$B$4:$B$2003))</f>
        <v/>
      </c>
    </row>
    <row r="45" customFormat="false" ht="15" hidden="false" customHeight="false" outlineLevel="0" collapsed="false">
      <c r="B45" s="13" t="str">
        <f aca="true">IFERROR(INDEX(daftar_kampung,16),"")</f>
        <v/>
      </c>
      <c r="C45" s="49" t="str">
        <f aca="false">IF($B45="","",COUNTIFS(DATABASE!$F$4:$F$2003,$B45,DATABASE!$D$4:$D$2003,"L"))</f>
        <v/>
      </c>
      <c r="D45" s="49" t="str">
        <f aca="false">IF($B45="","",COUNTIFS(DATABASE!$F$4:$F$2003,$B45,DATABASE!$D$4:$D$2003,"P"))</f>
        <v/>
      </c>
      <c r="E45" s="49" t="str">
        <f aca="false">IF($B45="","",COUNTIFS(DATABASE!$F$4:$F$2003,$B45,DATABASE!$O$4:$O$2003,"Aktif"))</f>
        <v/>
      </c>
      <c r="F45" s="49" t="str">
        <f aca="false">IF($B45="","",COUNTIFS(DATABASE!$F$4:$F$2003,$B45,DATABASE!$O$4:$O$2003,"Calon"))</f>
        <v/>
      </c>
      <c r="G45" s="49" t="str">
        <f aca="false">IF($B45="","",COUNTIFS(DATABASE!$F$4:$F$2003,$B45,DATABASE!$O$4:$O$2003,"Nonaktif"))</f>
        <v/>
      </c>
      <c r="H45" s="58" t="str">
        <f aca="false">IF($B45="","",COUNTIF(DATABASE!$F$4:$F$2003,$B45))</f>
        <v/>
      </c>
      <c r="I45" s="60" t="str">
        <f aca="false">IF(OR($B45="",COUNTA(DATABASE!$B$4:$B$2003)=0),"",$H45/COUNTA(DATABASE!$B$4:$B$2003))</f>
        <v/>
      </c>
    </row>
    <row r="46" customFormat="false" ht="15" hidden="false" customHeight="false" outlineLevel="0" collapsed="false">
      <c r="B46" s="9" t="str">
        <f aca="true">IFERROR(INDEX(daftar_kampung,17),"")</f>
        <v/>
      </c>
      <c r="C46" s="46" t="str">
        <f aca="false">IF($B46="","",COUNTIFS(DATABASE!$F$4:$F$2003,$B46,DATABASE!$D$4:$D$2003,"L"))</f>
        <v/>
      </c>
      <c r="D46" s="46" t="str">
        <f aca="false">IF($B46="","",COUNTIFS(DATABASE!$F$4:$F$2003,$B46,DATABASE!$D$4:$D$2003,"P"))</f>
        <v/>
      </c>
      <c r="E46" s="46" t="str">
        <f aca="false">IF($B46="","",COUNTIFS(DATABASE!$F$4:$F$2003,$B46,DATABASE!$O$4:$O$2003,"Aktif"))</f>
        <v/>
      </c>
      <c r="F46" s="46" t="str">
        <f aca="false">IF($B46="","",COUNTIFS(DATABASE!$F$4:$F$2003,$B46,DATABASE!$O$4:$O$2003,"Calon"))</f>
        <v/>
      </c>
      <c r="G46" s="46" t="str">
        <f aca="false">IF($B46="","",COUNTIFS(DATABASE!$F$4:$F$2003,$B46,DATABASE!$O$4:$O$2003,"Nonaktif"))</f>
        <v/>
      </c>
      <c r="H46" s="56" t="str">
        <f aca="false">IF($B46="","",COUNTIF(DATABASE!$F$4:$F$2003,$B46))</f>
        <v/>
      </c>
      <c r="I46" s="59" t="str">
        <f aca="false">IF(OR($B46="",COUNTA(DATABASE!$B$4:$B$2003)=0),"",$H46/COUNTA(DATABASE!$B$4:$B$2003))</f>
        <v/>
      </c>
    </row>
    <row r="47" customFormat="false" ht="15" hidden="false" customHeight="false" outlineLevel="0" collapsed="false">
      <c r="B47" s="13" t="str">
        <f aca="true">IFERROR(INDEX(daftar_kampung,18),"")</f>
        <v/>
      </c>
      <c r="C47" s="49" t="str">
        <f aca="false">IF($B47="","",COUNTIFS(DATABASE!$F$4:$F$2003,$B47,DATABASE!$D$4:$D$2003,"L"))</f>
        <v/>
      </c>
      <c r="D47" s="49" t="str">
        <f aca="false">IF($B47="","",COUNTIFS(DATABASE!$F$4:$F$2003,$B47,DATABASE!$D$4:$D$2003,"P"))</f>
        <v/>
      </c>
      <c r="E47" s="49" t="str">
        <f aca="false">IF($B47="","",COUNTIFS(DATABASE!$F$4:$F$2003,$B47,DATABASE!$O$4:$O$2003,"Aktif"))</f>
        <v/>
      </c>
      <c r="F47" s="49" t="str">
        <f aca="false">IF($B47="","",COUNTIFS(DATABASE!$F$4:$F$2003,$B47,DATABASE!$O$4:$O$2003,"Calon"))</f>
        <v/>
      </c>
      <c r="G47" s="49" t="str">
        <f aca="false">IF($B47="","",COUNTIFS(DATABASE!$F$4:$F$2003,$B47,DATABASE!$O$4:$O$2003,"Nonaktif"))</f>
        <v/>
      </c>
      <c r="H47" s="58" t="str">
        <f aca="false">IF($B47="","",COUNTIF(DATABASE!$F$4:$F$2003,$B47))</f>
        <v/>
      </c>
      <c r="I47" s="60" t="str">
        <f aca="false">IF(OR($B47="",COUNTA(DATABASE!$B$4:$B$2003)=0),"",$H47/COUNTA(DATABASE!$B$4:$B$2003))</f>
        <v/>
      </c>
    </row>
    <row r="48" customFormat="false" ht="15" hidden="false" customHeight="false" outlineLevel="0" collapsed="false">
      <c r="B48" s="9" t="str">
        <f aca="true">IFERROR(INDEX(daftar_kampung,19),"")</f>
        <v/>
      </c>
      <c r="C48" s="46" t="str">
        <f aca="false">IF($B48="","",COUNTIFS(DATABASE!$F$4:$F$2003,$B48,DATABASE!$D$4:$D$2003,"L"))</f>
        <v/>
      </c>
      <c r="D48" s="46" t="str">
        <f aca="false">IF($B48="","",COUNTIFS(DATABASE!$F$4:$F$2003,$B48,DATABASE!$D$4:$D$2003,"P"))</f>
        <v/>
      </c>
      <c r="E48" s="46" t="str">
        <f aca="false">IF($B48="","",COUNTIFS(DATABASE!$F$4:$F$2003,$B48,DATABASE!$O$4:$O$2003,"Aktif"))</f>
        <v/>
      </c>
      <c r="F48" s="46" t="str">
        <f aca="false">IF($B48="","",COUNTIFS(DATABASE!$F$4:$F$2003,$B48,DATABASE!$O$4:$O$2003,"Calon"))</f>
        <v/>
      </c>
      <c r="G48" s="46" t="str">
        <f aca="false">IF($B48="","",COUNTIFS(DATABASE!$F$4:$F$2003,$B48,DATABASE!$O$4:$O$2003,"Nonaktif"))</f>
        <v/>
      </c>
      <c r="H48" s="56" t="str">
        <f aca="false">IF($B48="","",COUNTIF(DATABASE!$F$4:$F$2003,$B48))</f>
        <v/>
      </c>
      <c r="I48" s="59" t="str">
        <f aca="false">IF(OR($B48="",COUNTA(DATABASE!$B$4:$B$2003)=0),"",$H48/COUNTA(DATABASE!$B$4:$B$2003))</f>
        <v/>
      </c>
    </row>
    <row r="49" customFormat="false" ht="15" hidden="false" customHeight="false" outlineLevel="0" collapsed="false">
      <c r="B49" s="13" t="str">
        <f aca="true">IFERROR(INDEX(daftar_kampung,20),"")</f>
        <v/>
      </c>
      <c r="C49" s="49" t="str">
        <f aca="false">IF($B49="","",COUNTIFS(DATABASE!$F$4:$F$2003,$B49,DATABASE!$D$4:$D$2003,"L"))</f>
        <v/>
      </c>
      <c r="D49" s="49" t="str">
        <f aca="false">IF($B49="","",COUNTIFS(DATABASE!$F$4:$F$2003,$B49,DATABASE!$D$4:$D$2003,"P"))</f>
        <v/>
      </c>
      <c r="E49" s="49" t="str">
        <f aca="false">IF($B49="","",COUNTIFS(DATABASE!$F$4:$F$2003,$B49,DATABASE!$O$4:$O$2003,"Aktif"))</f>
        <v/>
      </c>
      <c r="F49" s="49" t="str">
        <f aca="false">IF($B49="","",COUNTIFS(DATABASE!$F$4:$F$2003,$B49,DATABASE!$O$4:$O$2003,"Calon"))</f>
        <v/>
      </c>
      <c r="G49" s="49" t="str">
        <f aca="false">IF($B49="","",COUNTIFS(DATABASE!$F$4:$F$2003,$B49,DATABASE!$O$4:$O$2003,"Nonaktif"))</f>
        <v/>
      </c>
      <c r="H49" s="58" t="str">
        <f aca="false">IF($B49="","",COUNTIF(DATABASE!$F$4:$F$2003,$B49))</f>
        <v/>
      </c>
      <c r="I49" s="60" t="str">
        <f aca="false">IF(OR($B49="",COUNTA(DATABASE!$B$4:$B$2003)=0),"",$H49/COUNTA(DATABASE!$B$4:$B$2003))</f>
        <v/>
      </c>
    </row>
    <row r="50" customFormat="false" ht="15" hidden="false" customHeight="false" outlineLevel="0" collapsed="false">
      <c r="B50" s="24" t="s">
        <v>36</v>
      </c>
      <c r="C50" s="17" t="n">
        <f aca="false">SUM(C30:C49)</f>
        <v>0</v>
      </c>
      <c r="D50" s="17" t="n">
        <f aca="false">SUM(D30:D49)</f>
        <v>0</v>
      </c>
      <c r="E50" s="17" t="n">
        <f aca="false">SUM(E30:E49)</f>
        <v>0</v>
      </c>
      <c r="F50" s="17" t="n">
        <f aca="false">SUM(F30:F49)</f>
        <v>0</v>
      </c>
      <c r="G50" s="17" t="n">
        <f aca="false">SUM(G30:G49)</f>
        <v>0</v>
      </c>
      <c r="H50" s="17" t="n">
        <f aca="false">SUM(H30:H49)</f>
        <v>42</v>
      </c>
      <c r="I50" s="26" t="n">
        <f aca="false">IF(SUM(H30:H49)=0,"",1)</f>
        <v>1</v>
      </c>
    </row>
    <row r="52" customFormat="false" ht="19.5" hidden="false" customHeight="true" outlineLevel="0" collapsed="false">
      <c r="B52" s="6" t="s">
        <v>228</v>
      </c>
      <c r="C52" s="6"/>
      <c r="D52" s="6"/>
      <c r="E52" s="6"/>
      <c r="F52" s="6"/>
      <c r="G52" s="6"/>
      <c r="H52" s="6"/>
      <c r="I52" s="6"/>
      <c r="J52" s="6"/>
      <c r="K52" s="6"/>
    </row>
    <row r="53" customFormat="false" ht="15" hidden="false" customHeight="false" outlineLevel="0" collapsed="false">
      <c r="B53" s="54" t="s">
        <v>50</v>
      </c>
      <c r="C53" s="54" t="s">
        <v>25</v>
      </c>
      <c r="D53" s="54" t="s">
        <v>224</v>
      </c>
      <c r="E53" s="54" t="s">
        <v>229</v>
      </c>
    </row>
    <row r="54" customFormat="false" ht="15" hidden="false" customHeight="false" outlineLevel="0" collapsed="false">
      <c r="B54" s="9" t="str">
        <f aca="true">IFERROR(INDEX(daftar_jabatan,1),"")</f>
        <v>Ketua Team</v>
      </c>
      <c r="C54" s="56" t="n">
        <f aca="false">IF($B54="","",COUNTIF(DATABASE!$N$4:$N$2003,$B54))</f>
        <v>1</v>
      </c>
      <c r="D54" s="46" t="n">
        <f aca="false">IF($B54="","",COUNTIFS(DATABASE!$N$4:$N$2003,$B54,DATABASE!$T$4:$T$2003,"Aktif"))</f>
        <v>1</v>
      </c>
      <c r="E54" s="59" t="n">
        <f aca="false">IF(OR($B54="",COUNTA(DATABASE!$B$4:$B$2003)=0),"",$C54/COUNTA(DATABASE!$B$4:$B$2003))</f>
        <v>0.0192307692307692</v>
      </c>
    </row>
    <row r="55" customFormat="false" ht="15" hidden="false" customHeight="false" outlineLevel="0" collapsed="false">
      <c r="B55" s="13" t="str">
        <f aca="true">IFERROR(INDEX(daftar_jabatan,2),"")</f>
        <v>Wakil Ketua</v>
      </c>
      <c r="C55" s="58" t="n">
        <f aca="false">IF($B55="","",COUNTIF(DATABASE!$N$4:$N$2003,$B55))</f>
        <v>0</v>
      </c>
      <c r="D55" s="49" t="n">
        <f aca="false">IF($B55="","",COUNTIFS(DATABASE!$N$4:$N$2003,$B55,DATABASE!$T$4:$T$2003,"Aktif"))</f>
        <v>0</v>
      </c>
      <c r="E55" s="60" t="n">
        <f aca="false">IF(OR($B55="",COUNTA(DATABASE!$B$4:$B$2003)=0),"",$C55/COUNTA(DATABASE!$B$4:$B$2003))</f>
        <v>0</v>
      </c>
    </row>
    <row r="56" customFormat="false" ht="15" hidden="false" customHeight="false" outlineLevel="0" collapsed="false">
      <c r="B56" s="9" t="str">
        <f aca="true">IFERROR(INDEX(daftar_jabatan,3),"")</f>
        <v>Sekretaris</v>
      </c>
      <c r="C56" s="56" t="n">
        <f aca="false">IF($B56="","",COUNTIF(DATABASE!$N$4:$N$2003,$B56))</f>
        <v>0</v>
      </c>
      <c r="D56" s="46" t="n">
        <f aca="false">IF($B56="","",COUNTIFS(DATABASE!$N$4:$N$2003,$B56,DATABASE!$T$4:$T$2003,"Aktif"))</f>
        <v>0</v>
      </c>
      <c r="E56" s="59" t="n">
        <f aca="false">IF(OR($B56="",COUNTA(DATABASE!$B$4:$B$2003)=0),"",$C56/COUNTA(DATABASE!$B$4:$B$2003))</f>
        <v>0</v>
      </c>
    </row>
    <row r="57" customFormat="false" ht="15" hidden="false" customHeight="false" outlineLevel="0" collapsed="false">
      <c r="B57" s="13" t="str">
        <f aca="true">IFERROR(INDEX(daftar_jabatan,4),"")</f>
        <v>Bendahara</v>
      </c>
      <c r="C57" s="58" t="n">
        <f aca="false">IF($B57="","",COUNTIF(DATABASE!$N$4:$N$2003,$B57))</f>
        <v>0</v>
      </c>
      <c r="D57" s="49" t="n">
        <f aca="false">IF($B57="","",COUNTIFS(DATABASE!$N$4:$N$2003,$B57,DATABASE!$T$4:$T$2003,"Aktif"))</f>
        <v>0</v>
      </c>
      <c r="E57" s="60" t="n">
        <f aca="false">IF(OR($B57="",COUNTA(DATABASE!$B$4:$B$2003)=0),"",$C57/COUNTA(DATABASE!$B$4:$B$2003))</f>
        <v>0</v>
      </c>
    </row>
    <row r="58" customFormat="false" ht="15" hidden="false" customHeight="false" outlineLevel="0" collapsed="false">
      <c r="B58" s="9" t="str">
        <f aca="true">IFERROR(INDEX(daftar_jabatan,5),"")</f>
        <v>Kadus</v>
      </c>
      <c r="C58" s="56" t="n">
        <f aca="false">IF($B58="","",COUNTIF(DATABASE!$N$4:$N$2003,$B58))</f>
        <v>1</v>
      </c>
      <c r="D58" s="46" t="n">
        <f aca="false">IF($B58="","",COUNTIFS(DATABASE!$N$4:$N$2003,$B58,DATABASE!$T$4:$T$2003,"Aktif"))</f>
        <v>1</v>
      </c>
      <c r="E58" s="59" t="n">
        <f aca="false">IF(OR($B58="",COUNTA(DATABASE!$B$4:$B$2003)=0),"",$C58/COUNTA(DATABASE!$B$4:$B$2003))</f>
        <v>0.0192307692307692</v>
      </c>
    </row>
    <row r="59" customFormat="false" ht="15" hidden="false" customHeight="false" outlineLevel="0" collapsed="false">
      <c r="B59" s="13" t="str">
        <f aca="true">IFERROR(INDEX(daftar_jabatan,6),"")</f>
        <v>Ketua RW</v>
      </c>
      <c r="C59" s="58" t="n">
        <f aca="false">IF($B59="","",COUNTIF(DATABASE!$N$4:$N$2003,$B59))</f>
        <v>1</v>
      </c>
      <c r="D59" s="49" t="n">
        <f aca="false">IF($B59="","",COUNTIFS(DATABASE!$N$4:$N$2003,$B59,DATABASE!$T$4:$T$2003,"Aktif"))</f>
        <v>1</v>
      </c>
      <c r="E59" s="60" t="n">
        <f aca="false">IF(OR($B59="",COUNTA(DATABASE!$B$4:$B$2003)=0),"",$C59/COUNTA(DATABASE!$B$4:$B$2003))</f>
        <v>0.0192307692307692</v>
      </c>
    </row>
    <row r="60" customFormat="false" ht="15" hidden="false" customHeight="false" outlineLevel="0" collapsed="false">
      <c r="B60" s="9" t="str">
        <f aca="true">IFERROR(INDEX(daftar_jabatan,7),"")</f>
        <v>Ketua RT</v>
      </c>
      <c r="C60" s="56" t="n">
        <f aca="false">IF($B60="","",COUNTIF(DATABASE!$N$4:$N$2003,$B60))</f>
        <v>1</v>
      </c>
      <c r="D60" s="46" t="n">
        <f aca="false">IF($B60="","",COUNTIFS(DATABASE!$N$4:$N$2003,$B60,DATABASE!$T$4:$T$2003,"Aktif"))</f>
        <v>1</v>
      </c>
      <c r="E60" s="59" t="n">
        <f aca="false">IF(OR($B60="",COUNTA(DATABASE!$B$4:$B$2003)=0),"",$C60/COUNTA(DATABASE!$B$4:$B$2003))</f>
        <v>0.0192307692307692</v>
      </c>
    </row>
    <row r="61" customFormat="false" ht="15" hidden="false" customHeight="false" outlineLevel="0" collapsed="false">
      <c r="B61" s="13" t="str">
        <f aca="true">IFERROR(INDEX(daftar_jabatan,8),"")</f>
        <v>Koordinator Wilayah</v>
      </c>
      <c r="C61" s="58" t="n">
        <f aca="false">IF($B61="","",COUNTIF(DATABASE!$N$4:$N$2003,$B61))</f>
        <v>0</v>
      </c>
      <c r="D61" s="49" t="n">
        <f aca="false">IF($B61="","",COUNTIFS(DATABASE!$N$4:$N$2003,$B61,DATABASE!$T$4:$T$2003,"Aktif"))</f>
        <v>0</v>
      </c>
      <c r="E61" s="60" t="n">
        <f aca="false">IF(OR($B61="",COUNTA(DATABASE!$B$4:$B$2003)=0),"",$C61/COUNTA(DATABASE!$B$4:$B$2003))</f>
        <v>0</v>
      </c>
    </row>
    <row r="62" customFormat="false" ht="15" hidden="false" customHeight="false" outlineLevel="0" collapsed="false">
      <c r="B62" s="9" t="str">
        <f aca="true">IFERROR(INDEX(daftar_jabatan,9),"")</f>
        <v>Koordinator Lapangan</v>
      </c>
      <c r="C62" s="56" t="n">
        <f aca="false">IF($B62="","",COUNTIF(DATABASE!$N$4:$N$2003,$B62))</f>
        <v>0</v>
      </c>
      <c r="D62" s="46" t="n">
        <f aca="false">IF($B62="","",COUNTIFS(DATABASE!$N$4:$N$2003,$B62,DATABASE!$T$4:$T$2003,"Aktif"))</f>
        <v>0</v>
      </c>
      <c r="E62" s="59" t="n">
        <f aca="false">IF(OR($B62="",COUNTA(DATABASE!$B$4:$B$2003)=0),"",$C62/COUNTA(DATABASE!$B$4:$B$2003))</f>
        <v>0</v>
      </c>
    </row>
    <row r="63" customFormat="false" ht="15" hidden="false" customHeight="false" outlineLevel="0" collapsed="false">
      <c r="B63" s="13" t="str">
        <f aca="true">IFERROR(INDEX(daftar_jabatan,10),"")</f>
        <v>Anggota</v>
      </c>
      <c r="C63" s="58" t="n">
        <f aca="false">IF($B63="","",COUNTIF(DATABASE!$N$4:$N$2003,$B63))</f>
        <v>48</v>
      </c>
      <c r="D63" s="49" t="n">
        <f aca="false">IF($B63="","",COUNTIFS(DATABASE!$N$4:$N$2003,$B63,DATABASE!$T$4:$T$2003,"Aktif"))</f>
        <v>48</v>
      </c>
      <c r="E63" s="60" t="n">
        <f aca="false">IF(OR($B63="",COUNTA(DATABASE!$B$4:$B$2003)=0),"",$C63/COUNTA(DATABASE!$B$4:$B$2003))</f>
        <v>0.923076923076923</v>
      </c>
    </row>
    <row r="64" customFormat="false" ht="15" hidden="false" customHeight="false" outlineLevel="0" collapsed="false">
      <c r="B64" s="9" t="str">
        <f aca="true">IFERROR(INDEX(daftar_jabatan,11),"")</f>
        <v>Relawan</v>
      </c>
      <c r="C64" s="56" t="n">
        <f aca="false">IF($B64="","",COUNTIF(DATABASE!$N$4:$N$2003,$B64))</f>
        <v>0</v>
      </c>
      <c r="D64" s="46" t="n">
        <f aca="false">IF($B64="","",COUNTIFS(DATABASE!$N$4:$N$2003,$B64,DATABASE!$T$4:$T$2003,"Aktif"))</f>
        <v>0</v>
      </c>
      <c r="E64" s="59" t="n">
        <f aca="false">IF(OR($B64="",COUNTA(DATABASE!$B$4:$B$2003)=0),"",$C64/COUNTA(DATABASE!$B$4:$B$2003))</f>
        <v>0</v>
      </c>
    </row>
    <row r="65" customFormat="false" ht="15" hidden="false" customHeight="false" outlineLevel="0" collapsed="false">
      <c r="B65" s="13" t="str">
        <f aca="true">IFERROR(INDEX(daftar_jabatan,12),"")</f>
        <v/>
      </c>
      <c r="C65" s="58" t="str">
        <f aca="false">IF($B65="","",COUNTIF(DATABASE!$N$4:$N$2003,$B65))</f>
        <v/>
      </c>
      <c r="D65" s="49" t="str">
        <f aca="false">IF($B65="","",COUNTIFS(DATABASE!$N$4:$N$2003,$B65,DATABASE!$T$4:$T$2003,"Aktif"))</f>
        <v/>
      </c>
      <c r="E65" s="60" t="str">
        <f aca="false">IF(OR($B65="",COUNTA(DATABASE!$B$4:$B$2003)=0),"",$C65/COUNTA(DATABASE!$B$4:$B$2003))</f>
        <v/>
      </c>
    </row>
    <row r="67" customFormat="false" ht="19.5" hidden="false" customHeight="true" outlineLevel="0" collapsed="false">
      <c r="B67" s="6" t="s">
        <v>230</v>
      </c>
      <c r="C67" s="6"/>
      <c r="D67" s="6"/>
      <c r="E67" s="6"/>
      <c r="F67" s="6"/>
      <c r="G67" s="6"/>
      <c r="H67" s="6"/>
      <c r="I67" s="6"/>
      <c r="J67" s="6"/>
      <c r="K67" s="6"/>
    </row>
    <row r="68" customFormat="false" ht="15" hidden="false" customHeight="false" outlineLevel="0" collapsed="false">
      <c r="B68" s="54" t="s">
        <v>55</v>
      </c>
      <c r="C68" s="54" t="s">
        <v>25</v>
      </c>
      <c r="D68" s="54" t="s">
        <v>222</v>
      </c>
      <c r="E68" s="54" t="s">
        <v>223</v>
      </c>
      <c r="F68" s="54" t="s">
        <v>229</v>
      </c>
    </row>
    <row r="69" customFormat="false" ht="15" hidden="false" customHeight="false" outlineLevel="0" collapsed="false">
      <c r="B69" s="9" t="str">
        <f aca="false">REFERENSI!$L$6</f>
        <v>Di bawah 17 th</v>
      </c>
      <c r="C69" s="56" t="n">
        <f aca="false">IF($B69="","",COUNTIF(DATABASE!$S$4:$S$2003,$B69))</f>
        <v>0</v>
      </c>
      <c r="D69" s="46" t="n">
        <f aca="false">IF($B69="","",COUNTIFS(DATABASE!$S$4:$S$2003,$B69,DATABASE!$E$4:$E$2003,"L"))</f>
        <v>0</v>
      </c>
      <c r="E69" s="46" t="n">
        <f aca="false">IF($B69="","",COUNTIFS(DATABASE!$S$4:$S$2003,$B69,DATABASE!$E$4:$E$2003,"P"))</f>
        <v>0</v>
      </c>
      <c r="F69" s="59" t="str">
        <f aca="false">IF(OR($B69="",COUNT(DATABASE!$R$4:$R$2003)=0),"",$C69/COUNT(DATABASE!$R$4:$R$2003))</f>
        <v/>
      </c>
    </row>
    <row r="70" customFormat="false" ht="15" hidden="false" customHeight="false" outlineLevel="0" collapsed="false">
      <c r="B70" s="13" t="str">
        <f aca="false">REFERENSI!$L$7</f>
        <v>Pemula 17-22 th</v>
      </c>
      <c r="C70" s="58" t="n">
        <f aca="false">IF($B70="","",COUNTIF(DATABASE!$S$4:$S$2003,$B70))</f>
        <v>0</v>
      </c>
      <c r="D70" s="49" t="n">
        <f aca="false">IF($B70="","",COUNTIFS(DATABASE!$S$4:$S$2003,$B70,DATABASE!$E$4:$E$2003,"L"))</f>
        <v>0</v>
      </c>
      <c r="E70" s="49" t="n">
        <f aca="false">IF($B70="","",COUNTIFS(DATABASE!$S$4:$S$2003,$B70,DATABASE!$E$4:$E$2003,"P"))</f>
        <v>0</v>
      </c>
      <c r="F70" s="60" t="str">
        <f aca="false">IF(OR($B70="",COUNT(DATABASE!$R$4:$R$2003)=0),"",$C70/COUNT(DATABASE!$R$4:$R$2003))</f>
        <v/>
      </c>
    </row>
    <row r="71" customFormat="false" ht="15" hidden="false" customHeight="false" outlineLevel="0" collapsed="false">
      <c r="B71" s="9" t="str">
        <f aca="false">REFERENSI!$L$8</f>
        <v>Muda 23-35 th</v>
      </c>
      <c r="C71" s="56" t="n">
        <f aca="false">IF($B71="","",COUNTIF(DATABASE!$S$4:$S$2003,$B71))</f>
        <v>0</v>
      </c>
      <c r="D71" s="46" t="n">
        <f aca="false">IF($B71="","",COUNTIFS(DATABASE!$S$4:$S$2003,$B71,DATABASE!$E$4:$E$2003,"L"))</f>
        <v>0</v>
      </c>
      <c r="E71" s="46" t="n">
        <f aca="false">IF($B71="","",COUNTIFS(DATABASE!$S$4:$S$2003,$B71,DATABASE!$E$4:$E$2003,"P"))</f>
        <v>0</v>
      </c>
      <c r="F71" s="59" t="str">
        <f aca="false">IF(OR($B71="",COUNT(DATABASE!$R$4:$R$2003)=0),"",$C71/COUNT(DATABASE!$R$4:$R$2003))</f>
        <v/>
      </c>
    </row>
    <row r="72" customFormat="false" ht="15" hidden="false" customHeight="false" outlineLevel="0" collapsed="false">
      <c r="B72" s="13" t="str">
        <f aca="false">REFERENSI!$L$9</f>
        <v>Dewasa 36-50 th</v>
      </c>
      <c r="C72" s="58" t="n">
        <f aca="false">IF($B72="","",COUNTIF(DATABASE!$S$4:$S$2003,$B72))</f>
        <v>0</v>
      </c>
      <c r="D72" s="49" t="n">
        <f aca="false">IF($B72="","",COUNTIFS(DATABASE!$S$4:$S$2003,$B72,DATABASE!$E$4:$E$2003,"L"))</f>
        <v>0</v>
      </c>
      <c r="E72" s="49" t="n">
        <f aca="false">IF($B72="","",COUNTIFS(DATABASE!$S$4:$S$2003,$B72,DATABASE!$E$4:$E$2003,"P"))</f>
        <v>0</v>
      </c>
      <c r="F72" s="60" t="str">
        <f aca="false">IF(OR($B72="",COUNT(DATABASE!$R$4:$R$2003)=0),"",$C72/COUNT(DATABASE!$R$4:$R$2003))</f>
        <v/>
      </c>
    </row>
    <row r="73" customFormat="false" ht="15" hidden="false" customHeight="false" outlineLevel="0" collapsed="false">
      <c r="B73" s="9" t="str">
        <f aca="false">REFERENSI!$L$10</f>
        <v>Matang 51-65 th</v>
      </c>
      <c r="C73" s="56" t="n">
        <f aca="false">IF($B73="","",COUNTIF(DATABASE!$S$4:$S$2003,$B73))</f>
        <v>0</v>
      </c>
      <c r="D73" s="46" t="n">
        <f aca="false">IF($B73="","",COUNTIFS(DATABASE!$S$4:$S$2003,$B73,DATABASE!$E$4:$E$2003,"L"))</f>
        <v>0</v>
      </c>
      <c r="E73" s="46" t="n">
        <f aca="false">IF($B73="","",COUNTIFS(DATABASE!$S$4:$S$2003,$B73,DATABASE!$E$4:$E$2003,"P"))</f>
        <v>0</v>
      </c>
      <c r="F73" s="59" t="str">
        <f aca="false">IF(OR($B73="",COUNT(DATABASE!$R$4:$R$2003)=0),"",$C73/COUNT(DATABASE!$R$4:$R$2003))</f>
        <v/>
      </c>
    </row>
    <row r="74" customFormat="false" ht="15" hidden="false" customHeight="false" outlineLevel="0" collapsed="false">
      <c r="B74" s="13" t="str">
        <f aca="false">REFERENSI!$L$11</f>
        <v>Senior 66 th +</v>
      </c>
      <c r="C74" s="58" t="n">
        <f aca="false">IF($B74="","",COUNTIF(DATABASE!$S$4:$S$2003,$B74))</f>
        <v>0</v>
      </c>
      <c r="D74" s="49" t="n">
        <f aca="false">IF($B74="","",COUNTIFS(DATABASE!$S$4:$S$2003,$B74,DATABASE!$E$4:$E$2003,"L"))</f>
        <v>0</v>
      </c>
      <c r="E74" s="49" t="n">
        <f aca="false">IF($B74="","",COUNTIFS(DATABASE!$S$4:$S$2003,$B74,DATABASE!$E$4:$E$2003,"P"))</f>
        <v>0</v>
      </c>
      <c r="F74" s="60" t="str">
        <f aca="false">IF(OR($B74="",COUNT(DATABASE!$R$4:$R$2003)=0),"",$C74/COUNT(DATABASE!$R$4:$R$2003))</f>
        <v/>
      </c>
    </row>
    <row r="75" customFormat="false" ht="15" hidden="false" customHeight="false" outlineLevel="0" collapsed="false">
      <c r="B75" s="61" t="s">
        <v>231</v>
      </c>
      <c r="C75" s="62" t="n">
        <f aca="false">COUNTA(DATABASE!$B$4:$B$2003)-COUNT(DATABASE!$R$4:$R$2003)</f>
        <v>52</v>
      </c>
    </row>
    <row r="77" customFormat="false" ht="19.5" hidden="false" customHeight="true" outlineLevel="0" collapsed="false">
      <c r="B77" s="6" t="s">
        <v>232</v>
      </c>
      <c r="C77" s="6"/>
      <c r="D77" s="6"/>
      <c r="E77" s="6"/>
      <c r="F77" s="6"/>
      <c r="G77" s="6"/>
      <c r="H77" s="6"/>
      <c r="I77" s="6"/>
      <c r="J77" s="6"/>
      <c r="K77" s="6"/>
    </row>
    <row r="78" customFormat="false" ht="15" hidden="false" customHeight="false" outlineLevel="0" collapsed="false">
      <c r="B78" s="54" t="s">
        <v>52</v>
      </c>
      <c r="C78" s="54" t="str">
        <f aca="false">REFERENSI!$H$6</f>
        <v>01</v>
      </c>
      <c r="D78" s="54" t="str">
        <f aca="false">REFERENSI!$H$7</f>
        <v>02</v>
      </c>
      <c r="E78" s="54" t="str">
        <f aca="false">REFERENSI!$H$8</f>
        <v>03</v>
      </c>
      <c r="F78" s="54" t="str">
        <f aca="false">REFERENSI!$H$9</f>
        <v>04</v>
      </c>
      <c r="G78" s="54" t="str">
        <f aca="false">REFERENSI!$H$10</f>
        <v>05</v>
      </c>
      <c r="H78" s="54" t="str">
        <f aca="false">REFERENSI!$H$11</f>
        <v>06</v>
      </c>
      <c r="I78" s="54" t="str">
        <f aca="false">REFERENSI!$H$12</f>
        <v>07</v>
      </c>
      <c r="J78" s="54" t="str">
        <f aca="false">REFERENSI!$H$13</f>
        <v>08</v>
      </c>
      <c r="K78" s="54" t="str">
        <f aca="false">REFERENSI!$H$14</f>
        <v>09</v>
      </c>
      <c r="L78" s="54" t="str">
        <f aca="false">REFERENSI!$H$15</f>
        <v>10</v>
      </c>
    </row>
    <row r="79" customFormat="false" ht="15" hidden="false" customHeight="false" outlineLevel="0" collapsed="false">
      <c r="B79" s="63" t="s">
        <v>25</v>
      </c>
      <c r="C79" s="64" t="n">
        <f aca="false">IF(C$78="","",COUNTIF(DATABASE!$P$4:$P$2003,C$78))</f>
        <v>0</v>
      </c>
      <c r="D79" s="64" t="n">
        <f aca="false">IF(D$78="","",COUNTIF(DATABASE!$P$4:$P$2003,D$78))</f>
        <v>0</v>
      </c>
      <c r="E79" s="64" t="n">
        <f aca="false">IF(E$78="","",COUNTIF(DATABASE!$P$4:$P$2003,E$78))</f>
        <v>0</v>
      </c>
      <c r="F79" s="64" t="n">
        <f aca="false">IF(F$78="","",COUNTIF(DATABASE!$P$4:$P$2003,F$78))</f>
        <v>0</v>
      </c>
      <c r="G79" s="64" t="n">
        <f aca="false">IF(G$78="","",COUNTIF(DATABASE!$P$4:$P$2003,G$78))</f>
        <v>0</v>
      </c>
      <c r="H79" s="64" t="n">
        <f aca="false">IF(H$78="","",COUNTIF(DATABASE!$P$4:$P$2003,H$78))</f>
        <v>0</v>
      </c>
      <c r="I79" s="64" t="n">
        <f aca="false">IF(I$78="","",COUNTIF(DATABASE!$P$4:$P$2003,I$78))</f>
        <v>0</v>
      </c>
      <c r="J79" s="64" t="n">
        <f aca="false">IF(J$78="","",COUNTIF(DATABASE!$P$4:$P$2003,J$78))</f>
        <v>0</v>
      </c>
      <c r="K79" s="64" t="n">
        <f aca="false">IF(K$78="","",COUNTIF(DATABASE!$P$4:$P$2003,K$78))</f>
        <v>0</v>
      </c>
      <c r="L79" s="64" t="n">
        <f aca="false">IF(L$78="","",COUNTIF(DATABASE!$P$4:$P$2003,L$78))</f>
        <v>0</v>
      </c>
    </row>
    <row r="81" customFormat="false" ht="19.5" hidden="false" customHeight="true" outlineLevel="0" collapsed="false">
      <c r="B81" s="6" t="s">
        <v>233</v>
      </c>
      <c r="C81" s="6"/>
      <c r="D81" s="6"/>
      <c r="E81" s="6"/>
      <c r="F81" s="6"/>
      <c r="G81" s="6"/>
      <c r="H81" s="6"/>
      <c r="I81" s="6"/>
      <c r="J81" s="6"/>
      <c r="K81" s="6"/>
    </row>
    <row r="82" customFormat="false" ht="15" hidden="false" customHeight="false" outlineLevel="0" collapsed="false">
      <c r="B82" s="65" t="s">
        <v>234</v>
      </c>
      <c r="D82" s="66"/>
      <c r="E82" s="32" t="s">
        <v>43</v>
      </c>
      <c r="F82" s="67"/>
      <c r="G82" s="32" t="s">
        <v>44</v>
      </c>
      <c r="H82" s="67"/>
      <c r="I82" s="32" t="s">
        <v>25</v>
      </c>
      <c r="J82" s="68" t="n">
        <f aca="false">COUNTIF(DATABASE!$M$4:$M$2003,$AA$1)</f>
        <v>0</v>
      </c>
      <c r="K82" s="31" t="s">
        <v>235</v>
      </c>
    </row>
    <row r="83" customFormat="false" ht="15" hidden="false" customHeight="false" outlineLevel="0" collapsed="false">
      <c r="B83" s="69" t="s">
        <v>38</v>
      </c>
      <c r="C83" s="69" t="s">
        <v>39</v>
      </c>
      <c r="D83" s="69" t="s">
        <v>217</v>
      </c>
      <c r="E83" s="69" t="s">
        <v>42</v>
      </c>
      <c r="F83" s="69" t="s">
        <v>50</v>
      </c>
      <c r="G83" s="69" t="s">
        <v>51</v>
      </c>
      <c r="H83" s="69" t="s">
        <v>56</v>
      </c>
      <c r="I83" s="69" t="s">
        <v>45</v>
      </c>
    </row>
    <row r="84" customFormat="false" ht="15" hidden="false" customHeight="false" outlineLevel="0" collapsed="false">
      <c r="B84" s="46" t="n">
        <v>1</v>
      </c>
      <c r="C84" s="47" t="str">
        <f aca="false">IFERROR(INDEX(DATABASE!$B$4:$B$2003,MATCH($AA$1&amp;"#"&amp;$B84,DATABASE!$X$4:$X$2003,0))&amp;"","")</f>
        <v/>
      </c>
      <c r="D84" s="48" t="str">
        <f aca="false">IFERROR(INDEX(DATABASE!$C$4:$C$2003,MATCH($AA$1&amp;"#"&amp;$B84,DATABASE!$X$4:$X$2003,0))&amp;"","")</f>
        <v/>
      </c>
      <c r="E84" s="46" t="str">
        <f aca="false">IFERROR(INDEX(DATABASE!$E$4:$E$2003,MATCH($AA$1&amp;"#"&amp;$B84,DATABASE!$X$4:$X$2003,0))&amp;"","")</f>
        <v/>
      </c>
      <c r="F84" s="47" t="str">
        <f aca="false">IFERROR(INDEX(DATABASE!$N$4:$N$2003,MATCH($AA$1&amp;"#"&amp;$B84,DATABASE!$X$4:$X$2003,0))&amp;"","")</f>
        <v/>
      </c>
      <c r="G84" s="48" t="str">
        <f aca="false">IFERROR(INDEX(DATABASE!$O$4:$O$2003,MATCH($AA$1&amp;"#"&amp;$B84,DATABASE!$X$4:$X$2003,0))&amp;"","")</f>
        <v/>
      </c>
      <c r="H84" s="46" t="str">
        <f aca="false">IFERROR(INDEX(DATABASE!$T$4:$T$2003,MATCH($AA$1&amp;"#"&amp;$B84,DATABASE!$X$4:$X$2003,0))&amp;"","")</f>
        <v/>
      </c>
      <c r="I84" s="47" t="str">
        <f aca="false">IFERROR(INDEX(DATABASE!$I$4:$I$2003,MATCH($AA$1&amp;"#"&amp;$B84,DATABASE!$X$4:$X$2003,0))&amp;"","")</f>
        <v/>
      </c>
    </row>
    <row r="85" customFormat="false" ht="15" hidden="false" customHeight="false" outlineLevel="0" collapsed="false">
      <c r="B85" s="49" t="n">
        <v>2</v>
      </c>
      <c r="C85" s="50" t="str">
        <f aca="false">IFERROR(INDEX(DATABASE!$B$4:$B$2003,MATCH($AA$1&amp;"#"&amp;$B85,DATABASE!$X$4:$X$2003,0))&amp;"","")</f>
        <v/>
      </c>
      <c r="D85" s="51" t="str">
        <f aca="false">IFERROR(INDEX(DATABASE!$C$4:$C$2003,MATCH($AA$1&amp;"#"&amp;$B85,DATABASE!$X$4:$X$2003,0))&amp;"","")</f>
        <v/>
      </c>
      <c r="E85" s="49" t="str">
        <f aca="false">IFERROR(INDEX(DATABASE!$E$4:$E$2003,MATCH($AA$1&amp;"#"&amp;$B85,DATABASE!$X$4:$X$2003,0))&amp;"","")</f>
        <v/>
      </c>
      <c r="F85" s="50" t="str">
        <f aca="false">IFERROR(INDEX(DATABASE!$N$4:$N$2003,MATCH($AA$1&amp;"#"&amp;$B85,DATABASE!$X$4:$X$2003,0))&amp;"","")</f>
        <v/>
      </c>
      <c r="G85" s="51" t="str">
        <f aca="false">IFERROR(INDEX(DATABASE!$O$4:$O$2003,MATCH($AA$1&amp;"#"&amp;$B85,DATABASE!$X$4:$X$2003,0))&amp;"","")</f>
        <v/>
      </c>
      <c r="H85" s="49" t="str">
        <f aca="false">IFERROR(INDEX(DATABASE!$T$4:$T$2003,MATCH($AA$1&amp;"#"&amp;$B85,DATABASE!$X$4:$X$2003,0))&amp;"","")</f>
        <v/>
      </c>
      <c r="I85" s="50" t="str">
        <f aca="false">IFERROR(INDEX(DATABASE!$I$4:$I$2003,MATCH($AA$1&amp;"#"&amp;$B85,DATABASE!$X$4:$X$2003,0))&amp;"","")</f>
        <v/>
      </c>
    </row>
    <row r="86" customFormat="false" ht="15" hidden="false" customHeight="false" outlineLevel="0" collapsed="false">
      <c r="B86" s="46" t="n">
        <v>3</v>
      </c>
      <c r="C86" s="47" t="str">
        <f aca="false">IFERROR(INDEX(DATABASE!$B$4:$B$2003,MATCH($AA$1&amp;"#"&amp;$B86,DATABASE!$X$4:$X$2003,0))&amp;"","")</f>
        <v/>
      </c>
      <c r="D86" s="48" t="str">
        <f aca="false">IFERROR(INDEX(DATABASE!$C$4:$C$2003,MATCH($AA$1&amp;"#"&amp;$B86,DATABASE!$X$4:$X$2003,0))&amp;"","")</f>
        <v/>
      </c>
      <c r="E86" s="46" t="str">
        <f aca="false">IFERROR(INDEX(DATABASE!$E$4:$E$2003,MATCH($AA$1&amp;"#"&amp;$B86,DATABASE!$X$4:$X$2003,0))&amp;"","")</f>
        <v/>
      </c>
      <c r="F86" s="47" t="str">
        <f aca="false">IFERROR(INDEX(DATABASE!$N$4:$N$2003,MATCH($AA$1&amp;"#"&amp;$B86,DATABASE!$X$4:$X$2003,0))&amp;"","")</f>
        <v/>
      </c>
      <c r="G86" s="48" t="str">
        <f aca="false">IFERROR(INDEX(DATABASE!$O$4:$O$2003,MATCH($AA$1&amp;"#"&amp;$B86,DATABASE!$X$4:$X$2003,0))&amp;"","")</f>
        <v/>
      </c>
      <c r="H86" s="46" t="str">
        <f aca="false">IFERROR(INDEX(DATABASE!$T$4:$T$2003,MATCH($AA$1&amp;"#"&amp;$B86,DATABASE!$X$4:$X$2003,0))&amp;"","")</f>
        <v/>
      </c>
      <c r="I86" s="47" t="str">
        <f aca="false">IFERROR(INDEX(DATABASE!$I$4:$I$2003,MATCH($AA$1&amp;"#"&amp;$B86,DATABASE!$X$4:$X$2003,0))&amp;"","")</f>
        <v/>
      </c>
    </row>
    <row r="87" customFormat="false" ht="15" hidden="false" customHeight="false" outlineLevel="0" collapsed="false">
      <c r="B87" s="49" t="n">
        <v>4</v>
      </c>
      <c r="C87" s="50" t="str">
        <f aca="false">IFERROR(INDEX(DATABASE!$B$4:$B$2003,MATCH($AA$1&amp;"#"&amp;$B87,DATABASE!$X$4:$X$2003,0))&amp;"","")</f>
        <v/>
      </c>
      <c r="D87" s="51" t="str">
        <f aca="false">IFERROR(INDEX(DATABASE!$C$4:$C$2003,MATCH($AA$1&amp;"#"&amp;$B87,DATABASE!$X$4:$X$2003,0))&amp;"","")</f>
        <v/>
      </c>
      <c r="E87" s="49" t="str">
        <f aca="false">IFERROR(INDEX(DATABASE!$E$4:$E$2003,MATCH($AA$1&amp;"#"&amp;$B87,DATABASE!$X$4:$X$2003,0))&amp;"","")</f>
        <v/>
      </c>
      <c r="F87" s="50" t="str">
        <f aca="false">IFERROR(INDEX(DATABASE!$N$4:$N$2003,MATCH($AA$1&amp;"#"&amp;$B87,DATABASE!$X$4:$X$2003,0))&amp;"","")</f>
        <v/>
      </c>
      <c r="G87" s="51" t="str">
        <f aca="false">IFERROR(INDEX(DATABASE!$O$4:$O$2003,MATCH($AA$1&amp;"#"&amp;$B87,DATABASE!$X$4:$X$2003,0))&amp;"","")</f>
        <v/>
      </c>
      <c r="H87" s="49" t="str">
        <f aca="false">IFERROR(INDEX(DATABASE!$T$4:$T$2003,MATCH($AA$1&amp;"#"&amp;$B87,DATABASE!$X$4:$X$2003,0))&amp;"","")</f>
        <v/>
      </c>
      <c r="I87" s="50" t="str">
        <f aca="false">IFERROR(INDEX(DATABASE!$I$4:$I$2003,MATCH($AA$1&amp;"#"&amp;$B87,DATABASE!$X$4:$X$2003,0))&amp;"","")</f>
        <v/>
      </c>
    </row>
    <row r="88" customFormat="false" ht="15" hidden="false" customHeight="false" outlineLevel="0" collapsed="false">
      <c r="B88" s="46" t="n">
        <v>5</v>
      </c>
      <c r="C88" s="47" t="str">
        <f aca="false">IFERROR(INDEX(DATABASE!$B$4:$B$2003,MATCH($AA$1&amp;"#"&amp;$B88,DATABASE!$X$4:$X$2003,0))&amp;"","")</f>
        <v/>
      </c>
      <c r="D88" s="48" t="str">
        <f aca="false">IFERROR(INDEX(DATABASE!$C$4:$C$2003,MATCH($AA$1&amp;"#"&amp;$B88,DATABASE!$X$4:$X$2003,0))&amp;"","")</f>
        <v/>
      </c>
      <c r="E88" s="46" t="str">
        <f aca="false">IFERROR(INDEX(DATABASE!$E$4:$E$2003,MATCH($AA$1&amp;"#"&amp;$B88,DATABASE!$X$4:$X$2003,0))&amp;"","")</f>
        <v/>
      </c>
      <c r="F88" s="47" t="str">
        <f aca="false">IFERROR(INDEX(DATABASE!$N$4:$N$2003,MATCH($AA$1&amp;"#"&amp;$B88,DATABASE!$X$4:$X$2003,0))&amp;"","")</f>
        <v/>
      </c>
      <c r="G88" s="48" t="str">
        <f aca="false">IFERROR(INDEX(DATABASE!$O$4:$O$2003,MATCH($AA$1&amp;"#"&amp;$B88,DATABASE!$X$4:$X$2003,0))&amp;"","")</f>
        <v/>
      </c>
      <c r="H88" s="46" t="str">
        <f aca="false">IFERROR(INDEX(DATABASE!$T$4:$T$2003,MATCH($AA$1&amp;"#"&amp;$B88,DATABASE!$X$4:$X$2003,0))&amp;"","")</f>
        <v/>
      </c>
      <c r="I88" s="47" t="str">
        <f aca="false">IFERROR(INDEX(DATABASE!$I$4:$I$2003,MATCH($AA$1&amp;"#"&amp;$B88,DATABASE!$X$4:$X$2003,0))&amp;"","")</f>
        <v/>
      </c>
    </row>
    <row r="89" customFormat="false" ht="15" hidden="false" customHeight="false" outlineLevel="0" collapsed="false">
      <c r="B89" s="49" t="n">
        <v>6</v>
      </c>
      <c r="C89" s="50" t="str">
        <f aca="false">IFERROR(INDEX(DATABASE!$B$4:$B$2003,MATCH($AA$1&amp;"#"&amp;$B89,DATABASE!$X$4:$X$2003,0))&amp;"","")</f>
        <v/>
      </c>
      <c r="D89" s="51" t="str">
        <f aca="false">IFERROR(INDEX(DATABASE!$C$4:$C$2003,MATCH($AA$1&amp;"#"&amp;$B89,DATABASE!$X$4:$X$2003,0))&amp;"","")</f>
        <v/>
      </c>
      <c r="E89" s="49" t="str">
        <f aca="false">IFERROR(INDEX(DATABASE!$E$4:$E$2003,MATCH($AA$1&amp;"#"&amp;$B89,DATABASE!$X$4:$X$2003,0))&amp;"","")</f>
        <v/>
      </c>
      <c r="F89" s="50" t="str">
        <f aca="false">IFERROR(INDEX(DATABASE!$N$4:$N$2003,MATCH($AA$1&amp;"#"&amp;$B89,DATABASE!$X$4:$X$2003,0))&amp;"","")</f>
        <v/>
      </c>
      <c r="G89" s="51" t="str">
        <f aca="false">IFERROR(INDEX(DATABASE!$O$4:$O$2003,MATCH($AA$1&amp;"#"&amp;$B89,DATABASE!$X$4:$X$2003,0))&amp;"","")</f>
        <v/>
      </c>
      <c r="H89" s="49" t="str">
        <f aca="false">IFERROR(INDEX(DATABASE!$T$4:$T$2003,MATCH($AA$1&amp;"#"&amp;$B89,DATABASE!$X$4:$X$2003,0))&amp;"","")</f>
        <v/>
      </c>
      <c r="I89" s="50" t="str">
        <f aca="false">IFERROR(INDEX(DATABASE!$I$4:$I$2003,MATCH($AA$1&amp;"#"&amp;$B89,DATABASE!$X$4:$X$2003,0))&amp;"","")</f>
        <v/>
      </c>
    </row>
    <row r="90" customFormat="false" ht="15" hidden="false" customHeight="false" outlineLevel="0" collapsed="false">
      <c r="B90" s="46" t="n">
        <v>7</v>
      </c>
      <c r="C90" s="47" t="str">
        <f aca="false">IFERROR(INDEX(DATABASE!$B$4:$B$2003,MATCH($AA$1&amp;"#"&amp;$B90,DATABASE!$X$4:$X$2003,0))&amp;"","")</f>
        <v/>
      </c>
      <c r="D90" s="48" t="str">
        <f aca="false">IFERROR(INDEX(DATABASE!$C$4:$C$2003,MATCH($AA$1&amp;"#"&amp;$B90,DATABASE!$X$4:$X$2003,0))&amp;"","")</f>
        <v/>
      </c>
      <c r="E90" s="46" t="str">
        <f aca="false">IFERROR(INDEX(DATABASE!$E$4:$E$2003,MATCH($AA$1&amp;"#"&amp;$B90,DATABASE!$X$4:$X$2003,0))&amp;"","")</f>
        <v/>
      </c>
      <c r="F90" s="47" t="str">
        <f aca="false">IFERROR(INDEX(DATABASE!$N$4:$N$2003,MATCH($AA$1&amp;"#"&amp;$B90,DATABASE!$X$4:$X$2003,0))&amp;"","")</f>
        <v/>
      </c>
      <c r="G90" s="48" t="str">
        <f aca="false">IFERROR(INDEX(DATABASE!$O$4:$O$2003,MATCH($AA$1&amp;"#"&amp;$B90,DATABASE!$X$4:$X$2003,0))&amp;"","")</f>
        <v/>
      </c>
      <c r="H90" s="46" t="str">
        <f aca="false">IFERROR(INDEX(DATABASE!$T$4:$T$2003,MATCH($AA$1&amp;"#"&amp;$B90,DATABASE!$X$4:$X$2003,0))&amp;"","")</f>
        <v/>
      </c>
      <c r="I90" s="47" t="str">
        <f aca="false">IFERROR(INDEX(DATABASE!$I$4:$I$2003,MATCH($AA$1&amp;"#"&amp;$B90,DATABASE!$X$4:$X$2003,0))&amp;"","")</f>
        <v/>
      </c>
    </row>
    <row r="91" customFormat="false" ht="15" hidden="false" customHeight="false" outlineLevel="0" collapsed="false">
      <c r="B91" s="49" t="n">
        <v>8</v>
      </c>
      <c r="C91" s="50" t="str">
        <f aca="false">IFERROR(INDEX(DATABASE!$B$4:$B$2003,MATCH($AA$1&amp;"#"&amp;$B91,DATABASE!$X$4:$X$2003,0))&amp;"","")</f>
        <v/>
      </c>
      <c r="D91" s="51" t="str">
        <f aca="false">IFERROR(INDEX(DATABASE!$C$4:$C$2003,MATCH($AA$1&amp;"#"&amp;$B91,DATABASE!$X$4:$X$2003,0))&amp;"","")</f>
        <v/>
      </c>
      <c r="E91" s="49" t="str">
        <f aca="false">IFERROR(INDEX(DATABASE!$E$4:$E$2003,MATCH($AA$1&amp;"#"&amp;$B91,DATABASE!$X$4:$X$2003,0))&amp;"","")</f>
        <v/>
      </c>
      <c r="F91" s="50" t="str">
        <f aca="false">IFERROR(INDEX(DATABASE!$N$4:$N$2003,MATCH($AA$1&amp;"#"&amp;$B91,DATABASE!$X$4:$X$2003,0))&amp;"","")</f>
        <v/>
      </c>
      <c r="G91" s="51" t="str">
        <f aca="false">IFERROR(INDEX(DATABASE!$O$4:$O$2003,MATCH($AA$1&amp;"#"&amp;$B91,DATABASE!$X$4:$X$2003,0))&amp;"","")</f>
        <v/>
      </c>
      <c r="H91" s="49" t="str">
        <f aca="false">IFERROR(INDEX(DATABASE!$T$4:$T$2003,MATCH($AA$1&amp;"#"&amp;$B91,DATABASE!$X$4:$X$2003,0))&amp;"","")</f>
        <v/>
      </c>
      <c r="I91" s="50" t="str">
        <f aca="false">IFERROR(INDEX(DATABASE!$I$4:$I$2003,MATCH($AA$1&amp;"#"&amp;$B91,DATABASE!$X$4:$X$2003,0))&amp;"","")</f>
        <v/>
      </c>
    </row>
    <row r="92" customFormat="false" ht="15" hidden="false" customHeight="false" outlineLevel="0" collapsed="false">
      <c r="B92" s="46" t="n">
        <v>9</v>
      </c>
      <c r="C92" s="47" t="str">
        <f aca="false">IFERROR(INDEX(DATABASE!$B$4:$B$2003,MATCH($AA$1&amp;"#"&amp;$B92,DATABASE!$X$4:$X$2003,0))&amp;"","")</f>
        <v/>
      </c>
      <c r="D92" s="48" t="str">
        <f aca="false">IFERROR(INDEX(DATABASE!$C$4:$C$2003,MATCH($AA$1&amp;"#"&amp;$B92,DATABASE!$X$4:$X$2003,0))&amp;"","")</f>
        <v/>
      </c>
      <c r="E92" s="46" t="str">
        <f aca="false">IFERROR(INDEX(DATABASE!$E$4:$E$2003,MATCH($AA$1&amp;"#"&amp;$B92,DATABASE!$X$4:$X$2003,0))&amp;"","")</f>
        <v/>
      </c>
      <c r="F92" s="47" t="str">
        <f aca="false">IFERROR(INDEX(DATABASE!$N$4:$N$2003,MATCH($AA$1&amp;"#"&amp;$B92,DATABASE!$X$4:$X$2003,0))&amp;"","")</f>
        <v/>
      </c>
      <c r="G92" s="48" t="str">
        <f aca="false">IFERROR(INDEX(DATABASE!$O$4:$O$2003,MATCH($AA$1&amp;"#"&amp;$B92,DATABASE!$X$4:$X$2003,0))&amp;"","")</f>
        <v/>
      </c>
      <c r="H92" s="46" t="str">
        <f aca="false">IFERROR(INDEX(DATABASE!$T$4:$T$2003,MATCH($AA$1&amp;"#"&amp;$B92,DATABASE!$X$4:$X$2003,0))&amp;"","")</f>
        <v/>
      </c>
      <c r="I92" s="47" t="str">
        <f aca="false">IFERROR(INDEX(DATABASE!$I$4:$I$2003,MATCH($AA$1&amp;"#"&amp;$B92,DATABASE!$X$4:$X$2003,0))&amp;"","")</f>
        <v/>
      </c>
    </row>
    <row r="93" customFormat="false" ht="15" hidden="false" customHeight="false" outlineLevel="0" collapsed="false">
      <c r="B93" s="49" t="n">
        <v>10</v>
      </c>
      <c r="C93" s="50" t="str">
        <f aca="false">IFERROR(INDEX(DATABASE!$B$4:$B$2003,MATCH($AA$1&amp;"#"&amp;$B93,DATABASE!$X$4:$X$2003,0))&amp;"","")</f>
        <v/>
      </c>
      <c r="D93" s="51" t="str">
        <f aca="false">IFERROR(INDEX(DATABASE!$C$4:$C$2003,MATCH($AA$1&amp;"#"&amp;$B93,DATABASE!$X$4:$X$2003,0))&amp;"","")</f>
        <v/>
      </c>
      <c r="E93" s="49" t="str">
        <f aca="false">IFERROR(INDEX(DATABASE!$E$4:$E$2003,MATCH($AA$1&amp;"#"&amp;$B93,DATABASE!$X$4:$X$2003,0))&amp;"","")</f>
        <v/>
      </c>
      <c r="F93" s="50" t="str">
        <f aca="false">IFERROR(INDEX(DATABASE!$N$4:$N$2003,MATCH($AA$1&amp;"#"&amp;$B93,DATABASE!$X$4:$X$2003,0))&amp;"","")</f>
        <v/>
      </c>
      <c r="G93" s="51" t="str">
        <f aca="false">IFERROR(INDEX(DATABASE!$O$4:$O$2003,MATCH($AA$1&amp;"#"&amp;$B93,DATABASE!$X$4:$X$2003,0))&amp;"","")</f>
        <v/>
      </c>
      <c r="H93" s="49" t="str">
        <f aca="false">IFERROR(INDEX(DATABASE!$T$4:$T$2003,MATCH($AA$1&amp;"#"&amp;$B93,DATABASE!$X$4:$X$2003,0))&amp;"","")</f>
        <v/>
      </c>
      <c r="I93" s="50" t="str">
        <f aca="false">IFERROR(INDEX(DATABASE!$I$4:$I$2003,MATCH($AA$1&amp;"#"&amp;$B93,DATABASE!$X$4:$X$2003,0))&amp;"","")</f>
        <v/>
      </c>
    </row>
    <row r="94" customFormat="false" ht="15" hidden="false" customHeight="false" outlineLevel="0" collapsed="false">
      <c r="B94" s="46" t="n">
        <v>11</v>
      </c>
      <c r="C94" s="47" t="str">
        <f aca="false">IFERROR(INDEX(DATABASE!$B$4:$B$2003,MATCH($AA$1&amp;"#"&amp;$B94,DATABASE!$X$4:$X$2003,0))&amp;"","")</f>
        <v/>
      </c>
      <c r="D94" s="48" t="str">
        <f aca="false">IFERROR(INDEX(DATABASE!$C$4:$C$2003,MATCH($AA$1&amp;"#"&amp;$B94,DATABASE!$X$4:$X$2003,0))&amp;"","")</f>
        <v/>
      </c>
      <c r="E94" s="46" t="str">
        <f aca="false">IFERROR(INDEX(DATABASE!$E$4:$E$2003,MATCH($AA$1&amp;"#"&amp;$B94,DATABASE!$X$4:$X$2003,0))&amp;"","")</f>
        <v/>
      </c>
      <c r="F94" s="47" t="str">
        <f aca="false">IFERROR(INDEX(DATABASE!$N$4:$N$2003,MATCH($AA$1&amp;"#"&amp;$B94,DATABASE!$X$4:$X$2003,0))&amp;"","")</f>
        <v/>
      </c>
      <c r="G94" s="48" t="str">
        <f aca="false">IFERROR(INDEX(DATABASE!$O$4:$O$2003,MATCH($AA$1&amp;"#"&amp;$B94,DATABASE!$X$4:$X$2003,0))&amp;"","")</f>
        <v/>
      </c>
      <c r="H94" s="46" t="str">
        <f aca="false">IFERROR(INDEX(DATABASE!$T$4:$T$2003,MATCH($AA$1&amp;"#"&amp;$B94,DATABASE!$X$4:$X$2003,0))&amp;"","")</f>
        <v/>
      </c>
      <c r="I94" s="47" t="str">
        <f aca="false">IFERROR(INDEX(DATABASE!$I$4:$I$2003,MATCH($AA$1&amp;"#"&amp;$B94,DATABASE!$X$4:$X$2003,0))&amp;"","")</f>
        <v/>
      </c>
    </row>
    <row r="95" customFormat="false" ht="15" hidden="false" customHeight="false" outlineLevel="0" collapsed="false">
      <c r="B95" s="49" t="n">
        <v>12</v>
      </c>
      <c r="C95" s="50" t="str">
        <f aca="false">IFERROR(INDEX(DATABASE!$B$4:$B$2003,MATCH($AA$1&amp;"#"&amp;$B95,DATABASE!$X$4:$X$2003,0))&amp;"","")</f>
        <v/>
      </c>
      <c r="D95" s="51" t="str">
        <f aca="false">IFERROR(INDEX(DATABASE!$C$4:$C$2003,MATCH($AA$1&amp;"#"&amp;$B95,DATABASE!$X$4:$X$2003,0))&amp;"","")</f>
        <v/>
      </c>
      <c r="E95" s="49" t="str">
        <f aca="false">IFERROR(INDEX(DATABASE!$E$4:$E$2003,MATCH($AA$1&amp;"#"&amp;$B95,DATABASE!$X$4:$X$2003,0))&amp;"","")</f>
        <v/>
      </c>
      <c r="F95" s="50" t="str">
        <f aca="false">IFERROR(INDEX(DATABASE!$N$4:$N$2003,MATCH($AA$1&amp;"#"&amp;$B95,DATABASE!$X$4:$X$2003,0))&amp;"","")</f>
        <v/>
      </c>
      <c r="G95" s="51" t="str">
        <f aca="false">IFERROR(INDEX(DATABASE!$O$4:$O$2003,MATCH($AA$1&amp;"#"&amp;$B95,DATABASE!$X$4:$X$2003,0))&amp;"","")</f>
        <v/>
      </c>
      <c r="H95" s="49" t="str">
        <f aca="false">IFERROR(INDEX(DATABASE!$T$4:$T$2003,MATCH($AA$1&amp;"#"&amp;$B95,DATABASE!$X$4:$X$2003,0))&amp;"","")</f>
        <v/>
      </c>
      <c r="I95" s="50" t="str">
        <f aca="false">IFERROR(INDEX(DATABASE!$I$4:$I$2003,MATCH($AA$1&amp;"#"&amp;$B95,DATABASE!$X$4:$X$2003,0))&amp;"","")</f>
        <v/>
      </c>
    </row>
    <row r="96" customFormat="false" ht="15" hidden="false" customHeight="false" outlineLevel="0" collapsed="false">
      <c r="B96" s="46" t="n">
        <v>13</v>
      </c>
      <c r="C96" s="47" t="str">
        <f aca="false">IFERROR(INDEX(DATABASE!$B$4:$B$2003,MATCH($AA$1&amp;"#"&amp;$B96,DATABASE!$X$4:$X$2003,0))&amp;"","")</f>
        <v/>
      </c>
      <c r="D96" s="48" t="str">
        <f aca="false">IFERROR(INDEX(DATABASE!$C$4:$C$2003,MATCH($AA$1&amp;"#"&amp;$B96,DATABASE!$X$4:$X$2003,0))&amp;"","")</f>
        <v/>
      </c>
      <c r="E96" s="46" t="str">
        <f aca="false">IFERROR(INDEX(DATABASE!$E$4:$E$2003,MATCH($AA$1&amp;"#"&amp;$B96,DATABASE!$X$4:$X$2003,0))&amp;"","")</f>
        <v/>
      </c>
      <c r="F96" s="47" t="str">
        <f aca="false">IFERROR(INDEX(DATABASE!$N$4:$N$2003,MATCH($AA$1&amp;"#"&amp;$B96,DATABASE!$X$4:$X$2003,0))&amp;"","")</f>
        <v/>
      </c>
      <c r="G96" s="48" t="str">
        <f aca="false">IFERROR(INDEX(DATABASE!$O$4:$O$2003,MATCH($AA$1&amp;"#"&amp;$B96,DATABASE!$X$4:$X$2003,0))&amp;"","")</f>
        <v/>
      </c>
      <c r="H96" s="46" t="str">
        <f aca="false">IFERROR(INDEX(DATABASE!$T$4:$T$2003,MATCH($AA$1&amp;"#"&amp;$B96,DATABASE!$X$4:$X$2003,0))&amp;"","")</f>
        <v/>
      </c>
      <c r="I96" s="47" t="str">
        <f aca="false">IFERROR(INDEX(DATABASE!$I$4:$I$2003,MATCH($AA$1&amp;"#"&amp;$B96,DATABASE!$X$4:$X$2003,0))&amp;"","")</f>
        <v/>
      </c>
    </row>
    <row r="97" customFormat="false" ht="15" hidden="false" customHeight="false" outlineLevel="0" collapsed="false">
      <c r="B97" s="49" t="n">
        <v>14</v>
      </c>
      <c r="C97" s="50" t="str">
        <f aca="false">IFERROR(INDEX(DATABASE!$B$4:$B$2003,MATCH($AA$1&amp;"#"&amp;$B97,DATABASE!$X$4:$X$2003,0))&amp;"","")</f>
        <v/>
      </c>
      <c r="D97" s="51" t="str">
        <f aca="false">IFERROR(INDEX(DATABASE!$C$4:$C$2003,MATCH($AA$1&amp;"#"&amp;$B97,DATABASE!$X$4:$X$2003,0))&amp;"","")</f>
        <v/>
      </c>
      <c r="E97" s="49" t="str">
        <f aca="false">IFERROR(INDEX(DATABASE!$E$4:$E$2003,MATCH($AA$1&amp;"#"&amp;$B97,DATABASE!$X$4:$X$2003,0))&amp;"","")</f>
        <v/>
      </c>
      <c r="F97" s="50" t="str">
        <f aca="false">IFERROR(INDEX(DATABASE!$N$4:$N$2003,MATCH($AA$1&amp;"#"&amp;$B97,DATABASE!$X$4:$X$2003,0))&amp;"","")</f>
        <v/>
      </c>
      <c r="G97" s="51" t="str">
        <f aca="false">IFERROR(INDEX(DATABASE!$O$4:$O$2003,MATCH($AA$1&amp;"#"&amp;$B97,DATABASE!$X$4:$X$2003,0))&amp;"","")</f>
        <v/>
      </c>
      <c r="H97" s="49" t="str">
        <f aca="false">IFERROR(INDEX(DATABASE!$T$4:$T$2003,MATCH($AA$1&amp;"#"&amp;$B97,DATABASE!$X$4:$X$2003,0))&amp;"","")</f>
        <v/>
      </c>
      <c r="I97" s="50" t="str">
        <f aca="false">IFERROR(INDEX(DATABASE!$I$4:$I$2003,MATCH($AA$1&amp;"#"&amp;$B97,DATABASE!$X$4:$X$2003,0))&amp;"","")</f>
        <v/>
      </c>
    </row>
    <row r="98" customFormat="false" ht="15" hidden="false" customHeight="false" outlineLevel="0" collapsed="false">
      <c r="B98" s="46" t="n">
        <v>15</v>
      </c>
      <c r="C98" s="47" t="str">
        <f aca="false">IFERROR(INDEX(DATABASE!$B$4:$B$2003,MATCH($AA$1&amp;"#"&amp;$B98,DATABASE!$X$4:$X$2003,0))&amp;"","")</f>
        <v/>
      </c>
      <c r="D98" s="48" t="str">
        <f aca="false">IFERROR(INDEX(DATABASE!$C$4:$C$2003,MATCH($AA$1&amp;"#"&amp;$B98,DATABASE!$X$4:$X$2003,0))&amp;"","")</f>
        <v/>
      </c>
      <c r="E98" s="46" t="str">
        <f aca="false">IFERROR(INDEX(DATABASE!$E$4:$E$2003,MATCH($AA$1&amp;"#"&amp;$B98,DATABASE!$X$4:$X$2003,0))&amp;"","")</f>
        <v/>
      </c>
      <c r="F98" s="47" t="str">
        <f aca="false">IFERROR(INDEX(DATABASE!$N$4:$N$2003,MATCH($AA$1&amp;"#"&amp;$B98,DATABASE!$X$4:$X$2003,0))&amp;"","")</f>
        <v/>
      </c>
      <c r="G98" s="48" t="str">
        <f aca="false">IFERROR(INDEX(DATABASE!$O$4:$O$2003,MATCH($AA$1&amp;"#"&amp;$B98,DATABASE!$X$4:$X$2003,0))&amp;"","")</f>
        <v/>
      </c>
      <c r="H98" s="46" t="str">
        <f aca="false">IFERROR(INDEX(DATABASE!$T$4:$T$2003,MATCH($AA$1&amp;"#"&amp;$B98,DATABASE!$X$4:$X$2003,0))&amp;"","")</f>
        <v/>
      </c>
      <c r="I98" s="47" t="str">
        <f aca="false">IFERROR(INDEX(DATABASE!$I$4:$I$2003,MATCH($AA$1&amp;"#"&amp;$B98,DATABASE!$X$4:$X$2003,0))&amp;"","")</f>
        <v/>
      </c>
    </row>
    <row r="99" customFormat="false" ht="15" hidden="false" customHeight="false" outlineLevel="0" collapsed="false">
      <c r="B99" s="49" t="n">
        <v>16</v>
      </c>
      <c r="C99" s="50" t="str">
        <f aca="false">IFERROR(INDEX(DATABASE!$B$4:$B$2003,MATCH($AA$1&amp;"#"&amp;$B99,DATABASE!$X$4:$X$2003,0))&amp;"","")</f>
        <v/>
      </c>
      <c r="D99" s="51" t="str">
        <f aca="false">IFERROR(INDEX(DATABASE!$C$4:$C$2003,MATCH($AA$1&amp;"#"&amp;$B99,DATABASE!$X$4:$X$2003,0))&amp;"","")</f>
        <v/>
      </c>
      <c r="E99" s="49" t="str">
        <f aca="false">IFERROR(INDEX(DATABASE!$E$4:$E$2003,MATCH($AA$1&amp;"#"&amp;$B99,DATABASE!$X$4:$X$2003,0))&amp;"","")</f>
        <v/>
      </c>
      <c r="F99" s="50" t="str">
        <f aca="false">IFERROR(INDEX(DATABASE!$N$4:$N$2003,MATCH($AA$1&amp;"#"&amp;$B99,DATABASE!$X$4:$X$2003,0))&amp;"","")</f>
        <v/>
      </c>
      <c r="G99" s="51" t="str">
        <f aca="false">IFERROR(INDEX(DATABASE!$O$4:$O$2003,MATCH($AA$1&amp;"#"&amp;$B99,DATABASE!$X$4:$X$2003,0))&amp;"","")</f>
        <v/>
      </c>
      <c r="H99" s="49" t="str">
        <f aca="false">IFERROR(INDEX(DATABASE!$T$4:$T$2003,MATCH($AA$1&amp;"#"&amp;$B99,DATABASE!$X$4:$X$2003,0))&amp;"","")</f>
        <v/>
      </c>
      <c r="I99" s="50" t="str">
        <f aca="false">IFERROR(INDEX(DATABASE!$I$4:$I$2003,MATCH($AA$1&amp;"#"&amp;$B99,DATABASE!$X$4:$X$2003,0))&amp;"","")</f>
        <v/>
      </c>
    </row>
    <row r="100" customFormat="false" ht="15" hidden="false" customHeight="false" outlineLevel="0" collapsed="false">
      <c r="B100" s="46" t="n">
        <v>17</v>
      </c>
      <c r="C100" s="47" t="str">
        <f aca="false">IFERROR(INDEX(DATABASE!$B$4:$B$2003,MATCH($AA$1&amp;"#"&amp;$B100,DATABASE!$X$4:$X$2003,0))&amp;"","")</f>
        <v/>
      </c>
      <c r="D100" s="48" t="str">
        <f aca="false">IFERROR(INDEX(DATABASE!$C$4:$C$2003,MATCH($AA$1&amp;"#"&amp;$B100,DATABASE!$X$4:$X$2003,0))&amp;"","")</f>
        <v/>
      </c>
      <c r="E100" s="46" t="str">
        <f aca="false">IFERROR(INDEX(DATABASE!$E$4:$E$2003,MATCH($AA$1&amp;"#"&amp;$B100,DATABASE!$X$4:$X$2003,0))&amp;"","")</f>
        <v/>
      </c>
      <c r="F100" s="47" t="str">
        <f aca="false">IFERROR(INDEX(DATABASE!$N$4:$N$2003,MATCH($AA$1&amp;"#"&amp;$B100,DATABASE!$X$4:$X$2003,0))&amp;"","")</f>
        <v/>
      </c>
      <c r="G100" s="48" t="str">
        <f aca="false">IFERROR(INDEX(DATABASE!$O$4:$O$2003,MATCH($AA$1&amp;"#"&amp;$B100,DATABASE!$X$4:$X$2003,0))&amp;"","")</f>
        <v/>
      </c>
      <c r="H100" s="46" t="str">
        <f aca="false">IFERROR(INDEX(DATABASE!$T$4:$T$2003,MATCH($AA$1&amp;"#"&amp;$B100,DATABASE!$X$4:$X$2003,0))&amp;"","")</f>
        <v/>
      </c>
      <c r="I100" s="47" t="str">
        <f aca="false">IFERROR(INDEX(DATABASE!$I$4:$I$2003,MATCH($AA$1&amp;"#"&amp;$B100,DATABASE!$X$4:$X$2003,0))&amp;"","")</f>
        <v/>
      </c>
    </row>
    <row r="101" customFormat="false" ht="15" hidden="false" customHeight="false" outlineLevel="0" collapsed="false">
      <c r="B101" s="49" t="n">
        <v>18</v>
      </c>
      <c r="C101" s="50" t="str">
        <f aca="false">IFERROR(INDEX(DATABASE!$B$4:$B$2003,MATCH($AA$1&amp;"#"&amp;$B101,DATABASE!$X$4:$X$2003,0))&amp;"","")</f>
        <v/>
      </c>
      <c r="D101" s="51" t="str">
        <f aca="false">IFERROR(INDEX(DATABASE!$C$4:$C$2003,MATCH($AA$1&amp;"#"&amp;$B101,DATABASE!$X$4:$X$2003,0))&amp;"","")</f>
        <v/>
      </c>
      <c r="E101" s="49" t="str">
        <f aca="false">IFERROR(INDEX(DATABASE!$E$4:$E$2003,MATCH($AA$1&amp;"#"&amp;$B101,DATABASE!$X$4:$X$2003,0))&amp;"","")</f>
        <v/>
      </c>
      <c r="F101" s="50" t="str">
        <f aca="false">IFERROR(INDEX(DATABASE!$N$4:$N$2003,MATCH($AA$1&amp;"#"&amp;$B101,DATABASE!$X$4:$X$2003,0))&amp;"","")</f>
        <v/>
      </c>
      <c r="G101" s="51" t="str">
        <f aca="false">IFERROR(INDEX(DATABASE!$O$4:$O$2003,MATCH($AA$1&amp;"#"&amp;$B101,DATABASE!$X$4:$X$2003,0))&amp;"","")</f>
        <v/>
      </c>
      <c r="H101" s="49" t="str">
        <f aca="false">IFERROR(INDEX(DATABASE!$T$4:$T$2003,MATCH($AA$1&amp;"#"&amp;$B101,DATABASE!$X$4:$X$2003,0))&amp;"","")</f>
        <v/>
      </c>
      <c r="I101" s="50" t="str">
        <f aca="false">IFERROR(INDEX(DATABASE!$I$4:$I$2003,MATCH($AA$1&amp;"#"&amp;$B101,DATABASE!$X$4:$X$2003,0))&amp;"","")</f>
        <v/>
      </c>
    </row>
    <row r="102" customFormat="false" ht="15" hidden="false" customHeight="false" outlineLevel="0" collapsed="false">
      <c r="B102" s="46" t="n">
        <v>19</v>
      </c>
      <c r="C102" s="47" t="str">
        <f aca="false">IFERROR(INDEX(DATABASE!$B$4:$B$2003,MATCH($AA$1&amp;"#"&amp;$B102,DATABASE!$X$4:$X$2003,0))&amp;"","")</f>
        <v/>
      </c>
      <c r="D102" s="48" t="str">
        <f aca="false">IFERROR(INDEX(DATABASE!$C$4:$C$2003,MATCH($AA$1&amp;"#"&amp;$B102,DATABASE!$X$4:$X$2003,0))&amp;"","")</f>
        <v/>
      </c>
      <c r="E102" s="46" t="str">
        <f aca="false">IFERROR(INDEX(DATABASE!$E$4:$E$2003,MATCH($AA$1&amp;"#"&amp;$B102,DATABASE!$X$4:$X$2003,0))&amp;"","")</f>
        <v/>
      </c>
      <c r="F102" s="47" t="str">
        <f aca="false">IFERROR(INDEX(DATABASE!$N$4:$N$2003,MATCH($AA$1&amp;"#"&amp;$B102,DATABASE!$X$4:$X$2003,0))&amp;"","")</f>
        <v/>
      </c>
      <c r="G102" s="48" t="str">
        <f aca="false">IFERROR(INDEX(DATABASE!$O$4:$O$2003,MATCH($AA$1&amp;"#"&amp;$B102,DATABASE!$X$4:$X$2003,0))&amp;"","")</f>
        <v/>
      </c>
      <c r="H102" s="46" t="str">
        <f aca="false">IFERROR(INDEX(DATABASE!$T$4:$T$2003,MATCH($AA$1&amp;"#"&amp;$B102,DATABASE!$X$4:$X$2003,0))&amp;"","")</f>
        <v/>
      </c>
      <c r="I102" s="47" t="str">
        <f aca="false">IFERROR(INDEX(DATABASE!$I$4:$I$2003,MATCH($AA$1&amp;"#"&amp;$B102,DATABASE!$X$4:$X$2003,0))&amp;"","")</f>
        <v/>
      </c>
    </row>
    <row r="103" customFormat="false" ht="15" hidden="false" customHeight="false" outlineLevel="0" collapsed="false">
      <c r="B103" s="49" t="n">
        <v>20</v>
      </c>
      <c r="C103" s="50" t="str">
        <f aca="false">IFERROR(INDEX(DATABASE!$B$4:$B$2003,MATCH($AA$1&amp;"#"&amp;$B103,DATABASE!$X$4:$X$2003,0))&amp;"","")</f>
        <v/>
      </c>
      <c r="D103" s="51" t="str">
        <f aca="false">IFERROR(INDEX(DATABASE!$C$4:$C$2003,MATCH($AA$1&amp;"#"&amp;$B103,DATABASE!$X$4:$X$2003,0))&amp;"","")</f>
        <v/>
      </c>
      <c r="E103" s="49" t="str">
        <f aca="false">IFERROR(INDEX(DATABASE!$E$4:$E$2003,MATCH($AA$1&amp;"#"&amp;$B103,DATABASE!$X$4:$X$2003,0))&amp;"","")</f>
        <v/>
      </c>
      <c r="F103" s="50" t="str">
        <f aca="false">IFERROR(INDEX(DATABASE!$N$4:$N$2003,MATCH($AA$1&amp;"#"&amp;$B103,DATABASE!$X$4:$X$2003,0))&amp;"","")</f>
        <v/>
      </c>
      <c r="G103" s="51" t="str">
        <f aca="false">IFERROR(INDEX(DATABASE!$O$4:$O$2003,MATCH($AA$1&amp;"#"&amp;$B103,DATABASE!$X$4:$X$2003,0))&amp;"","")</f>
        <v/>
      </c>
      <c r="H103" s="49" t="str">
        <f aca="false">IFERROR(INDEX(DATABASE!$T$4:$T$2003,MATCH($AA$1&amp;"#"&amp;$B103,DATABASE!$X$4:$X$2003,0))&amp;"","")</f>
        <v/>
      </c>
      <c r="I103" s="50" t="str">
        <f aca="false">IFERROR(INDEX(DATABASE!$I$4:$I$2003,MATCH($AA$1&amp;"#"&amp;$B103,DATABASE!$X$4:$X$2003,0))&amp;"","")</f>
        <v/>
      </c>
    </row>
    <row r="104" customFormat="false" ht="15" hidden="false" customHeight="false" outlineLevel="0" collapsed="false">
      <c r="B104" s="46" t="n">
        <v>21</v>
      </c>
      <c r="C104" s="47" t="str">
        <f aca="false">IFERROR(INDEX(DATABASE!$B$4:$B$2003,MATCH($AA$1&amp;"#"&amp;$B104,DATABASE!$X$4:$X$2003,0))&amp;"","")</f>
        <v/>
      </c>
      <c r="D104" s="48" t="str">
        <f aca="false">IFERROR(INDEX(DATABASE!$C$4:$C$2003,MATCH($AA$1&amp;"#"&amp;$B104,DATABASE!$X$4:$X$2003,0))&amp;"","")</f>
        <v/>
      </c>
      <c r="E104" s="46" t="str">
        <f aca="false">IFERROR(INDEX(DATABASE!$E$4:$E$2003,MATCH($AA$1&amp;"#"&amp;$B104,DATABASE!$X$4:$X$2003,0))&amp;"","")</f>
        <v/>
      </c>
      <c r="F104" s="47" t="str">
        <f aca="false">IFERROR(INDEX(DATABASE!$N$4:$N$2003,MATCH($AA$1&amp;"#"&amp;$B104,DATABASE!$X$4:$X$2003,0))&amp;"","")</f>
        <v/>
      </c>
      <c r="G104" s="48" t="str">
        <f aca="false">IFERROR(INDEX(DATABASE!$O$4:$O$2003,MATCH($AA$1&amp;"#"&amp;$B104,DATABASE!$X$4:$X$2003,0))&amp;"","")</f>
        <v/>
      </c>
      <c r="H104" s="46" t="str">
        <f aca="false">IFERROR(INDEX(DATABASE!$T$4:$T$2003,MATCH($AA$1&amp;"#"&amp;$B104,DATABASE!$X$4:$X$2003,0))&amp;"","")</f>
        <v/>
      </c>
      <c r="I104" s="47" t="str">
        <f aca="false">IFERROR(INDEX(DATABASE!$I$4:$I$2003,MATCH($AA$1&amp;"#"&amp;$B104,DATABASE!$X$4:$X$2003,0))&amp;"","")</f>
        <v/>
      </c>
    </row>
    <row r="105" customFormat="false" ht="15" hidden="false" customHeight="false" outlineLevel="0" collapsed="false">
      <c r="B105" s="49" t="n">
        <v>22</v>
      </c>
      <c r="C105" s="50" t="str">
        <f aca="false">IFERROR(INDEX(DATABASE!$B$4:$B$2003,MATCH($AA$1&amp;"#"&amp;$B105,DATABASE!$X$4:$X$2003,0))&amp;"","")</f>
        <v/>
      </c>
      <c r="D105" s="51" t="str">
        <f aca="false">IFERROR(INDEX(DATABASE!$C$4:$C$2003,MATCH($AA$1&amp;"#"&amp;$B105,DATABASE!$X$4:$X$2003,0))&amp;"","")</f>
        <v/>
      </c>
      <c r="E105" s="49" t="str">
        <f aca="false">IFERROR(INDEX(DATABASE!$E$4:$E$2003,MATCH($AA$1&amp;"#"&amp;$B105,DATABASE!$X$4:$X$2003,0))&amp;"","")</f>
        <v/>
      </c>
      <c r="F105" s="50" t="str">
        <f aca="false">IFERROR(INDEX(DATABASE!$N$4:$N$2003,MATCH($AA$1&amp;"#"&amp;$B105,DATABASE!$X$4:$X$2003,0))&amp;"","")</f>
        <v/>
      </c>
      <c r="G105" s="51" t="str">
        <f aca="false">IFERROR(INDEX(DATABASE!$O$4:$O$2003,MATCH($AA$1&amp;"#"&amp;$B105,DATABASE!$X$4:$X$2003,0))&amp;"","")</f>
        <v/>
      </c>
      <c r="H105" s="49" t="str">
        <f aca="false">IFERROR(INDEX(DATABASE!$T$4:$T$2003,MATCH($AA$1&amp;"#"&amp;$B105,DATABASE!$X$4:$X$2003,0))&amp;"","")</f>
        <v/>
      </c>
      <c r="I105" s="50" t="str">
        <f aca="false">IFERROR(INDEX(DATABASE!$I$4:$I$2003,MATCH($AA$1&amp;"#"&amp;$B105,DATABASE!$X$4:$X$2003,0))&amp;"","")</f>
        <v/>
      </c>
    </row>
    <row r="106" customFormat="false" ht="15" hidden="false" customHeight="false" outlineLevel="0" collapsed="false">
      <c r="B106" s="46" t="n">
        <v>23</v>
      </c>
      <c r="C106" s="47" t="str">
        <f aca="false">IFERROR(INDEX(DATABASE!$B$4:$B$2003,MATCH($AA$1&amp;"#"&amp;$B106,DATABASE!$X$4:$X$2003,0))&amp;"","")</f>
        <v/>
      </c>
      <c r="D106" s="48" t="str">
        <f aca="false">IFERROR(INDEX(DATABASE!$C$4:$C$2003,MATCH($AA$1&amp;"#"&amp;$B106,DATABASE!$X$4:$X$2003,0))&amp;"","")</f>
        <v/>
      </c>
      <c r="E106" s="46" t="str">
        <f aca="false">IFERROR(INDEX(DATABASE!$E$4:$E$2003,MATCH($AA$1&amp;"#"&amp;$B106,DATABASE!$X$4:$X$2003,0))&amp;"","")</f>
        <v/>
      </c>
      <c r="F106" s="47" t="str">
        <f aca="false">IFERROR(INDEX(DATABASE!$N$4:$N$2003,MATCH($AA$1&amp;"#"&amp;$B106,DATABASE!$X$4:$X$2003,0))&amp;"","")</f>
        <v/>
      </c>
      <c r="G106" s="48" t="str">
        <f aca="false">IFERROR(INDEX(DATABASE!$O$4:$O$2003,MATCH($AA$1&amp;"#"&amp;$B106,DATABASE!$X$4:$X$2003,0))&amp;"","")</f>
        <v/>
      </c>
      <c r="H106" s="46" t="str">
        <f aca="false">IFERROR(INDEX(DATABASE!$T$4:$T$2003,MATCH($AA$1&amp;"#"&amp;$B106,DATABASE!$X$4:$X$2003,0))&amp;"","")</f>
        <v/>
      </c>
      <c r="I106" s="47" t="str">
        <f aca="false">IFERROR(INDEX(DATABASE!$I$4:$I$2003,MATCH($AA$1&amp;"#"&amp;$B106,DATABASE!$X$4:$X$2003,0))&amp;"","")</f>
        <v/>
      </c>
    </row>
    <row r="107" customFormat="false" ht="15" hidden="false" customHeight="false" outlineLevel="0" collapsed="false">
      <c r="B107" s="49" t="n">
        <v>24</v>
      </c>
      <c r="C107" s="50" t="str">
        <f aca="false">IFERROR(INDEX(DATABASE!$B$4:$B$2003,MATCH($AA$1&amp;"#"&amp;$B107,DATABASE!$X$4:$X$2003,0))&amp;"","")</f>
        <v/>
      </c>
      <c r="D107" s="51" t="str">
        <f aca="false">IFERROR(INDEX(DATABASE!$C$4:$C$2003,MATCH($AA$1&amp;"#"&amp;$B107,DATABASE!$X$4:$X$2003,0))&amp;"","")</f>
        <v/>
      </c>
      <c r="E107" s="49" t="str">
        <f aca="false">IFERROR(INDEX(DATABASE!$E$4:$E$2003,MATCH($AA$1&amp;"#"&amp;$B107,DATABASE!$X$4:$X$2003,0))&amp;"","")</f>
        <v/>
      </c>
      <c r="F107" s="50" t="str">
        <f aca="false">IFERROR(INDEX(DATABASE!$N$4:$N$2003,MATCH($AA$1&amp;"#"&amp;$B107,DATABASE!$X$4:$X$2003,0))&amp;"","")</f>
        <v/>
      </c>
      <c r="G107" s="51" t="str">
        <f aca="false">IFERROR(INDEX(DATABASE!$O$4:$O$2003,MATCH($AA$1&amp;"#"&amp;$B107,DATABASE!$X$4:$X$2003,0))&amp;"","")</f>
        <v/>
      </c>
      <c r="H107" s="49" t="str">
        <f aca="false">IFERROR(INDEX(DATABASE!$T$4:$T$2003,MATCH($AA$1&amp;"#"&amp;$B107,DATABASE!$X$4:$X$2003,0))&amp;"","")</f>
        <v/>
      </c>
      <c r="I107" s="50" t="str">
        <f aca="false">IFERROR(INDEX(DATABASE!$I$4:$I$2003,MATCH($AA$1&amp;"#"&amp;$B107,DATABASE!$X$4:$X$2003,0))&amp;"","")</f>
        <v/>
      </c>
    </row>
    <row r="108" customFormat="false" ht="15" hidden="false" customHeight="false" outlineLevel="0" collapsed="false">
      <c r="B108" s="46" t="n">
        <v>25</v>
      </c>
      <c r="C108" s="47" t="str">
        <f aca="false">IFERROR(INDEX(DATABASE!$B$4:$B$2003,MATCH($AA$1&amp;"#"&amp;$B108,DATABASE!$X$4:$X$2003,0))&amp;"","")</f>
        <v/>
      </c>
      <c r="D108" s="48" t="str">
        <f aca="false">IFERROR(INDEX(DATABASE!$C$4:$C$2003,MATCH($AA$1&amp;"#"&amp;$B108,DATABASE!$X$4:$X$2003,0))&amp;"","")</f>
        <v/>
      </c>
      <c r="E108" s="46" t="str">
        <f aca="false">IFERROR(INDEX(DATABASE!$E$4:$E$2003,MATCH($AA$1&amp;"#"&amp;$B108,DATABASE!$X$4:$X$2003,0))&amp;"","")</f>
        <v/>
      </c>
      <c r="F108" s="47" t="str">
        <f aca="false">IFERROR(INDEX(DATABASE!$N$4:$N$2003,MATCH($AA$1&amp;"#"&amp;$B108,DATABASE!$X$4:$X$2003,0))&amp;"","")</f>
        <v/>
      </c>
      <c r="G108" s="48" t="str">
        <f aca="false">IFERROR(INDEX(DATABASE!$O$4:$O$2003,MATCH($AA$1&amp;"#"&amp;$B108,DATABASE!$X$4:$X$2003,0))&amp;"","")</f>
        <v/>
      </c>
      <c r="H108" s="46" t="str">
        <f aca="false">IFERROR(INDEX(DATABASE!$T$4:$T$2003,MATCH($AA$1&amp;"#"&amp;$B108,DATABASE!$X$4:$X$2003,0))&amp;"","")</f>
        <v/>
      </c>
      <c r="I108" s="47" t="str">
        <f aca="false">IFERROR(INDEX(DATABASE!$I$4:$I$2003,MATCH($AA$1&amp;"#"&amp;$B108,DATABASE!$X$4:$X$2003,0))&amp;"","")</f>
        <v/>
      </c>
    </row>
    <row r="109" customFormat="false" ht="15" hidden="false" customHeight="false" outlineLevel="0" collapsed="false">
      <c r="B109" s="49" t="n">
        <v>26</v>
      </c>
      <c r="C109" s="50" t="str">
        <f aca="false">IFERROR(INDEX(DATABASE!$B$4:$B$2003,MATCH($AA$1&amp;"#"&amp;$B109,DATABASE!$X$4:$X$2003,0))&amp;"","")</f>
        <v/>
      </c>
      <c r="D109" s="51" t="str">
        <f aca="false">IFERROR(INDEX(DATABASE!$C$4:$C$2003,MATCH($AA$1&amp;"#"&amp;$B109,DATABASE!$X$4:$X$2003,0))&amp;"","")</f>
        <v/>
      </c>
      <c r="E109" s="49" t="str">
        <f aca="false">IFERROR(INDEX(DATABASE!$E$4:$E$2003,MATCH($AA$1&amp;"#"&amp;$B109,DATABASE!$X$4:$X$2003,0))&amp;"","")</f>
        <v/>
      </c>
      <c r="F109" s="50" t="str">
        <f aca="false">IFERROR(INDEX(DATABASE!$N$4:$N$2003,MATCH($AA$1&amp;"#"&amp;$B109,DATABASE!$X$4:$X$2003,0))&amp;"","")</f>
        <v/>
      </c>
      <c r="G109" s="51" t="str">
        <f aca="false">IFERROR(INDEX(DATABASE!$O$4:$O$2003,MATCH($AA$1&amp;"#"&amp;$B109,DATABASE!$X$4:$X$2003,0))&amp;"","")</f>
        <v/>
      </c>
      <c r="H109" s="49" t="str">
        <f aca="false">IFERROR(INDEX(DATABASE!$T$4:$T$2003,MATCH($AA$1&amp;"#"&amp;$B109,DATABASE!$X$4:$X$2003,0))&amp;"","")</f>
        <v/>
      </c>
      <c r="I109" s="50" t="str">
        <f aca="false">IFERROR(INDEX(DATABASE!$I$4:$I$2003,MATCH($AA$1&amp;"#"&amp;$B109,DATABASE!$X$4:$X$2003,0))&amp;"","")</f>
        <v/>
      </c>
    </row>
    <row r="110" customFormat="false" ht="15" hidden="false" customHeight="false" outlineLevel="0" collapsed="false">
      <c r="B110" s="46" t="n">
        <v>27</v>
      </c>
      <c r="C110" s="47" t="str">
        <f aca="false">IFERROR(INDEX(DATABASE!$B$4:$B$2003,MATCH($AA$1&amp;"#"&amp;$B110,DATABASE!$X$4:$X$2003,0))&amp;"","")</f>
        <v/>
      </c>
      <c r="D110" s="48" t="str">
        <f aca="false">IFERROR(INDEX(DATABASE!$C$4:$C$2003,MATCH($AA$1&amp;"#"&amp;$B110,DATABASE!$X$4:$X$2003,0))&amp;"","")</f>
        <v/>
      </c>
      <c r="E110" s="46" t="str">
        <f aca="false">IFERROR(INDEX(DATABASE!$E$4:$E$2003,MATCH($AA$1&amp;"#"&amp;$B110,DATABASE!$X$4:$X$2003,0))&amp;"","")</f>
        <v/>
      </c>
      <c r="F110" s="47" t="str">
        <f aca="false">IFERROR(INDEX(DATABASE!$N$4:$N$2003,MATCH($AA$1&amp;"#"&amp;$B110,DATABASE!$X$4:$X$2003,0))&amp;"","")</f>
        <v/>
      </c>
      <c r="G110" s="48" t="str">
        <f aca="false">IFERROR(INDEX(DATABASE!$O$4:$O$2003,MATCH($AA$1&amp;"#"&amp;$B110,DATABASE!$X$4:$X$2003,0))&amp;"","")</f>
        <v/>
      </c>
      <c r="H110" s="46" t="str">
        <f aca="false">IFERROR(INDEX(DATABASE!$T$4:$T$2003,MATCH($AA$1&amp;"#"&amp;$B110,DATABASE!$X$4:$X$2003,0))&amp;"","")</f>
        <v/>
      </c>
      <c r="I110" s="47" t="str">
        <f aca="false">IFERROR(INDEX(DATABASE!$I$4:$I$2003,MATCH($AA$1&amp;"#"&amp;$B110,DATABASE!$X$4:$X$2003,0))&amp;"","")</f>
        <v/>
      </c>
    </row>
    <row r="111" customFormat="false" ht="15" hidden="false" customHeight="false" outlineLevel="0" collapsed="false">
      <c r="B111" s="49" t="n">
        <v>28</v>
      </c>
      <c r="C111" s="50" t="str">
        <f aca="false">IFERROR(INDEX(DATABASE!$B$4:$B$2003,MATCH($AA$1&amp;"#"&amp;$B111,DATABASE!$X$4:$X$2003,0))&amp;"","")</f>
        <v/>
      </c>
      <c r="D111" s="51" t="str">
        <f aca="false">IFERROR(INDEX(DATABASE!$C$4:$C$2003,MATCH($AA$1&amp;"#"&amp;$B111,DATABASE!$X$4:$X$2003,0))&amp;"","")</f>
        <v/>
      </c>
      <c r="E111" s="49" t="str">
        <f aca="false">IFERROR(INDEX(DATABASE!$E$4:$E$2003,MATCH($AA$1&amp;"#"&amp;$B111,DATABASE!$X$4:$X$2003,0))&amp;"","")</f>
        <v/>
      </c>
      <c r="F111" s="50" t="str">
        <f aca="false">IFERROR(INDEX(DATABASE!$N$4:$N$2003,MATCH($AA$1&amp;"#"&amp;$B111,DATABASE!$X$4:$X$2003,0))&amp;"","")</f>
        <v/>
      </c>
      <c r="G111" s="51" t="str">
        <f aca="false">IFERROR(INDEX(DATABASE!$O$4:$O$2003,MATCH($AA$1&amp;"#"&amp;$B111,DATABASE!$X$4:$X$2003,0))&amp;"","")</f>
        <v/>
      </c>
      <c r="H111" s="49" t="str">
        <f aca="false">IFERROR(INDEX(DATABASE!$T$4:$T$2003,MATCH($AA$1&amp;"#"&amp;$B111,DATABASE!$X$4:$X$2003,0))&amp;"","")</f>
        <v/>
      </c>
      <c r="I111" s="50" t="str">
        <f aca="false">IFERROR(INDEX(DATABASE!$I$4:$I$2003,MATCH($AA$1&amp;"#"&amp;$B111,DATABASE!$X$4:$X$2003,0))&amp;"","")</f>
        <v/>
      </c>
    </row>
    <row r="112" customFormat="false" ht="15" hidden="false" customHeight="false" outlineLevel="0" collapsed="false">
      <c r="B112" s="46" t="n">
        <v>29</v>
      </c>
      <c r="C112" s="47" t="str">
        <f aca="false">IFERROR(INDEX(DATABASE!$B$4:$B$2003,MATCH($AA$1&amp;"#"&amp;$B112,DATABASE!$X$4:$X$2003,0))&amp;"","")</f>
        <v/>
      </c>
      <c r="D112" s="48" t="str">
        <f aca="false">IFERROR(INDEX(DATABASE!$C$4:$C$2003,MATCH($AA$1&amp;"#"&amp;$B112,DATABASE!$X$4:$X$2003,0))&amp;"","")</f>
        <v/>
      </c>
      <c r="E112" s="46" t="str">
        <f aca="false">IFERROR(INDEX(DATABASE!$E$4:$E$2003,MATCH($AA$1&amp;"#"&amp;$B112,DATABASE!$X$4:$X$2003,0))&amp;"","")</f>
        <v/>
      </c>
      <c r="F112" s="47" t="str">
        <f aca="false">IFERROR(INDEX(DATABASE!$N$4:$N$2003,MATCH($AA$1&amp;"#"&amp;$B112,DATABASE!$X$4:$X$2003,0))&amp;"","")</f>
        <v/>
      </c>
      <c r="G112" s="48" t="str">
        <f aca="false">IFERROR(INDEX(DATABASE!$O$4:$O$2003,MATCH($AA$1&amp;"#"&amp;$B112,DATABASE!$X$4:$X$2003,0))&amp;"","")</f>
        <v/>
      </c>
      <c r="H112" s="46" t="str">
        <f aca="false">IFERROR(INDEX(DATABASE!$T$4:$T$2003,MATCH($AA$1&amp;"#"&amp;$B112,DATABASE!$X$4:$X$2003,0))&amp;"","")</f>
        <v/>
      </c>
      <c r="I112" s="47" t="str">
        <f aca="false">IFERROR(INDEX(DATABASE!$I$4:$I$2003,MATCH($AA$1&amp;"#"&amp;$B112,DATABASE!$X$4:$X$2003,0))&amp;"","")</f>
        <v/>
      </c>
    </row>
    <row r="113" customFormat="false" ht="15" hidden="false" customHeight="false" outlineLevel="0" collapsed="false">
      <c r="B113" s="49" t="n">
        <v>30</v>
      </c>
      <c r="C113" s="50" t="str">
        <f aca="false">IFERROR(INDEX(DATABASE!$B$4:$B$2003,MATCH($AA$1&amp;"#"&amp;$B113,DATABASE!$X$4:$X$2003,0))&amp;"","")</f>
        <v/>
      </c>
      <c r="D113" s="51" t="str">
        <f aca="false">IFERROR(INDEX(DATABASE!$C$4:$C$2003,MATCH($AA$1&amp;"#"&amp;$B113,DATABASE!$X$4:$X$2003,0))&amp;"","")</f>
        <v/>
      </c>
      <c r="E113" s="49" t="str">
        <f aca="false">IFERROR(INDEX(DATABASE!$E$4:$E$2003,MATCH($AA$1&amp;"#"&amp;$B113,DATABASE!$X$4:$X$2003,0))&amp;"","")</f>
        <v/>
      </c>
      <c r="F113" s="50" t="str">
        <f aca="false">IFERROR(INDEX(DATABASE!$N$4:$N$2003,MATCH($AA$1&amp;"#"&amp;$B113,DATABASE!$X$4:$X$2003,0))&amp;"","")</f>
        <v/>
      </c>
      <c r="G113" s="51" t="str">
        <f aca="false">IFERROR(INDEX(DATABASE!$O$4:$O$2003,MATCH($AA$1&amp;"#"&amp;$B113,DATABASE!$X$4:$X$2003,0))&amp;"","")</f>
        <v/>
      </c>
      <c r="H113" s="49" t="str">
        <f aca="false">IFERROR(INDEX(DATABASE!$T$4:$T$2003,MATCH($AA$1&amp;"#"&amp;$B113,DATABASE!$X$4:$X$2003,0))&amp;"","")</f>
        <v/>
      </c>
      <c r="I113" s="50" t="str">
        <f aca="false">IFERROR(INDEX(DATABASE!$I$4:$I$2003,MATCH($AA$1&amp;"#"&amp;$B113,DATABASE!$X$4:$X$2003,0))&amp;"","")</f>
        <v/>
      </c>
    </row>
    <row r="114" customFormat="false" ht="15" hidden="false" customHeight="false" outlineLevel="0" collapsed="false">
      <c r="B114" s="46" t="n">
        <v>31</v>
      </c>
      <c r="C114" s="47" t="str">
        <f aca="false">IFERROR(INDEX(DATABASE!$B$4:$B$2003,MATCH($AA$1&amp;"#"&amp;$B114,DATABASE!$X$4:$X$2003,0))&amp;"","")</f>
        <v/>
      </c>
      <c r="D114" s="48" t="str">
        <f aca="false">IFERROR(INDEX(DATABASE!$C$4:$C$2003,MATCH($AA$1&amp;"#"&amp;$B114,DATABASE!$X$4:$X$2003,0))&amp;"","")</f>
        <v/>
      </c>
      <c r="E114" s="46" t="str">
        <f aca="false">IFERROR(INDEX(DATABASE!$E$4:$E$2003,MATCH($AA$1&amp;"#"&amp;$B114,DATABASE!$X$4:$X$2003,0))&amp;"","")</f>
        <v/>
      </c>
      <c r="F114" s="47" t="str">
        <f aca="false">IFERROR(INDEX(DATABASE!$N$4:$N$2003,MATCH($AA$1&amp;"#"&amp;$B114,DATABASE!$X$4:$X$2003,0))&amp;"","")</f>
        <v/>
      </c>
      <c r="G114" s="48" t="str">
        <f aca="false">IFERROR(INDEX(DATABASE!$O$4:$O$2003,MATCH($AA$1&amp;"#"&amp;$B114,DATABASE!$X$4:$X$2003,0))&amp;"","")</f>
        <v/>
      </c>
      <c r="H114" s="46" t="str">
        <f aca="false">IFERROR(INDEX(DATABASE!$T$4:$T$2003,MATCH($AA$1&amp;"#"&amp;$B114,DATABASE!$X$4:$X$2003,0))&amp;"","")</f>
        <v/>
      </c>
      <c r="I114" s="47" t="str">
        <f aca="false">IFERROR(INDEX(DATABASE!$I$4:$I$2003,MATCH($AA$1&amp;"#"&amp;$B114,DATABASE!$X$4:$X$2003,0))&amp;"","")</f>
        <v/>
      </c>
    </row>
    <row r="115" customFormat="false" ht="15" hidden="false" customHeight="false" outlineLevel="0" collapsed="false">
      <c r="B115" s="49" t="n">
        <v>32</v>
      </c>
      <c r="C115" s="50" t="str">
        <f aca="false">IFERROR(INDEX(DATABASE!$B$4:$B$2003,MATCH($AA$1&amp;"#"&amp;$B115,DATABASE!$X$4:$X$2003,0))&amp;"","")</f>
        <v/>
      </c>
      <c r="D115" s="51" t="str">
        <f aca="false">IFERROR(INDEX(DATABASE!$C$4:$C$2003,MATCH($AA$1&amp;"#"&amp;$B115,DATABASE!$X$4:$X$2003,0))&amp;"","")</f>
        <v/>
      </c>
      <c r="E115" s="49" t="str">
        <f aca="false">IFERROR(INDEX(DATABASE!$E$4:$E$2003,MATCH($AA$1&amp;"#"&amp;$B115,DATABASE!$X$4:$X$2003,0))&amp;"","")</f>
        <v/>
      </c>
      <c r="F115" s="50" t="str">
        <f aca="false">IFERROR(INDEX(DATABASE!$N$4:$N$2003,MATCH($AA$1&amp;"#"&amp;$B115,DATABASE!$X$4:$X$2003,0))&amp;"","")</f>
        <v/>
      </c>
      <c r="G115" s="51" t="str">
        <f aca="false">IFERROR(INDEX(DATABASE!$O$4:$O$2003,MATCH($AA$1&amp;"#"&amp;$B115,DATABASE!$X$4:$X$2003,0))&amp;"","")</f>
        <v/>
      </c>
      <c r="H115" s="49" t="str">
        <f aca="false">IFERROR(INDEX(DATABASE!$T$4:$T$2003,MATCH($AA$1&amp;"#"&amp;$B115,DATABASE!$X$4:$X$2003,0))&amp;"","")</f>
        <v/>
      </c>
      <c r="I115" s="50" t="str">
        <f aca="false">IFERROR(INDEX(DATABASE!$I$4:$I$2003,MATCH($AA$1&amp;"#"&amp;$B115,DATABASE!$X$4:$X$2003,0))&amp;"","")</f>
        <v/>
      </c>
    </row>
    <row r="116" customFormat="false" ht="15" hidden="false" customHeight="false" outlineLevel="0" collapsed="false">
      <c r="B116" s="46" t="n">
        <v>33</v>
      </c>
      <c r="C116" s="47" t="str">
        <f aca="false">IFERROR(INDEX(DATABASE!$B$4:$B$2003,MATCH($AA$1&amp;"#"&amp;$B116,DATABASE!$X$4:$X$2003,0))&amp;"","")</f>
        <v/>
      </c>
      <c r="D116" s="48" t="str">
        <f aca="false">IFERROR(INDEX(DATABASE!$C$4:$C$2003,MATCH($AA$1&amp;"#"&amp;$B116,DATABASE!$X$4:$X$2003,0))&amp;"","")</f>
        <v/>
      </c>
      <c r="E116" s="46" t="str">
        <f aca="false">IFERROR(INDEX(DATABASE!$E$4:$E$2003,MATCH($AA$1&amp;"#"&amp;$B116,DATABASE!$X$4:$X$2003,0))&amp;"","")</f>
        <v/>
      </c>
      <c r="F116" s="47" t="str">
        <f aca="false">IFERROR(INDEX(DATABASE!$N$4:$N$2003,MATCH($AA$1&amp;"#"&amp;$B116,DATABASE!$X$4:$X$2003,0))&amp;"","")</f>
        <v/>
      </c>
      <c r="G116" s="48" t="str">
        <f aca="false">IFERROR(INDEX(DATABASE!$O$4:$O$2003,MATCH($AA$1&amp;"#"&amp;$B116,DATABASE!$X$4:$X$2003,0))&amp;"","")</f>
        <v/>
      </c>
      <c r="H116" s="46" t="str">
        <f aca="false">IFERROR(INDEX(DATABASE!$T$4:$T$2003,MATCH($AA$1&amp;"#"&amp;$B116,DATABASE!$X$4:$X$2003,0))&amp;"","")</f>
        <v/>
      </c>
      <c r="I116" s="47" t="str">
        <f aca="false">IFERROR(INDEX(DATABASE!$I$4:$I$2003,MATCH($AA$1&amp;"#"&amp;$B116,DATABASE!$X$4:$X$2003,0))&amp;"","")</f>
        <v/>
      </c>
    </row>
    <row r="117" customFormat="false" ht="15" hidden="false" customHeight="false" outlineLevel="0" collapsed="false">
      <c r="B117" s="49" t="n">
        <v>34</v>
      </c>
      <c r="C117" s="50" t="str">
        <f aca="false">IFERROR(INDEX(DATABASE!$B$4:$B$2003,MATCH($AA$1&amp;"#"&amp;$B117,DATABASE!$X$4:$X$2003,0))&amp;"","")</f>
        <v/>
      </c>
      <c r="D117" s="51" t="str">
        <f aca="false">IFERROR(INDEX(DATABASE!$C$4:$C$2003,MATCH($AA$1&amp;"#"&amp;$B117,DATABASE!$X$4:$X$2003,0))&amp;"","")</f>
        <v/>
      </c>
      <c r="E117" s="49" t="str">
        <f aca="false">IFERROR(INDEX(DATABASE!$E$4:$E$2003,MATCH($AA$1&amp;"#"&amp;$B117,DATABASE!$X$4:$X$2003,0))&amp;"","")</f>
        <v/>
      </c>
      <c r="F117" s="50" t="str">
        <f aca="false">IFERROR(INDEX(DATABASE!$N$4:$N$2003,MATCH($AA$1&amp;"#"&amp;$B117,DATABASE!$X$4:$X$2003,0))&amp;"","")</f>
        <v/>
      </c>
      <c r="G117" s="51" t="str">
        <f aca="false">IFERROR(INDEX(DATABASE!$O$4:$O$2003,MATCH($AA$1&amp;"#"&amp;$B117,DATABASE!$X$4:$X$2003,0))&amp;"","")</f>
        <v/>
      </c>
      <c r="H117" s="49" t="str">
        <f aca="false">IFERROR(INDEX(DATABASE!$T$4:$T$2003,MATCH($AA$1&amp;"#"&amp;$B117,DATABASE!$X$4:$X$2003,0))&amp;"","")</f>
        <v/>
      </c>
      <c r="I117" s="50" t="str">
        <f aca="false">IFERROR(INDEX(DATABASE!$I$4:$I$2003,MATCH($AA$1&amp;"#"&amp;$B117,DATABASE!$X$4:$X$2003,0))&amp;"","")</f>
        <v/>
      </c>
    </row>
    <row r="118" customFormat="false" ht="15" hidden="false" customHeight="false" outlineLevel="0" collapsed="false">
      <c r="B118" s="46" t="n">
        <v>35</v>
      </c>
      <c r="C118" s="47" t="str">
        <f aca="false">IFERROR(INDEX(DATABASE!$B$4:$B$2003,MATCH($AA$1&amp;"#"&amp;$B118,DATABASE!$X$4:$X$2003,0))&amp;"","")</f>
        <v/>
      </c>
      <c r="D118" s="48" t="str">
        <f aca="false">IFERROR(INDEX(DATABASE!$C$4:$C$2003,MATCH($AA$1&amp;"#"&amp;$B118,DATABASE!$X$4:$X$2003,0))&amp;"","")</f>
        <v/>
      </c>
      <c r="E118" s="46" t="str">
        <f aca="false">IFERROR(INDEX(DATABASE!$E$4:$E$2003,MATCH($AA$1&amp;"#"&amp;$B118,DATABASE!$X$4:$X$2003,0))&amp;"","")</f>
        <v/>
      </c>
      <c r="F118" s="47" t="str">
        <f aca="false">IFERROR(INDEX(DATABASE!$N$4:$N$2003,MATCH($AA$1&amp;"#"&amp;$B118,DATABASE!$X$4:$X$2003,0))&amp;"","")</f>
        <v/>
      </c>
      <c r="G118" s="48" t="str">
        <f aca="false">IFERROR(INDEX(DATABASE!$O$4:$O$2003,MATCH($AA$1&amp;"#"&amp;$B118,DATABASE!$X$4:$X$2003,0))&amp;"","")</f>
        <v/>
      </c>
      <c r="H118" s="46" t="str">
        <f aca="false">IFERROR(INDEX(DATABASE!$T$4:$T$2003,MATCH($AA$1&amp;"#"&amp;$B118,DATABASE!$X$4:$X$2003,0))&amp;"","")</f>
        <v/>
      </c>
      <c r="I118" s="47" t="str">
        <f aca="false">IFERROR(INDEX(DATABASE!$I$4:$I$2003,MATCH($AA$1&amp;"#"&amp;$B118,DATABASE!$X$4:$X$2003,0))&amp;"","")</f>
        <v/>
      </c>
    </row>
    <row r="119" customFormat="false" ht="15" hidden="false" customHeight="false" outlineLevel="0" collapsed="false">
      <c r="B119" s="49" t="n">
        <v>36</v>
      </c>
      <c r="C119" s="50" t="str">
        <f aca="false">IFERROR(INDEX(DATABASE!$B$4:$B$2003,MATCH($AA$1&amp;"#"&amp;$B119,DATABASE!$X$4:$X$2003,0))&amp;"","")</f>
        <v/>
      </c>
      <c r="D119" s="51" t="str">
        <f aca="false">IFERROR(INDEX(DATABASE!$C$4:$C$2003,MATCH($AA$1&amp;"#"&amp;$B119,DATABASE!$X$4:$X$2003,0))&amp;"","")</f>
        <v/>
      </c>
      <c r="E119" s="49" t="str">
        <f aca="false">IFERROR(INDEX(DATABASE!$E$4:$E$2003,MATCH($AA$1&amp;"#"&amp;$B119,DATABASE!$X$4:$X$2003,0))&amp;"","")</f>
        <v/>
      </c>
      <c r="F119" s="50" t="str">
        <f aca="false">IFERROR(INDEX(DATABASE!$N$4:$N$2003,MATCH($AA$1&amp;"#"&amp;$B119,DATABASE!$X$4:$X$2003,0))&amp;"","")</f>
        <v/>
      </c>
      <c r="G119" s="51" t="str">
        <f aca="false">IFERROR(INDEX(DATABASE!$O$4:$O$2003,MATCH($AA$1&amp;"#"&amp;$B119,DATABASE!$X$4:$X$2003,0))&amp;"","")</f>
        <v/>
      </c>
      <c r="H119" s="49" t="str">
        <f aca="false">IFERROR(INDEX(DATABASE!$T$4:$T$2003,MATCH($AA$1&amp;"#"&amp;$B119,DATABASE!$X$4:$X$2003,0))&amp;"","")</f>
        <v/>
      </c>
      <c r="I119" s="50" t="str">
        <f aca="false">IFERROR(INDEX(DATABASE!$I$4:$I$2003,MATCH($AA$1&amp;"#"&amp;$B119,DATABASE!$X$4:$X$2003,0))&amp;"","")</f>
        <v/>
      </c>
    </row>
    <row r="120" customFormat="false" ht="15" hidden="false" customHeight="false" outlineLevel="0" collapsed="false">
      <c r="B120" s="46" t="n">
        <v>37</v>
      </c>
      <c r="C120" s="47" t="str">
        <f aca="false">IFERROR(INDEX(DATABASE!$B$4:$B$2003,MATCH($AA$1&amp;"#"&amp;$B120,DATABASE!$X$4:$X$2003,0))&amp;"","")</f>
        <v/>
      </c>
      <c r="D120" s="48" t="str">
        <f aca="false">IFERROR(INDEX(DATABASE!$C$4:$C$2003,MATCH($AA$1&amp;"#"&amp;$B120,DATABASE!$X$4:$X$2003,0))&amp;"","")</f>
        <v/>
      </c>
      <c r="E120" s="46" t="str">
        <f aca="false">IFERROR(INDEX(DATABASE!$E$4:$E$2003,MATCH($AA$1&amp;"#"&amp;$B120,DATABASE!$X$4:$X$2003,0))&amp;"","")</f>
        <v/>
      </c>
      <c r="F120" s="47" t="str">
        <f aca="false">IFERROR(INDEX(DATABASE!$N$4:$N$2003,MATCH($AA$1&amp;"#"&amp;$B120,DATABASE!$X$4:$X$2003,0))&amp;"","")</f>
        <v/>
      </c>
      <c r="G120" s="48" t="str">
        <f aca="false">IFERROR(INDEX(DATABASE!$O$4:$O$2003,MATCH($AA$1&amp;"#"&amp;$B120,DATABASE!$X$4:$X$2003,0))&amp;"","")</f>
        <v/>
      </c>
      <c r="H120" s="46" t="str">
        <f aca="false">IFERROR(INDEX(DATABASE!$T$4:$T$2003,MATCH($AA$1&amp;"#"&amp;$B120,DATABASE!$X$4:$X$2003,0))&amp;"","")</f>
        <v/>
      </c>
      <c r="I120" s="47" t="str">
        <f aca="false">IFERROR(INDEX(DATABASE!$I$4:$I$2003,MATCH($AA$1&amp;"#"&amp;$B120,DATABASE!$X$4:$X$2003,0))&amp;"","")</f>
        <v/>
      </c>
    </row>
    <row r="121" customFormat="false" ht="15" hidden="false" customHeight="false" outlineLevel="0" collapsed="false">
      <c r="B121" s="49" t="n">
        <v>38</v>
      </c>
      <c r="C121" s="50" t="str">
        <f aca="false">IFERROR(INDEX(DATABASE!$B$4:$B$2003,MATCH($AA$1&amp;"#"&amp;$B121,DATABASE!$X$4:$X$2003,0))&amp;"","")</f>
        <v/>
      </c>
      <c r="D121" s="51" t="str">
        <f aca="false">IFERROR(INDEX(DATABASE!$C$4:$C$2003,MATCH($AA$1&amp;"#"&amp;$B121,DATABASE!$X$4:$X$2003,0))&amp;"","")</f>
        <v/>
      </c>
      <c r="E121" s="49" t="str">
        <f aca="false">IFERROR(INDEX(DATABASE!$E$4:$E$2003,MATCH($AA$1&amp;"#"&amp;$B121,DATABASE!$X$4:$X$2003,0))&amp;"","")</f>
        <v/>
      </c>
      <c r="F121" s="50" t="str">
        <f aca="false">IFERROR(INDEX(DATABASE!$N$4:$N$2003,MATCH($AA$1&amp;"#"&amp;$B121,DATABASE!$X$4:$X$2003,0))&amp;"","")</f>
        <v/>
      </c>
      <c r="G121" s="51" t="str">
        <f aca="false">IFERROR(INDEX(DATABASE!$O$4:$O$2003,MATCH($AA$1&amp;"#"&amp;$B121,DATABASE!$X$4:$X$2003,0))&amp;"","")</f>
        <v/>
      </c>
      <c r="H121" s="49" t="str">
        <f aca="false">IFERROR(INDEX(DATABASE!$T$4:$T$2003,MATCH($AA$1&amp;"#"&amp;$B121,DATABASE!$X$4:$X$2003,0))&amp;"","")</f>
        <v/>
      </c>
      <c r="I121" s="50" t="str">
        <f aca="false">IFERROR(INDEX(DATABASE!$I$4:$I$2003,MATCH($AA$1&amp;"#"&amp;$B121,DATABASE!$X$4:$X$2003,0))&amp;"","")</f>
        <v/>
      </c>
    </row>
    <row r="122" customFormat="false" ht="15" hidden="false" customHeight="false" outlineLevel="0" collapsed="false">
      <c r="B122" s="46" t="n">
        <v>39</v>
      </c>
      <c r="C122" s="47" t="str">
        <f aca="false">IFERROR(INDEX(DATABASE!$B$4:$B$2003,MATCH($AA$1&amp;"#"&amp;$B122,DATABASE!$X$4:$X$2003,0))&amp;"","")</f>
        <v/>
      </c>
      <c r="D122" s="48" t="str">
        <f aca="false">IFERROR(INDEX(DATABASE!$C$4:$C$2003,MATCH($AA$1&amp;"#"&amp;$B122,DATABASE!$X$4:$X$2003,0))&amp;"","")</f>
        <v/>
      </c>
      <c r="E122" s="46" t="str">
        <f aca="false">IFERROR(INDEX(DATABASE!$E$4:$E$2003,MATCH($AA$1&amp;"#"&amp;$B122,DATABASE!$X$4:$X$2003,0))&amp;"","")</f>
        <v/>
      </c>
      <c r="F122" s="47" t="str">
        <f aca="false">IFERROR(INDEX(DATABASE!$N$4:$N$2003,MATCH($AA$1&amp;"#"&amp;$B122,DATABASE!$X$4:$X$2003,0))&amp;"","")</f>
        <v/>
      </c>
      <c r="G122" s="48" t="str">
        <f aca="false">IFERROR(INDEX(DATABASE!$O$4:$O$2003,MATCH($AA$1&amp;"#"&amp;$B122,DATABASE!$X$4:$X$2003,0))&amp;"","")</f>
        <v/>
      </c>
      <c r="H122" s="46" t="str">
        <f aca="false">IFERROR(INDEX(DATABASE!$T$4:$T$2003,MATCH($AA$1&amp;"#"&amp;$B122,DATABASE!$X$4:$X$2003,0))&amp;"","")</f>
        <v/>
      </c>
      <c r="I122" s="47" t="str">
        <f aca="false">IFERROR(INDEX(DATABASE!$I$4:$I$2003,MATCH($AA$1&amp;"#"&amp;$B122,DATABASE!$X$4:$X$2003,0))&amp;"","")</f>
        <v/>
      </c>
    </row>
    <row r="123" customFormat="false" ht="15" hidden="false" customHeight="false" outlineLevel="0" collapsed="false">
      <c r="B123" s="49" t="n">
        <v>40</v>
      </c>
      <c r="C123" s="50" t="str">
        <f aca="false">IFERROR(INDEX(DATABASE!$B$4:$B$2003,MATCH($AA$1&amp;"#"&amp;$B123,DATABASE!$X$4:$X$2003,0))&amp;"","")</f>
        <v/>
      </c>
      <c r="D123" s="51" t="str">
        <f aca="false">IFERROR(INDEX(DATABASE!$C$4:$C$2003,MATCH($AA$1&amp;"#"&amp;$B123,DATABASE!$X$4:$X$2003,0))&amp;"","")</f>
        <v/>
      </c>
      <c r="E123" s="49" t="str">
        <f aca="false">IFERROR(INDEX(DATABASE!$E$4:$E$2003,MATCH($AA$1&amp;"#"&amp;$B123,DATABASE!$X$4:$X$2003,0))&amp;"","")</f>
        <v/>
      </c>
      <c r="F123" s="50" t="str">
        <f aca="false">IFERROR(INDEX(DATABASE!$N$4:$N$2003,MATCH($AA$1&amp;"#"&amp;$B123,DATABASE!$X$4:$X$2003,0))&amp;"","")</f>
        <v/>
      </c>
      <c r="G123" s="51" t="str">
        <f aca="false">IFERROR(INDEX(DATABASE!$O$4:$O$2003,MATCH($AA$1&amp;"#"&amp;$B123,DATABASE!$X$4:$X$2003,0))&amp;"","")</f>
        <v/>
      </c>
      <c r="H123" s="49" t="str">
        <f aca="false">IFERROR(INDEX(DATABASE!$T$4:$T$2003,MATCH($AA$1&amp;"#"&amp;$B123,DATABASE!$X$4:$X$2003,0))&amp;"","")</f>
        <v/>
      </c>
      <c r="I123" s="50" t="str">
        <f aca="false">IFERROR(INDEX(DATABASE!$I$4:$I$2003,MATCH($AA$1&amp;"#"&amp;$B123,DATABASE!$X$4:$X$2003,0))&amp;"","")</f>
        <v/>
      </c>
    </row>
    <row r="125" customFormat="false" ht="15" hidden="false" customHeight="false" outlineLevel="0" collapsed="false">
      <c r="B125" s="31" t="s">
        <v>236</v>
      </c>
    </row>
  </sheetData>
  <sheetProtection sheet="true" formatCells="false" formatColumns="false" formatRows="false" sort="false" autoFilter="false"/>
  <mergeCells count="7">
    <mergeCell ref="A1:W1"/>
    <mergeCell ref="B4:W4"/>
    <mergeCell ref="B28:K28"/>
    <mergeCell ref="B52:K52"/>
    <mergeCell ref="B67:K67"/>
    <mergeCell ref="B77:K77"/>
    <mergeCell ref="B81:K81"/>
  </mergeCells>
  <conditionalFormatting sqref="C6:V25">
    <cfRule type="colorScale" priority="2">
      <colorScale>
        <cfvo type="num" val="0"/>
        <cfvo type="percentile" val="55"/>
        <cfvo type="max" val="0"/>
        <color rgb="FFFFFFFF"/>
        <color rgb="FFCFE3F5"/>
        <color rgb="FF4E88C7"/>
      </colorScale>
    </cfRule>
  </conditionalFormatting>
  <conditionalFormatting sqref="W6:W25">
    <cfRule type="dataBar" priority="3">
      <dataBar showValue="1" minLength="10" maxLength="90">
        <cfvo type="num" val="0"/>
        <cfvo type="max" val="0"/>
        <color rgb="FF9DC3E6"/>
      </dataBar>
      <extLst>
        <ext xmlns:x14="http://schemas.microsoft.com/office/spreadsheetml/2009/9/main" uri="{B025F937-C7B1-47D3-B67F-A62EFF666E3E}">
          <x14:id>{AAC5896F-5FCE-4C52-B5F1-B5D535355859}</x14:id>
        </ext>
      </extLst>
    </cfRule>
  </conditionalFormatting>
  <conditionalFormatting sqref="H30:H49">
    <cfRule type="dataBar" priority="4">
      <dataBar showValue="1" minLength="10" maxLength="90">
        <cfvo type="num" val="0"/>
        <cfvo type="max" val="0"/>
        <color rgb="FF9DC3E6"/>
      </dataBar>
      <extLst>
        <ext xmlns:x14="http://schemas.microsoft.com/office/spreadsheetml/2009/9/main" uri="{B025F937-C7B1-47D3-B67F-A62EFF666E3E}">
          <x14:id>{9DC0187D-4F98-459B-A9BE-5B835459ED6F}</x14:id>
        </ext>
      </extLst>
    </cfRule>
  </conditionalFormatting>
  <dataValidations count="3">
    <dataValidation allowBlank="true" errorStyle="stop" operator="between" showDropDown="false" showErrorMessage="false" showInputMessage="false" sqref="D82" type="list">
      <formula1>daftar_kampung</formula1>
      <formula2>0</formula2>
    </dataValidation>
    <dataValidation allowBlank="true" errorStyle="stop" operator="between" showDropDown="false" showErrorMessage="false" showInputMessage="false" sqref="F82" type="list">
      <formula1>daftar_rt</formula1>
      <formula2>0</formula2>
    </dataValidation>
    <dataValidation allowBlank="true" errorStyle="stop" operator="between" showDropDown="false" showErrorMessage="false" showInputMessage="false" sqref="H82" type="list">
      <formula1>daftar_rw</formula1>
      <formula2>0</formula2>
    </dataValidation>
  </dataValidations>
  <hyperlinks>
    <hyperlink ref="A2" location="MENU!A1" display="◀  MENU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C5896F-5FCE-4C52-B5F1-B5D535355859}">
            <x14:dataBar minLength="10" maxLength="90" axisPosition="none" gradient="true">
              <x14:cfvo type="num">
                <xm:f>0</xm:f>
              </x14:cfvo>
              <x14:cfvo type="max"/>
              <x14:negativeFillColor rgb="FF9DC3E6"/>
              <x14:axisColor rgb="FF000000"/>
            </x14:dataBar>
          </x14:cfRule>
          <xm:sqref>W6:W25</xm:sqref>
        </x14:conditionalFormatting>
        <x14:conditionalFormatting xmlns:xm="http://schemas.microsoft.com/office/excel/2006/main">
          <x14:cfRule type="dataBar" id="{9DC0187D-4F98-459B-A9BE-5B835459ED6F}">
            <x14:dataBar minLength="10" maxLength="90" axisPosition="none" gradient="true">
              <x14:cfvo type="num">
                <xm:f>0</xm:f>
              </x14:cfvo>
              <x14:cfvo type="max"/>
              <x14:negativeFillColor rgb="FF9DC3E6"/>
              <x14:axisColor rgb="FF000000"/>
            </x14:dataBar>
          </x14:cfRule>
          <xm:sqref>H30:H49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6A15"/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2"/>
    <col collapsed="false" customWidth="true" hidden="false" outlineLevel="0" max="8" min="8" style="0" width="30"/>
    <col collapsed="false" customWidth="true" hidden="false" outlineLevel="0" max="9" min="9" style="0" width="3"/>
  </cols>
  <sheetData>
    <row r="1" customFormat="false" ht="25.5" hidden="false" customHeight="true" outlineLevel="0" collapsed="false">
      <c r="A1" s="29" t="s">
        <v>237</v>
      </c>
      <c r="B1" s="29"/>
      <c r="C1" s="29"/>
      <c r="D1" s="29"/>
      <c r="E1" s="29"/>
      <c r="F1" s="29"/>
      <c r="G1" s="29"/>
      <c r="H1" s="29"/>
    </row>
    <row r="2" customFormat="false" ht="15" hidden="false" customHeight="false" outlineLevel="0" collapsed="false">
      <c r="A2" s="30" t="s">
        <v>34</v>
      </c>
      <c r="C2" s="31" t="s">
        <v>238</v>
      </c>
    </row>
    <row r="4" customFormat="false" ht="19.5" hidden="false" customHeight="true" outlineLevel="0" collapsed="false">
      <c r="B4" s="6" t="s">
        <v>239</v>
      </c>
      <c r="C4" s="6"/>
      <c r="D4" s="6"/>
      <c r="E4" s="6"/>
      <c r="F4" s="6"/>
      <c r="G4" s="6"/>
      <c r="H4" s="6"/>
    </row>
    <row r="5" customFormat="false" ht="15" hidden="false" customHeight="false" outlineLevel="0" collapsed="false">
      <c r="B5" s="17" t="s">
        <v>24</v>
      </c>
      <c r="C5" s="17" t="s">
        <v>26</v>
      </c>
      <c r="D5" s="17" t="s">
        <v>240</v>
      </c>
      <c r="E5" s="17" t="s">
        <v>224</v>
      </c>
      <c r="F5" s="17" t="s">
        <v>241</v>
      </c>
      <c r="G5" s="17" t="s">
        <v>242</v>
      </c>
      <c r="H5" s="17" t="s">
        <v>243</v>
      </c>
    </row>
    <row r="6" customFormat="false" ht="15" hidden="false" customHeight="false" outlineLevel="0" collapsed="false">
      <c r="B6" s="9" t="str">
        <f aca="true">IFERROR(INDEX(daftar_kampung,1),"")</f>
        <v>Kp. Gamprit</v>
      </c>
      <c r="C6" s="19" t="n">
        <f aca="false">IF($B6="","",IFERROR(INDEX(REFERENSI!$C$6:$C$45,1),0))</f>
        <v>0</v>
      </c>
      <c r="D6" s="18" t="n">
        <f aca="false">IF($B6="","",COUNTIF(DATABASE!$F$4:$F$2003,$B6))</f>
        <v>18</v>
      </c>
      <c r="E6" s="19" t="n">
        <f aca="false">IF($B6="","",COUNTIFS(DATABASE!$F$4:$F$2003,$B6,DATABASE!$T$4:$T$2003,"Aktif"))</f>
        <v>18</v>
      </c>
      <c r="F6" s="19" t="n">
        <f aca="false">IF($B6="","",MAX(0,$C6-$D6))</f>
        <v>0</v>
      </c>
      <c r="G6" s="70" t="str">
        <f aca="false">IF(OR($B6="",$C6=0),"",$D6/$C6)</f>
        <v/>
      </c>
      <c r="H6" s="71" t="str">
        <f aca="false">IF($G6="","",REPT("█",ROUND(MIN($G6,1)*20,0)))</f>
        <v/>
      </c>
    </row>
    <row r="7" customFormat="false" ht="15" hidden="false" customHeight="false" outlineLevel="0" collapsed="false">
      <c r="B7" s="13" t="str">
        <f aca="true">IFERROR(INDEX(daftar_kampung,2),"")</f>
        <v>Kp. Kuda Kuda</v>
      </c>
      <c r="C7" s="22" t="n">
        <f aca="false">IF($B7="","",IFERROR(INDEX(REFERENSI!$C$6:$C$45,2),0))</f>
        <v>0</v>
      </c>
      <c r="D7" s="21" t="n">
        <f aca="false">IF($B7="","",COUNTIF(DATABASE!$F$4:$F$2003,$B7))</f>
        <v>11</v>
      </c>
      <c r="E7" s="22" t="n">
        <f aca="false">IF($B7="","",COUNTIFS(DATABASE!$F$4:$F$2003,$B7,DATABASE!$T$4:$T$2003,"Aktif"))</f>
        <v>11</v>
      </c>
      <c r="F7" s="22" t="n">
        <f aca="false">IF($B7="","",MAX(0,$C7-$D7))</f>
        <v>0</v>
      </c>
      <c r="G7" s="72" t="str">
        <f aca="false">IF(OR($B7="",$C7=0),"",$D7/$C7)</f>
        <v/>
      </c>
      <c r="H7" s="73" t="str">
        <f aca="false">IF($G7="","",REPT("█",ROUND(MIN($G7,1)*20,0)))</f>
        <v/>
      </c>
    </row>
    <row r="8" customFormat="false" ht="15" hidden="false" customHeight="false" outlineLevel="0" collapsed="false">
      <c r="B8" s="9" t="str">
        <f aca="true">IFERROR(INDEX(daftar_kampung,3),"")</f>
        <v>Kp. Wangkal</v>
      </c>
      <c r="C8" s="19" t="n">
        <f aca="false">IF($B8="","",IFERROR(INDEX(REFERENSI!$C$6:$C$45,3),0))</f>
        <v>0</v>
      </c>
      <c r="D8" s="18" t="n">
        <f aca="false">IF($B8="","",COUNTIF(DATABASE!$F$4:$F$2003,$B8))</f>
        <v>10</v>
      </c>
      <c r="E8" s="19" t="n">
        <f aca="false">IF($B8="","",COUNTIFS(DATABASE!$F$4:$F$2003,$B8,DATABASE!$T$4:$T$2003,"Aktif"))</f>
        <v>10</v>
      </c>
      <c r="F8" s="19" t="n">
        <f aca="false">IF($B8="","",MAX(0,$C8-$D8))</f>
        <v>0</v>
      </c>
      <c r="G8" s="70" t="str">
        <f aca="false">IF(OR($B8="",$C8=0),"",$D8/$C8)</f>
        <v/>
      </c>
      <c r="H8" s="71" t="str">
        <f aca="false">IF($G8="","",REPT("█",ROUND(MIN($G8,1)*20,0)))</f>
        <v/>
      </c>
    </row>
    <row r="9" customFormat="false" ht="15" hidden="false" customHeight="false" outlineLevel="0" collapsed="false">
      <c r="B9" s="13" t="str">
        <f aca="true">IFERROR(INDEX(daftar_kampung,4),"")</f>
        <v>Kp. Tenjolaut</v>
      </c>
      <c r="C9" s="22" t="n">
        <f aca="false">IF($B9="","",IFERROR(INDEX(REFERENSI!$C$6:$C$45,4),0))</f>
        <v>0</v>
      </c>
      <c r="D9" s="21" t="n">
        <f aca="false">IF($B9="","",COUNTIF(DATABASE!$F$4:$F$2003,$B9))</f>
        <v>2</v>
      </c>
      <c r="E9" s="22" t="n">
        <f aca="false">IF($B9="","",COUNTIFS(DATABASE!$F$4:$F$2003,$B9,DATABASE!$T$4:$T$2003,"Aktif"))</f>
        <v>2</v>
      </c>
      <c r="F9" s="22" t="n">
        <f aca="false">IF($B9="","",MAX(0,$C9-$D9))</f>
        <v>0</v>
      </c>
      <c r="G9" s="72" t="str">
        <f aca="false">IF(OR($B9="",$C9=0),"",$D9/$C9)</f>
        <v/>
      </c>
      <c r="H9" s="73" t="str">
        <f aca="false">IF($G9="","",REPT("█",ROUND(MIN($G9,1)*20,0)))</f>
        <v/>
      </c>
    </row>
    <row r="10" customFormat="false" ht="15" hidden="false" customHeight="false" outlineLevel="0" collapsed="false">
      <c r="B10" s="9" t="str">
        <f aca="true">IFERROR(INDEX(daftar_kampung,5),"")</f>
        <v>Kp. Putri Melintang</v>
      </c>
      <c r="C10" s="19" t="n">
        <f aca="false">IF($B10="","",IFERROR(INDEX(REFERENSI!$C$6:$C$45,5),0))</f>
        <v>0</v>
      </c>
      <c r="D10" s="18" t="n">
        <f aca="false">IF($B10="","",COUNTIF(DATABASE!$F$4:$F$2003,$B10))</f>
        <v>1</v>
      </c>
      <c r="E10" s="19" t="n">
        <f aca="false">IF($B10="","",COUNTIFS(DATABASE!$F$4:$F$2003,$B10,DATABASE!$T$4:$T$2003,"Aktif"))</f>
        <v>1</v>
      </c>
      <c r="F10" s="19" t="n">
        <f aca="false">IF($B10="","",MAX(0,$C10-$D10))</f>
        <v>0</v>
      </c>
      <c r="G10" s="70" t="str">
        <f aca="false">IF(OR($B10="",$C10=0),"",$D10/$C10)</f>
        <v/>
      </c>
      <c r="H10" s="71" t="str">
        <f aca="false">IF($G10="","",REPT("█",ROUND(MIN($G10,1)*20,0)))</f>
        <v/>
      </c>
    </row>
    <row r="11" customFormat="false" ht="15" hidden="false" customHeight="false" outlineLevel="0" collapsed="false">
      <c r="B11" s="13" t="str">
        <f aca="true">IFERROR(INDEX(daftar_kampung,6),"")</f>
        <v/>
      </c>
      <c r="C11" s="22" t="str">
        <f aca="false">IF($B11="","",IFERROR(INDEX(REFERENSI!$C$6:$C$45,6),0))</f>
        <v/>
      </c>
      <c r="D11" s="21" t="str">
        <f aca="false">IF($B11="","",COUNTIF(DATABASE!$F$4:$F$2003,$B11))</f>
        <v/>
      </c>
      <c r="E11" s="22" t="str">
        <f aca="false">IF($B11="","",COUNTIFS(DATABASE!$F$4:$F$2003,$B11,DATABASE!$T$4:$T$2003,"Aktif"))</f>
        <v/>
      </c>
      <c r="F11" s="22" t="str">
        <f aca="false">IF($B11="","",MAX(0,$C11-$D11))</f>
        <v/>
      </c>
      <c r="G11" s="72" t="str">
        <f aca="false">IF(OR($B11="",$C11=0),"",$D11/$C11)</f>
        <v/>
      </c>
      <c r="H11" s="73" t="str">
        <f aca="false">IF($G11="","",REPT("█",ROUND(MIN($G11,1)*20,0)))</f>
        <v/>
      </c>
    </row>
    <row r="12" customFormat="false" ht="15" hidden="false" customHeight="false" outlineLevel="0" collapsed="false">
      <c r="B12" s="9" t="str">
        <f aca="true">IFERROR(INDEX(daftar_kampung,7),"")</f>
        <v/>
      </c>
      <c r="C12" s="19" t="str">
        <f aca="false">IF($B12="","",IFERROR(INDEX(REFERENSI!$C$6:$C$45,7),0))</f>
        <v/>
      </c>
      <c r="D12" s="18" t="str">
        <f aca="false">IF($B12="","",COUNTIF(DATABASE!$F$4:$F$2003,$B12))</f>
        <v/>
      </c>
      <c r="E12" s="19" t="str">
        <f aca="false">IF($B12="","",COUNTIFS(DATABASE!$F$4:$F$2003,$B12,DATABASE!$T$4:$T$2003,"Aktif"))</f>
        <v/>
      </c>
      <c r="F12" s="19" t="str">
        <f aca="false">IF($B12="","",MAX(0,$C12-$D12))</f>
        <v/>
      </c>
      <c r="G12" s="70" t="str">
        <f aca="false">IF(OR($B12="",$C12=0),"",$D12/$C12)</f>
        <v/>
      </c>
      <c r="H12" s="71" t="str">
        <f aca="false">IF($G12="","",REPT("█",ROUND(MIN($G12,1)*20,0)))</f>
        <v/>
      </c>
    </row>
    <row r="13" customFormat="false" ht="15" hidden="false" customHeight="false" outlineLevel="0" collapsed="false">
      <c r="B13" s="13" t="str">
        <f aca="true">IFERROR(INDEX(daftar_kampung,8),"")</f>
        <v/>
      </c>
      <c r="C13" s="22" t="str">
        <f aca="false">IF($B13="","",IFERROR(INDEX(REFERENSI!$C$6:$C$45,8),0))</f>
        <v/>
      </c>
      <c r="D13" s="21" t="str">
        <f aca="false">IF($B13="","",COUNTIF(DATABASE!$F$4:$F$2003,$B13))</f>
        <v/>
      </c>
      <c r="E13" s="22" t="str">
        <f aca="false">IF($B13="","",COUNTIFS(DATABASE!$F$4:$F$2003,$B13,DATABASE!$T$4:$T$2003,"Aktif"))</f>
        <v/>
      </c>
      <c r="F13" s="22" t="str">
        <f aca="false">IF($B13="","",MAX(0,$C13-$D13))</f>
        <v/>
      </c>
      <c r="G13" s="72" t="str">
        <f aca="false">IF(OR($B13="",$C13=0),"",$D13/$C13)</f>
        <v/>
      </c>
      <c r="H13" s="73" t="str">
        <f aca="false">IF($G13="","",REPT("█",ROUND(MIN($G13,1)*20,0)))</f>
        <v/>
      </c>
    </row>
    <row r="14" customFormat="false" ht="15" hidden="false" customHeight="false" outlineLevel="0" collapsed="false">
      <c r="B14" s="9" t="str">
        <f aca="true">IFERROR(INDEX(daftar_kampung,9),"")</f>
        <v/>
      </c>
      <c r="C14" s="19" t="str">
        <f aca="false">IF($B14="","",IFERROR(INDEX(REFERENSI!$C$6:$C$45,9),0))</f>
        <v/>
      </c>
      <c r="D14" s="18" t="str">
        <f aca="false">IF($B14="","",COUNTIF(DATABASE!$F$4:$F$2003,$B14))</f>
        <v/>
      </c>
      <c r="E14" s="19" t="str">
        <f aca="false">IF($B14="","",COUNTIFS(DATABASE!$F$4:$F$2003,$B14,DATABASE!$T$4:$T$2003,"Aktif"))</f>
        <v/>
      </c>
      <c r="F14" s="19" t="str">
        <f aca="false">IF($B14="","",MAX(0,$C14-$D14))</f>
        <v/>
      </c>
      <c r="G14" s="70" t="str">
        <f aca="false">IF(OR($B14="",$C14=0),"",$D14/$C14)</f>
        <v/>
      </c>
      <c r="H14" s="71" t="str">
        <f aca="false">IF($G14="","",REPT("█",ROUND(MIN($G14,1)*20,0)))</f>
        <v/>
      </c>
    </row>
    <row r="15" customFormat="false" ht="15" hidden="false" customHeight="false" outlineLevel="0" collapsed="false">
      <c r="B15" s="13" t="str">
        <f aca="true">IFERROR(INDEX(daftar_kampung,10),"")</f>
        <v/>
      </c>
      <c r="C15" s="22" t="str">
        <f aca="false">IF($B15="","",IFERROR(INDEX(REFERENSI!$C$6:$C$45,10),0))</f>
        <v/>
      </c>
      <c r="D15" s="21" t="str">
        <f aca="false">IF($B15="","",COUNTIF(DATABASE!$F$4:$F$2003,$B15))</f>
        <v/>
      </c>
      <c r="E15" s="22" t="str">
        <f aca="false">IF($B15="","",COUNTIFS(DATABASE!$F$4:$F$2003,$B15,DATABASE!$T$4:$T$2003,"Aktif"))</f>
        <v/>
      </c>
      <c r="F15" s="22" t="str">
        <f aca="false">IF($B15="","",MAX(0,$C15-$D15))</f>
        <v/>
      </c>
      <c r="G15" s="72" t="str">
        <f aca="false">IF(OR($B15="",$C15=0),"",$D15/$C15)</f>
        <v/>
      </c>
      <c r="H15" s="73" t="str">
        <f aca="false">IF($G15="","",REPT("█",ROUND(MIN($G15,1)*20,0)))</f>
        <v/>
      </c>
    </row>
    <row r="16" customFormat="false" ht="15" hidden="false" customHeight="false" outlineLevel="0" collapsed="false">
      <c r="B16" s="9" t="str">
        <f aca="true">IFERROR(INDEX(daftar_kampung,11),"")</f>
        <v/>
      </c>
      <c r="C16" s="19" t="str">
        <f aca="false">IF($B16="","",IFERROR(INDEX(REFERENSI!$C$6:$C$45,11),0))</f>
        <v/>
      </c>
      <c r="D16" s="18" t="str">
        <f aca="false">IF($B16="","",COUNTIF(DATABASE!$F$4:$F$2003,$B16))</f>
        <v/>
      </c>
      <c r="E16" s="19" t="str">
        <f aca="false">IF($B16="","",COUNTIFS(DATABASE!$F$4:$F$2003,$B16,DATABASE!$T$4:$T$2003,"Aktif"))</f>
        <v/>
      </c>
      <c r="F16" s="19" t="str">
        <f aca="false">IF($B16="","",MAX(0,$C16-$D16))</f>
        <v/>
      </c>
      <c r="G16" s="70" t="str">
        <f aca="false">IF(OR($B16="",$C16=0),"",$D16/$C16)</f>
        <v/>
      </c>
      <c r="H16" s="71" t="str">
        <f aca="false">IF($G16="","",REPT("█",ROUND(MIN($G16,1)*20,0)))</f>
        <v/>
      </c>
    </row>
    <row r="17" customFormat="false" ht="15" hidden="false" customHeight="false" outlineLevel="0" collapsed="false">
      <c r="B17" s="13" t="str">
        <f aca="true">IFERROR(INDEX(daftar_kampung,12),"")</f>
        <v/>
      </c>
      <c r="C17" s="22" t="str">
        <f aca="false">IF($B17="","",IFERROR(INDEX(REFERENSI!$C$6:$C$45,12),0))</f>
        <v/>
      </c>
      <c r="D17" s="21" t="str">
        <f aca="false">IF($B17="","",COUNTIF(DATABASE!$F$4:$F$2003,$B17))</f>
        <v/>
      </c>
      <c r="E17" s="22" t="str">
        <f aca="false">IF($B17="","",COUNTIFS(DATABASE!$F$4:$F$2003,$B17,DATABASE!$T$4:$T$2003,"Aktif"))</f>
        <v/>
      </c>
      <c r="F17" s="22" t="str">
        <f aca="false">IF($B17="","",MAX(0,$C17-$D17))</f>
        <v/>
      </c>
      <c r="G17" s="72" t="str">
        <f aca="false">IF(OR($B17="",$C17=0),"",$D17/$C17)</f>
        <v/>
      </c>
      <c r="H17" s="73" t="str">
        <f aca="false">IF($G17="","",REPT("█",ROUND(MIN($G17,1)*20,0)))</f>
        <v/>
      </c>
    </row>
    <row r="18" customFormat="false" ht="15" hidden="false" customHeight="false" outlineLevel="0" collapsed="false">
      <c r="B18" s="9" t="str">
        <f aca="true">IFERROR(INDEX(daftar_kampung,13),"")</f>
        <v/>
      </c>
      <c r="C18" s="19" t="str">
        <f aca="false">IF($B18="","",IFERROR(INDEX(REFERENSI!$C$6:$C$45,13),0))</f>
        <v/>
      </c>
      <c r="D18" s="18" t="str">
        <f aca="false">IF($B18="","",COUNTIF(DATABASE!$F$4:$F$2003,$B18))</f>
        <v/>
      </c>
      <c r="E18" s="19" t="str">
        <f aca="false">IF($B18="","",COUNTIFS(DATABASE!$F$4:$F$2003,$B18,DATABASE!$T$4:$T$2003,"Aktif"))</f>
        <v/>
      </c>
      <c r="F18" s="19" t="str">
        <f aca="false">IF($B18="","",MAX(0,$C18-$D18))</f>
        <v/>
      </c>
      <c r="G18" s="70" t="str">
        <f aca="false">IF(OR($B18="",$C18=0),"",$D18/$C18)</f>
        <v/>
      </c>
      <c r="H18" s="71" t="str">
        <f aca="false">IF($G18="","",REPT("█",ROUND(MIN($G18,1)*20,0)))</f>
        <v/>
      </c>
    </row>
    <row r="19" customFormat="false" ht="15" hidden="false" customHeight="false" outlineLevel="0" collapsed="false">
      <c r="B19" s="13" t="str">
        <f aca="true">IFERROR(INDEX(daftar_kampung,14),"")</f>
        <v/>
      </c>
      <c r="C19" s="22" t="str">
        <f aca="false">IF($B19="","",IFERROR(INDEX(REFERENSI!$C$6:$C$45,14),0))</f>
        <v/>
      </c>
      <c r="D19" s="21" t="str">
        <f aca="false">IF($B19="","",COUNTIF(DATABASE!$F$4:$F$2003,$B19))</f>
        <v/>
      </c>
      <c r="E19" s="22" t="str">
        <f aca="false">IF($B19="","",COUNTIFS(DATABASE!$F$4:$F$2003,$B19,DATABASE!$T$4:$T$2003,"Aktif"))</f>
        <v/>
      </c>
      <c r="F19" s="22" t="str">
        <f aca="false">IF($B19="","",MAX(0,$C19-$D19))</f>
        <v/>
      </c>
      <c r="G19" s="72" t="str">
        <f aca="false">IF(OR($B19="",$C19=0),"",$D19/$C19)</f>
        <v/>
      </c>
      <c r="H19" s="73" t="str">
        <f aca="false">IF($G19="","",REPT("█",ROUND(MIN($G19,1)*20,0)))</f>
        <v/>
      </c>
    </row>
    <row r="20" customFormat="false" ht="15" hidden="false" customHeight="false" outlineLevel="0" collapsed="false">
      <c r="B20" s="9" t="str">
        <f aca="true">IFERROR(INDEX(daftar_kampung,15),"")</f>
        <v/>
      </c>
      <c r="C20" s="19" t="str">
        <f aca="false">IF($B20="","",IFERROR(INDEX(REFERENSI!$C$6:$C$45,15),0))</f>
        <v/>
      </c>
      <c r="D20" s="18" t="str">
        <f aca="false">IF($B20="","",COUNTIF(DATABASE!$F$4:$F$2003,$B20))</f>
        <v/>
      </c>
      <c r="E20" s="19" t="str">
        <f aca="false">IF($B20="","",COUNTIFS(DATABASE!$F$4:$F$2003,$B20,DATABASE!$T$4:$T$2003,"Aktif"))</f>
        <v/>
      </c>
      <c r="F20" s="19" t="str">
        <f aca="false">IF($B20="","",MAX(0,$C20-$D20))</f>
        <v/>
      </c>
      <c r="G20" s="70" t="str">
        <f aca="false">IF(OR($B20="",$C20=0),"",$D20/$C20)</f>
        <v/>
      </c>
      <c r="H20" s="71" t="str">
        <f aca="false">IF($G20="","",REPT("█",ROUND(MIN($G20,1)*20,0)))</f>
        <v/>
      </c>
    </row>
    <row r="21" customFormat="false" ht="15" hidden="false" customHeight="false" outlineLevel="0" collapsed="false">
      <c r="B21" s="13" t="str">
        <f aca="true">IFERROR(INDEX(daftar_kampung,16),"")</f>
        <v/>
      </c>
      <c r="C21" s="22" t="str">
        <f aca="false">IF($B21="","",IFERROR(INDEX(REFERENSI!$C$6:$C$45,16),0))</f>
        <v/>
      </c>
      <c r="D21" s="21" t="str">
        <f aca="false">IF($B21="","",COUNTIF(DATABASE!$F$4:$F$2003,$B21))</f>
        <v/>
      </c>
      <c r="E21" s="22" t="str">
        <f aca="false">IF($B21="","",COUNTIFS(DATABASE!$F$4:$F$2003,$B21,DATABASE!$T$4:$T$2003,"Aktif"))</f>
        <v/>
      </c>
      <c r="F21" s="22" t="str">
        <f aca="false">IF($B21="","",MAX(0,$C21-$D21))</f>
        <v/>
      </c>
      <c r="G21" s="72" t="str">
        <f aca="false">IF(OR($B21="",$C21=0),"",$D21/$C21)</f>
        <v/>
      </c>
      <c r="H21" s="73" t="str">
        <f aca="false">IF($G21="","",REPT("█",ROUND(MIN($G21,1)*20,0)))</f>
        <v/>
      </c>
    </row>
    <row r="22" customFormat="false" ht="15" hidden="false" customHeight="false" outlineLevel="0" collapsed="false">
      <c r="B22" s="9" t="str">
        <f aca="true">IFERROR(INDEX(daftar_kampung,17),"")</f>
        <v/>
      </c>
      <c r="C22" s="19" t="str">
        <f aca="false">IF($B22="","",IFERROR(INDEX(REFERENSI!$C$6:$C$45,17),0))</f>
        <v/>
      </c>
      <c r="D22" s="18" t="str">
        <f aca="false">IF($B22="","",COUNTIF(DATABASE!$F$4:$F$2003,$B22))</f>
        <v/>
      </c>
      <c r="E22" s="19" t="str">
        <f aca="false">IF($B22="","",COUNTIFS(DATABASE!$F$4:$F$2003,$B22,DATABASE!$T$4:$T$2003,"Aktif"))</f>
        <v/>
      </c>
      <c r="F22" s="19" t="str">
        <f aca="false">IF($B22="","",MAX(0,$C22-$D22))</f>
        <v/>
      </c>
      <c r="G22" s="70" t="str">
        <f aca="false">IF(OR($B22="",$C22=0),"",$D22/$C22)</f>
        <v/>
      </c>
      <c r="H22" s="71" t="str">
        <f aca="false">IF($G22="","",REPT("█",ROUND(MIN($G22,1)*20,0)))</f>
        <v/>
      </c>
    </row>
    <row r="23" customFormat="false" ht="15" hidden="false" customHeight="false" outlineLevel="0" collapsed="false">
      <c r="B23" s="13" t="str">
        <f aca="true">IFERROR(INDEX(daftar_kampung,18),"")</f>
        <v/>
      </c>
      <c r="C23" s="22" t="str">
        <f aca="false">IF($B23="","",IFERROR(INDEX(REFERENSI!$C$6:$C$45,18),0))</f>
        <v/>
      </c>
      <c r="D23" s="21" t="str">
        <f aca="false">IF($B23="","",COUNTIF(DATABASE!$F$4:$F$2003,$B23))</f>
        <v/>
      </c>
      <c r="E23" s="22" t="str">
        <f aca="false">IF($B23="","",COUNTIFS(DATABASE!$F$4:$F$2003,$B23,DATABASE!$T$4:$T$2003,"Aktif"))</f>
        <v/>
      </c>
      <c r="F23" s="22" t="str">
        <f aca="false">IF($B23="","",MAX(0,$C23-$D23))</f>
        <v/>
      </c>
      <c r="G23" s="72" t="str">
        <f aca="false">IF(OR($B23="",$C23=0),"",$D23/$C23)</f>
        <v/>
      </c>
      <c r="H23" s="73" t="str">
        <f aca="false">IF($G23="","",REPT("█",ROUND(MIN($G23,1)*20,0)))</f>
        <v/>
      </c>
    </row>
    <row r="24" customFormat="false" ht="15" hidden="false" customHeight="false" outlineLevel="0" collapsed="false">
      <c r="B24" s="9" t="str">
        <f aca="true">IFERROR(INDEX(daftar_kampung,19),"")</f>
        <v/>
      </c>
      <c r="C24" s="19" t="str">
        <f aca="false">IF($B24="","",IFERROR(INDEX(REFERENSI!$C$6:$C$45,19),0))</f>
        <v/>
      </c>
      <c r="D24" s="18" t="str">
        <f aca="false">IF($B24="","",COUNTIF(DATABASE!$F$4:$F$2003,$B24))</f>
        <v/>
      </c>
      <c r="E24" s="19" t="str">
        <f aca="false">IF($B24="","",COUNTIFS(DATABASE!$F$4:$F$2003,$B24,DATABASE!$T$4:$T$2003,"Aktif"))</f>
        <v/>
      </c>
      <c r="F24" s="19" t="str">
        <f aca="false">IF($B24="","",MAX(0,$C24-$D24))</f>
        <v/>
      </c>
      <c r="G24" s="70" t="str">
        <f aca="false">IF(OR($B24="",$C24=0),"",$D24/$C24)</f>
        <v/>
      </c>
      <c r="H24" s="71" t="str">
        <f aca="false">IF($G24="","",REPT("█",ROUND(MIN($G24,1)*20,0)))</f>
        <v/>
      </c>
    </row>
    <row r="25" customFormat="false" ht="15" hidden="false" customHeight="false" outlineLevel="0" collapsed="false">
      <c r="B25" s="13" t="str">
        <f aca="true">IFERROR(INDEX(daftar_kampung,20),"")</f>
        <v/>
      </c>
      <c r="C25" s="22" t="str">
        <f aca="false">IF($B25="","",IFERROR(INDEX(REFERENSI!$C$6:$C$45,20),0))</f>
        <v/>
      </c>
      <c r="D25" s="21" t="str">
        <f aca="false">IF($B25="","",COUNTIF(DATABASE!$F$4:$F$2003,$B25))</f>
        <v/>
      </c>
      <c r="E25" s="22" t="str">
        <f aca="false">IF($B25="","",COUNTIFS(DATABASE!$F$4:$F$2003,$B25,DATABASE!$T$4:$T$2003,"Aktif"))</f>
        <v/>
      </c>
      <c r="F25" s="22" t="str">
        <f aca="false">IF($B25="","",MAX(0,$C25-$D25))</f>
        <v/>
      </c>
      <c r="G25" s="72" t="str">
        <f aca="false">IF(OR($B25="",$C25=0),"",$D25/$C25)</f>
        <v/>
      </c>
      <c r="H25" s="73" t="str">
        <f aca="false">IF($G25="","",REPT("█",ROUND(MIN($G25,1)*20,0)))</f>
        <v/>
      </c>
    </row>
    <row r="26" customFormat="false" ht="15" hidden="false" customHeight="false" outlineLevel="0" collapsed="false">
      <c r="B26" s="24" t="s">
        <v>36</v>
      </c>
      <c r="C26" s="25" t="n">
        <f aca="false">SUM(C6:C25)</f>
        <v>0</v>
      </c>
      <c r="D26" s="25" t="n">
        <f aca="false">SUM(D6:D25)</f>
        <v>42</v>
      </c>
      <c r="E26" s="25" t="n">
        <f aca="false">SUM(E6:E25)</f>
        <v>42</v>
      </c>
      <c r="F26" s="25" t="n">
        <f aca="false">SUM(F6:F25)</f>
        <v>0</v>
      </c>
      <c r="G26" s="26" t="str">
        <f aca="false">IF($C26=0,"",$D26/$C26)</f>
        <v/>
      </c>
      <c r="H26" s="24" t="str">
        <f aca="false">IF($G26="","",REPT("█",ROUND(MIN($G26,1)*20,0)))</f>
        <v/>
      </c>
    </row>
    <row r="28" customFormat="false" ht="15" hidden="false" customHeight="false" outlineLevel="0" collapsed="false">
      <c r="B28" s="65" t="s">
        <v>244</v>
      </c>
    </row>
    <row r="29" customFormat="false" ht="15" hidden="false" customHeight="false" outlineLevel="0" collapsed="false">
      <c r="B29" s="74" t="s">
        <v>245</v>
      </c>
      <c r="C29" s="74"/>
      <c r="D29" s="74"/>
    </row>
    <row r="30" customFormat="false" ht="15" hidden="false" customHeight="false" outlineLevel="0" collapsed="false">
      <c r="B30" s="75" t="s">
        <v>246</v>
      </c>
      <c r="C30" s="75"/>
      <c r="D30" s="75"/>
    </row>
    <row r="31" customFormat="false" ht="15" hidden="false" customHeight="false" outlineLevel="0" collapsed="false">
      <c r="B31" s="76" t="s">
        <v>247</v>
      </c>
      <c r="C31" s="76"/>
      <c r="D31" s="76"/>
    </row>
    <row r="33" customFormat="false" ht="15" hidden="false" customHeight="false" outlineLevel="0" collapsed="false">
      <c r="B33" s="27" t="s">
        <v>248</v>
      </c>
      <c r="C33" s="27"/>
      <c r="D33" s="27"/>
      <c r="E33" s="27"/>
      <c r="F33" s="27"/>
      <c r="G33" s="27"/>
      <c r="H33" s="27"/>
    </row>
  </sheetData>
  <sheetProtection sheet="true" formatCells="false" formatColumns="false" formatRows="false" sort="false" autoFilter="false"/>
  <mergeCells count="6">
    <mergeCell ref="A1:H1"/>
    <mergeCell ref="B4:H4"/>
    <mergeCell ref="B29:D29"/>
    <mergeCell ref="B30:D30"/>
    <mergeCell ref="B31:D31"/>
    <mergeCell ref="B33:H33"/>
  </mergeCells>
  <conditionalFormatting sqref="C6:C25">
    <cfRule type="dataBar" priority="2">
      <dataBar showValue="1" minLength="10" maxLength="90">
        <cfvo type="num" val="0"/>
        <cfvo type="max" val="0"/>
        <color rgb="FFF0C775"/>
      </dataBar>
      <extLst>
        <ext xmlns:x14="http://schemas.microsoft.com/office/spreadsheetml/2009/9/main" uri="{B025F937-C7B1-47D3-B67F-A62EFF666E3E}">
          <x14:id>{2B10D6E8-747E-4893-ACFC-82D7B57A263E}</x14:id>
        </ext>
      </extLst>
    </cfRule>
  </conditionalFormatting>
  <conditionalFormatting sqref="D6:D25">
    <cfRule type="dataBar" priority="3">
      <dataBar showValue="1" minLength="10" maxLength="90">
        <cfvo type="num" val="0"/>
        <cfvo type="max" val="0"/>
        <color rgb="FFA9D08E"/>
      </dataBar>
      <extLst>
        <ext xmlns:x14="http://schemas.microsoft.com/office/spreadsheetml/2009/9/main" uri="{B025F937-C7B1-47D3-B67F-A62EFF666E3E}">
          <x14:id>{A28B5CF3-24CB-4694-BE69-CF1D858FFE85}</x14:id>
        </ext>
      </extLst>
    </cfRule>
  </conditionalFormatting>
  <conditionalFormatting sqref="G6:G25">
    <cfRule type="iconSet" priority="4">
      <iconSet iconSet="3TrafficLights1">
        <cfvo type="percent" val="0"/>
        <cfvo type="percent" val="50"/>
        <cfvo type="percent" val="100"/>
      </iconSet>
    </cfRule>
    <cfRule type="cellIs" priority="5" operator="greaterThanOrEqual" aboveAverage="0" equalAverage="0" bottom="0" percent="0" rank="0" text="" dxfId="11">
      <formula>1</formula>
    </cfRule>
    <cfRule type="cellIs" priority="6" operator="between" aboveAverage="0" equalAverage="0" bottom="0" percent="0" rank="0" text="" dxfId="2">
      <formula>0.5</formula>
      <formula>0.999999</formula>
    </cfRule>
    <cfRule type="cellIs" priority="7" operator="lessThan" aboveAverage="0" equalAverage="0" bottom="0" percent="0" rank="0" text="" dxfId="12">
      <formula>0.5</formula>
    </cfRule>
  </conditionalFormatting>
  <hyperlinks>
    <hyperlink ref="A2" location="MENU!A1" display="◀  MENU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10D6E8-747E-4893-ACFC-82D7B57A263E}">
            <x14:dataBar minLength="10" maxLength="90" axisPosition="none" gradient="true">
              <x14:cfvo type="num">
                <xm:f>0</xm:f>
              </x14:cfvo>
              <x14:cfvo type="max"/>
              <x14:negativeFillColor rgb="FFF0C775"/>
              <x14:axisColor rgb="FF000000"/>
            </x14:dataBar>
          </x14:cfRule>
          <xm:sqref>C6:C25</xm:sqref>
        </x14:conditionalFormatting>
        <x14:conditionalFormatting xmlns:xm="http://schemas.microsoft.com/office/excel/2006/main">
          <x14:cfRule type="dataBar" id="{A28B5CF3-24CB-4694-BE69-CF1D858FFE85}">
            <x14:dataBar minLength="10" maxLength="90" axisPosition="none" gradient="true">
              <x14:cfvo type="num">
                <xm:f>0</xm:f>
              </x14:cfvo>
              <x14:cfvo type="max"/>
              <x14:negativeFillColor rgb="FFA9D08E"/>
              <x14:axisColor rgb="FF000000"/>
            </x14:dataBar>
          </x14:cfRule>
          <xm:sqref>D6:D25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3A2A"/>
    <pageSetUpPr fitToPage="true"/>
  </sheetPr>
  <dimension ref="A1:H1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1" topLeftCell="B22" activePane="bottomRight" state="frozen"/>
      <selection pane="topLeft" activeCell="A1" activeCellId="0" sqref="A1"/>
      <selection pane="topRight" activeCell="B1" activeCellId="0" sqref="B1"/>
      <selection pane="bottomLeft" activeCell="A22" activeCellId="0" sqref="A2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26"/>
    <col collapsed="false" customWidth="true" hidden="false" outlineLevel="0" max="8" min="8" style="0" width="18"/>
  </cols>
  <sheetData>
    <row r="1" customFormat="false" ht="25.5" hidden="false" customHeight="true" outlineLevel="0" collapsed="false">
      <c r="A1" s="29" t="s">
        <v>249</v>
      </c>
      <c r="B1" s="29"/>
      <c r="C1" s="29"/>
      <c r="D1" s="29"/>
      <c r="E1" s="29"/>
      <c r="F1" s="29"/>
      <c r="G1" s="29"/>
      <c r="H1" s="29"/>
    </row>
    <row r="2" customFormat="false" ht="15" hidden="false" customHeight="false" outlineLevel="0" collapsed="false">
      <c r="A2" s="30" t="s">
        <v>34</v>
      </c>
      <c r="C2" s="31" t="s">
        <v>250</v>
      </c>
    </row>
    <row r="4" customFormat="false" ht="19.5" hidden="false" customHeight="true" outlineLevel="0" collapsed="false">
      <c r="B4" s="6" t="s">
        <v>251</v>
      </c>
      <c r="C4" s="6"/>
      <c r="D4" s="6"/>
      <c r="E4" s="6"/>
      <c r="F4" s="6"/>
      <c r="G4" s="6"/>
      <c r="H4" s="6"/>
    </row>
    <row r="5" customFormat="false" ht="15" hidden="false" customHeight="false" outlineLevel="0" collapsed="false">
      <c r="B5" s="9" t="s">
        <v>252</v>
      </c>
      <c r="C5" s="9"/>
      <c r="D5" s="9"/>
      <c r="E5" s="10" t="n">
        <f aca="false">COUNTA(DATABASE!$B$4:$B$2003)</f>
        <v>52</v>
      </c>
    </row>
    <row r="6" customFormat="false" ht="15" hidden="false" customHeight="false" outlineLevel="0" collapsed="false">
      <c r="B6" s="13" t="s">
        <v>253</v>
      </c>
      <c r="C6" s="13"/>
      <c r="D6" s="13"/>
      <c r="E6" s="14" t="n">
        <f aca="false">COUNT(DATABASE!$AA$4:$AA$2003)</f>
        <v>52</v>
      </c>
    </row>
    <row r="7" customFormat="false" ht="15" hidden="false" customHeight="false" outlineLevel="0" collapsed="false">
      <c r="B7" s="9" t="s">
        <v>254</v>
      </c>
      <c r="C7" s="9"/>
      <c r="D7" s="9"/>
      <c r="E7" s="10" t="n">
        <f aca="false">COUNTIF(DATABASE!$Y$4:$Y$2003,"NIK kosong")</f>
        <v>52</v>
      </c>
    </row>
    <row r="8" customFormat="false" ht="15" hidden="false" customHeight="false" outlineLevel="0" collapsed="false">
      <c r="B8" s="13" t="s">
        <v>255</v>
      </c>
      <c r="C8" s="13"/>
      <c r="D8" s="13"/>
      <c r="E8" s="14" t="n">
        <f aca="false">COUNTIF(DATABASE!$Y$4:$Y$2003,"NIK bukan 16 digit")</f>
        <v>0</v>
      </c>
    </row>
    <row r="9" customFormat="false" ht="15" hidden="false" customHeight="false" outlineLevel="0" collapsed="false">
      <c r="B9" s="9" t="s">
        <v>256</v>
      </c>
      <c r="C9" s="9"/>
      <c r="D9" s="9"/>
      <c r="E9" s="10" t="n">
        <f aca="false">COUNTIF(DATABASE!$Y$4:$Y$2003,"NIK ganda")</f>
        <v>0</v>
      </c>
    </row>
    <row r="10" customFormat="false" ht="15" hidden="false" customHeight="false" outlineLevel="0" collapsed="false">
      <c r="B10" s="13" t="s">
        <v>257</v>
      </c>
      <c r="C10" s="13"/>
      <c r="D10" s="13"/>
      <c r="E10" s="14" t="n">
        <f aca="false">COUNTIF(DATABASE!$Y$4:$Y$2003,"Kadus kosong")</f>
        <v>0</v>
      </c>
    </row>
    <row r="11" customFormat="false" ht="15" hidden="false" customHeight="false" outlineLevel="0" collapsed="false">
      <c r="B11" s="9" t="s">
        <v>258</v>
      </c>
      <c r="C11" s="9"/>
      <c r="D11" s="9"/>
      <c r="E11" s="10" t="n">
        <f aca="false">COUNTIF(DATABASE!$Y$4:$Y$2003,"RT kosong")</f>
        <v>0</v>
      </c>
    </row>
    <row r="12" customFormat="false" ht="15" hidden="false" customHeight="false" outlineLevel="0" collapsed="false">
      <c r="B12" s="13" t="s">
        <v>259</v>
      </c>
      <c r="C12" s="13"/>
      <c r="D12" s="13"/>
      <c r="E12" s="14" t="n">
        <f aca="false">COUNTIF(DATABASE!$Y$4:$Y$2003,"Jabatan kosong")</f>
        <v>0</v>
      </c>
    </row>
    <row r="13" customFormat="false" ht="15" hidden="false" customHeight="false" outlineLevel="0" collapsed="false">
      <c r="B13" s="9" t="s">
        <v>260</v>
      </c>
      <c r="C13" s="9"/>
      <c r="D13" s="9"/>
      <c r="E13" s="10" t="n">
        <f aca="false">COUNTIF(DATABASE!$Y$4:$Y$2003,"No. HP kosong")</f>
        <v>0</v>
      </c>
    </row>
    <row r="14" customFormat="false" ht="15" hidden="false" customHeight="false" outlineLevel="0" collapsed="false">
      <c r="B14" s="13" t="s">
        <v>261</v>
      </c>
      <c r="C14" s="13"/>
      <c r="D14" s="13"/>
      <c r="E14" s="14" t="n">
        <f aca="false">COUNTIF(DATABASE!$Y$4:$Y$2003,"Alamat kosong")</f>
        <v>0</v>
      </c>
    </row>
    <row r="15" customFormat="false" ht="15" hidden="false" customHeight="false" outlineLevel="0" collapsed="false">
      <c r="B15" s="9" t="s">
        <v>262</v>
      </c>
      <c r="C15" s="9"/>
      <c r="D15" s="9"/>
      <c r="E15" s="10" t="n">
        <f aca="false">COUNTIF(DATABASE!$Y$4:$Y$2003,"Usia di bawah 17")</f>
        <v>0</v>
      </c>
    </row>
    <row r="16" customFormat="false" ht="15" hidden="false" customHeight="false" outlineLevel="0" collapsed="false">
      <c r="B16" s="13" t="s">
        <v>231</v>
      </c>
      <c r="C16" s="13"/>
      <c r="D16" s="13"/>
      <c r="E16" s="14" t="n">
        <f aca="false">COUNTA(DATABASE!$B$4:$B$2003)-COUNT(DATABASE!$R$4:$R$2003)</f>
        <v>52</v>
      </c>
    </row>
    <row r="17" customFormat="false" ht="15" hidden="false" customHeight="false" outlineLevel="0" collapsed="false">
      <c r="B17" s="9" t="s">
        <v>263</v>
      </c>
      <c r="C17" s="9"/>
      <c r="D17" s="9"/>
      <c r="E17" s="10" t="n">
        <f aca="false">COUNTIFS(DATABASE!$B$4:$B$2003,"&lt;&gt;",DATABASE!$T$4:$T$2003,"")</f>
        <v>0</v>
      </c>
    </row>
    <row r="19" customFormat="false" ht="15" hidden="false" customHeight="false" outlineLevel="0" collapsed="false">
      <c r="B19" s="27" t="s">
        <v>264</v>
      </c>
      <c r="C19" s="27"/>
      <c r="D19" s="27"/>
      <c r="E19" s="27"/>
      <c r="F19" s="27"/>
      <c r="G19" s="27"/>
      <c r="H19" s="27"/>
    </row>
    <row r="20" customFormat="false" ht="19.5" hidden="false" customHeight="true" outlineLevel="0" collapsed="false">
      <c r="B20" s="6" t="s">
        <v>265</v>
      </c>
      <c r="C20" s="6"/>
      <c r="D20" s="6"/>
      <c r="E20" s="6"/>
      <c r="F20" s="6"/>
      <c r="G20" s="6"/>
      <c r="H20" s="6"/>
    </row>
    <row r="21" customFormat="false" ht="21.75" hidden="false" customHeight="true" outlineLevel="0" collapsed="false">
      <c r="B21" s="17" t="s">
        <v>38</v>
      </c>
      <c r="C21" s="17" t="s">
        <v>39</v>
      </c>
      <c r="D21" s="17" t="s">
        <v>217</v>
      </c>
      <c r="E21" s="17" t="s">
        <v>24</v>
      </c>
      <c r="F21" s="17" t="s">
        <v>43</v>
      </c>
      <c r="G21" s="17" t="s">
        <v>61</v>
      </c>
      <c r="H21" s="17" t="s">
        <v>51</v>
      </c>
    </row>
    <row r="22" customFormat="false" ht="15" hidden="false" customHeight="false" outlineLevel="0" collapsed="false">
      <c r="B22" s="46" t="n">
        <v>1</v>
      </c>
      <c r="C22" s="47" t="str">
        <f aca="false">IFERROR(INDEX(DATABASE!$B$4:$B$2003,MATCH($B22,DATABASE!$AA$4:$AA$2003,0))&amp;"","")</f>
        <v>GURU BADRI</v>
      </c>
      <c r="D22" s="48" t="str">
        <f aca="false">IFERROR(INDEX(DATABASE!$C$4:$C$2003,MATCH($B22,DATABASE!$AA$4:$AA$2003,0))&amp;"","")</f>
        <v/>
      </c>
      <c r="E22" s="46" t="str">
        <f aca="false">IFERROR(INDEX(DATABASE!$F$4:$F$2003,MATCH($B22,DATABASE!$AA$4:$AA$2003,0))&amp;"","")</f>
        <v>Kp. Tenjolaut</v>
      </c>
      <c r="F22" s="48" t="str">
        <f aca="false">IFERROR(INDEX(DATABASE!$G$4:$G$2003,MATCH($B22,DATABASE!$AA$4:$AA$2003,0))&amp;"","")</f>
        <v>001</v>
      </c>
      <c r="G22" s="77" t="str">
        <f aca="false">IFERROR(INDEX(DATABASE!$Y$4:$Y$2003,MATCH($B22,DATABASE!$AA$4:$AA$2003,0))&amp;"","")</f>
        <v>NIK kosong</v>
      </c>
      <c r="H22" s="46" t="str">
        <f aca="false">IFERROR(INDEX(DATABASE!$O$4:$O$2003,MATCH($B22,DATABASE!$AA$4:$AA$2003,0))&amp;"","")</f>
        <v/>
      </c>
    </row>
    <row r="23" customFormat="false" ht="15" hidden="false" customHeight="false" outlineLevel="0" collapsed="false">
      <c r="B23" s="49" t="n">
        <v>2</v>
      </c>
      <c r="C23" s="50" t="str">
        <f aca="false">IFERROR(INDEX(DATABASE!$B$4:$B$2003,MATCH($B23,DATABASE!$AA$4:$AA$2003,0))&amp;"","")</f>
        <v>IDRUS KAMSENO</v>
      </c>
      <c r="D23" s="51" t="str">
        <f aca="false">IFERROR(INDEX(DATABASE!$C$4:$C$2003,MATCH($B23,DATABASE!$AA$4:$AA$2003,0))&amp;"","")</f>
        <v/>
      </c>
      <c r="E23" s="49" t="str">
        <f aca="false">IFERROR(INDEX(DATABASE!$F$4:$F$2003,MATCH($B23,DATABASE!$AA$4:$AA$2003,0))&amp;"","")</f>
        <v>Kp. Gamprit</v>
      </c>
      <c r="F23" s="51" t="str">
        <f aca="false">IFERROR(INDEX(DATABASE!$G$4:$G$2003,MATCH($B23,DATABASE!$AA$4:$AA$2003,0))&amp;"","")</f>
        <v/>
      </c>
      <c r="G23" s="78" t="str">
        <f aca="false">IFERROR(INDEX(DATABASE!$Y$4:$Y$2003,MATCH($B23,DATABASE!$AA$4:$AA$2003,0))&amp;"","")</f>
        <v>NIK kosong</v>
      </c>
      <c r="H23" s="49" t="str">
        <f aca="false">IFERROR(INDEX(DATABASE!$O$4:$O$2003,MATCH($B23,DATABASE!$AA$4:$AA$2003,0))&amp;"","")</f>
        <v/>
      </c>
    </row>
    <row r="24" customFormat="false" ht="15" hidden="false" customHeight="false" outlineLevel="0" collapsed="false">
      <c r="B24" s="46" t="n">
        <v>3</v>
      </c>
      <c r="C24" s="47" t="str">
        <f aca="false">IFERROR(INDEX(DATABASE!$B$4:$B$2003,MATCH($B24,DATABASE!$AA$4:$AA$2003,0))&amp;"","")</f>
        <v>ALI IBRO MALISI</v>
      </c>
      <c r="D24" s="48" t="str">
        <f aca="false">IFERROR(INDEX(DATABASE!$C$4:$C$2003,MATCH($B24,DATABASE!$AA$4:$AA$2003,0))&amp;"","")</f>
        <v/>
      </c>
      <c r="E24" s="46" t="str">
        <f aca="false">IFERROR(INDEX(DATABASE!$F$4:$F$2003,MATCH($B24,DATABASE!$AA$4:$AA$2003,0))&amp;"","")</f>
        <v>Kp. Tenjolaut</v>
      </c>
      <c r="F24" s="48" t="str">
        <f aca="false">IFERROR(INDEX(DATABASE!$G$4:$G$2003,MATCH($B24,DATABASE!$AA$4:$AA$2003,0))&amp;"","")</f>
        <v/>
      </c>
      <c r="G24" s="77" t="str">
        <f aca="false">IFERROR(INDEX(DATABASE!$Y$4:$Y$2003,MATCH($B24,DATABASE!$AA$4:$AA$2003,0))&amp;"","")</f>
        <v>NIK kosong</v>
      </c>
      <c r="H24" s="46" t="str">
        <f aca="false">IFERROR(INDEX(DATABASE!$O$4:$O$2003,MATCH($B24,DATABASE!$AA$4:$AA$2003,0))&amp;"","")</f>
        <v/>
      </c>
    </row>
    <row r="25" customFormat="false" ht="15" hidden="false" customHeight="false" outlineLevel="0" collapsed="false">
      <c r="B25" s="49" t="n">
        <v>4</v>
      </c>
      <c r="C25" s="50" t="str">
        <f aca="false">IFERROR(INDEX(DATABASE!$B$4:$B$2003,MATCH($B25,DATABASE!$AA$4:$AA$2003,0))&amp;"","")</f>
        <v>MURDIN (BENGKUNG)</v>
      </c>
      <c r="D25" s="51" t="str">
        <f aca="false">IFERROR(INDEX(DATABASE!$C$4:$C$2003,MATCH($B25,DATABASE!$AA$4:$AA$2003,0))&amp;"","")</f>
        <v/>
      </c>
      <c r="E25" s="49" t="str">
        <f aca="false">IFERROR(INDEX(DATABASE!$F$4:$F$2003,MATCH($B25,DATABASE!$AA$4:$AA$2003,0))&amp;"","")</f>
        <v>Kp. Gamprit</v>
      </c>
      <c r="F25" s="51" t="str">
        <f aca="false">IFERROR(INDEX(DATABASE!$G$4:$G$2003,MATCH($B25,DATABASE!$AA$4:$AA$2003,0))&amp;"","")</f>
        <v/>
      </c>
      <c r="G25" s="78" t="str">
        <f aca="false">IFERROR(INDEX(DATABASE!$Y$4:$Y$2003,MATCH($B25,DATABASE!$AA$4:$AA$2003,0))&amp;"","")</f>
        <v>NIK kosong</v>
      </c>
      <c r="H25" s="49" t="str">
        <f aca="false">IFERROR(INDEX(DATABASE!$O$4:$O$2003,MATCH($B25,DATABASE!$AA$4:$AA$2003,0))&amp;"","")</f>
        <v/>
      </c>
    </row>
    <row r="26" customFormat="false" ht="15" hidden="false" customHeight="false" outlineLevel="0" collapsed="false">
      <c r="B26" s="46" t="n">
        <v>5</v>
      </c>
      <c r="C26" s="47" t="str">
        <f aca="false">IFERROR(INDEX(DATABASE!$B$4:$B$2003,MATCH($B26,DATABASE!$AA$4:$AA$2003,0))&amp;"","")</f>
        <v>RUSTADI</v>
      </c>
      <c r="D26" s="48" t="str">
        <f aca="false">IFERROR(INDEX(DATABASE!$C$4:$C$2003,MATCH($B26,DATABASE!$AA$4:$AA$2003,0))&amp;"","")</f>
        <v/>
      </c>
      <c r="E26" s="46" t="str">
        <f aca="false">IFERROR(INDEX(DATABASE!$F$4:$F$2003,MATCH($B26,DATABASE!$AA$4:$AA$2003,0))&amp;"","")</f>
        <v>Kp. Wangkal</v>
      </c>
      <c r="F26" s="48" t="str">
        <f aca="false">IFERROR(INDEX(DATABASE!$G$4:$G$2003,MATCH($B26,DATABASE!$AA$4:$AA$2003,0))&amp;"","")</f>
        <v/>
      </c>
      <c r="G26" s="77" t="str">
        <f aca="false">IFERROR(INDEX(DATABASE!$Y$4:$Y$2003,MATCH($B26,DATABASE!$AA$4:$AA$2003,0))&amp;"","")</f>
        <v>NIK kosong</v>
      </c>
      <c r="H26" s="46" t="str">
        <f aca="false">IFERROR(INDEX(DATABASE!$O$4:$O$2003,MATCH($B26,DATABASE!$AA$4:$AA$2003,0))&amp;"","")</f>
        <v/>
      </c>
    </row>
    <row r="27" customFormat="false" ht="15" hidden="false" customHeight="false" outlineLevel="0" collapsed="false">
      <c r="B27" s="49" t="n">
        <v>6</v>
      </c>
      <c r="C27" s="50" t="str">
        <f aca="false">IFERROR(INDEX(DATABASE!$B$4:$B$2003,MATCH($B27,DATABASE!$AA$4:$AA$2003,0))&amp;"","")</f>
        <v>ABDUL MANAN</v>
      </c>
      <c r="D27" s="51" t="str">
        <f aca="false">IFERROR(INDEX(DATABASE!$C$4:$C$2003,MATCH($B27,DATABASE!$AA$4:$AA$2003,0))&amp;"","")</f>
        <v/>
      </c>
      <c r="E27" s="49" t="str">
        <f aca="false">IFERROR(INDEX(DATABASE!$F$4:$F$2003,MATCH($B27,DATABASE!$AA$4:$AA$2003,0))&amp;"","")</f>
        <v>Kp. Kuda Kuda</v>
      </c>
      <c r="F27" s="51" t="str">
        <f aca="false">IFERROR(INDEX(DATABASE!$G$4:$G$2003,MATCH($B27,DATABASE!$AA$4:$AA$2003,0))&amp;"","")</f>
        <v/>
      </c>
      <c r="G27" s="78" t="str">
        <f aca="false">IFERROR(INDEX(DATABASE!$Y$4:$Y$2003,MATCH($B27,DATABASE!$AA$4:$AA$2003,0))&amp;"","")</f>
        <v>NIK kosong</v>
      </c>
      <c r="H27" s="49" t="str">
        <f aca="false">IFERROR(INDEX(DATABASE!$O$4:$O$2003,MATCH($B27,DATABASE!$AA$4:$AA$2003,0))&amp;"","")</f>
        <v/>
      </c>
    </row>
    <row r="28" customFormat="false" ht="15" hidden="false" customHeight="false" outlineLevel="0" collapsed="false">
      <c r="B28" s="46" t="n">
        <v>7</v>
      </c>
      <c r="C28" s="47" t="str">
        <f aca="false">IFERROR(INDEX(DATABASE!$B$4:$B$2003,MATCH($B28,DATABASE!$AA$4:$AA$2003,0))&amp;"","")</f>
        <v>IJAH</v>
      </c>
      <c r="D28" s="48" t="str">
        <f aca="false">IFERROR(INDEX(DATABASE!$C$4:$C$2003,MATCH($B28,DATABASE!$AA$4:$AA$2003,0))&amp;"","")</f>
        <v/>
      </c>
      <c r="E28" s="46" t="str">
        <f aca="false">IFERROR(INDEX(DATABASE!$F$4:$F$2003,MATCH($B28,DATABASE!$AA$4:$AA$2003,0))&amp;"","")</f>
        <v>Kp. Putri Melintang</v>
      </c>
      <c r="F28" s="48" t="str">
        <f aca="false">IFERROR(INDEX(DATABASE!$G$4:$G$2003,MATCH($B28,DATABASE!$AA$4:$AA$2003,0))&amp;"","")</f>
        <v/>
      </c>
      <c r="G28" s="77" t="str">
        <f aca="false">IFERROR(INDEX(DATABASE!$Y$4:$Y$2003,MATCH($B28,DATABASE!$AA$4:$AA$2003,0))&amp;"","")</f>
        <v>NIK kosong</v>
      </c>
      <c r="H28" s="46" t="str">
        <f aca="false">IFERROR(INDEX(DATABASE!$O$4:$O$2003,MATCH($B28,DATABASE!$AA$4:$AA$2003,0))&amp;"","")</f>
        <v/>
      </c>
    </row>
    <row r="29" customFormat="false" ht="15" hidden="false" customHeight="false" outlineLevel="0" collapsed="false">
      <c r="B29" s="49" t="n">
        <v>8</v>
      </c>
      <c r="C29" s="50" t="str">
        <f aca="false">IFERROR(INDEX(DATABASE!$B$4:$B$2003,MATCH($B29,DATABASE!$AA$4:$AA$2003,0))&amp;"","")</f>
        <v>JEBAG</v>
      </c>
      <c r="D29" s="51" t="str">
        <f aca="false">IFERROR(INDEX(DATABASE!$C$4:$C$2003,MATCH($B29,DATABASE!$AA$4:$AA$2003,0))&amp;"","")</f>
        <v/>
      </c>
      <c r="E29" s="49" t="str">
        <f aca="false">IFERROR(INDEX(DATABASE!$F$4:$F$2003,MATCH($B29,DATABASE!$AA$4:$AA$2003,0))&amp;"","")</f>
        <v>Kp. Kuda Kuda</v>
      </c>
      <c r="F29" s="51" t="str">
        <f aca="false">IFERROR(INDEX(DATABASE!$G$4:$G$2003,MATCH($B29,DATABASE!$AA$4:$AA$2003,0))&amp;"","")</f>
        <v>001</v>
      </c>
      <c r="G29" s="78" t="str">
        <f aca="false">IFERROR(INDEX(DATABASE!$Y$4:$Y$2003,MATCH($B29,DATABASE!$AA$4:$AA$2003,0))&amp;"","")</f>
        <v>NIK kosong</v>
      </c>
      <c r="H29" s="49" t="str">
        <f aca="false">IFERROR(INDEX(DATABASE!$O$4:$O$2003,MATCH($B29,DATABASE!$AA$4:$AA$2003,0))&amp;"","")</f>
        <v/>
      </c>
    </row>
    <row r="30" customFormat="false" ht="15" hidden="false" customHeight="false" outlineLevel="0" collapsed="false">
      <c r="B30" s="46" t="n">
        <v>9</v>
      </c>
      <c r="C30" s="47" t="str">
        <f aca="false">IFERROR(INDEX(DATABASE!$B$4:$B$2003,MATCH($B30,DATABASE!$AA$4:$AA$2003,0))&amp;"","")</f>
        <v>DONY</v>
      </c>
      <c r="D30" s="48" t="str">
        <f aca="false">IFERROR(INDEX(DATABASE!$C$4:$C$2003,MATCH($B30,DATABASE!$AA$4:$AA$2003,0))&amp;"","")</f>
        <v/>
      </c>
      <c r="E30" s="46" t="str">
        <f aca="false">IFERROR(INDEX(DATABASE!$F$4:$F$2003,MATCH($B30,DATABASE!$AA$4:$AA$2003,0))&amp;"","")</f>
        <v>Kp. Gamprit</v>
      </c>
      <c r="F30" s="48" t="str">
        <f aca="false">IFERROR(INDEX(DATABASE!$G$4:$G$2003,MATCH($B30,DATABASE!$AA$4:$AA$2003,0))&amp;"","")</f>
        <v/>
      </c>
      <c r="G30" s="77" t="str">
        <f aca="false">IFERROR(INDEX(DATABASE!$Y$4:$Y$2003,MATCH($B30,DATABASE!$AA$4:$AA$2003,0))&amp;"","")</f>
        <v>NIK kosong</v>
      </c>
      <c r="H30" s="46" t="str">
        <f aca="false">IFERROR(INDEX(DATABASE!$O$4:$O$2003,MATCH($B30,DATABASE!$AA$4:$AA$2003,0))&amp;"","")</f>
        <v/>
      </c>
    </row>
    <row r="31" customFormat="false" ht="15" hidden="false" customHeight="false" outlineLevel="0" collapsed="false">
      <c r="B31" s="49" t="n">
        <v>10</v>
      </c>
      <c r="C31" s="50" t="str">
        <f aca="false">IFERROR(INDEX(DATABASE!$B$4:$B$2003,MATCH($B31,DATABASE!$AA$4:$AA$2003,0))&amp;"","")</f>
        <v>WAWAN</v>
      </c>
      <c r="D31" s="51" t="str">
        <f aca="false">IFERROR(INDEX(DATABASE!$C$4:$C$2003,MATCH($B31,DATABASE!$AA$4:$AA$2003,0))&amp;"","")</f>
        <v/>
      </c>
      <c r="E31" s="49" t="str">
        <f aca="false">IFERROR(INDEX(DATABASE!$F$4:$F$2003,MATCH($B31,DATABASE!$AA$4:$AA$2003,0))&amp;"","")</f>
        <v>Kp. Kuda Kuda</v>
      </c>
      <c r="F31" s="51" t="str">
        <f aca="false">IFERROR(INDEX(DATABASE!$G$4:$G$2003,MATCH($B31,DATABASE!$AA$4:$AA$2003,0))&amp;"","")</f>
        <v>001</v>
      </c>
      <c r="G31" s="78" t="str">
        <f aca="false">IFERROR(INDEX(DATABASE!$Y$4:$Y$2003,MATCH($B31,DATABASE!$AA$4:$AA$2003,0))&amp;"","")</f>
        <v>NIK kosong</v>
      </c>
      <c r="H31" s="49" t="str">
        <f aca="false">IFERROR(INDEX(DATABASE!$O$4:$O$2003,MATCH($B31,DATABASE!$AA$4:$AA$2003,0))&amp;"","")</f>
        <v/>
      </c>
    </row>
    <row r="32" customFormat="false" ht="15" hidden="false" customHeight="false" outlineLevel="0" collapsed="false">
      <c r="B32" s="46" t="n">
        <v>11</v>
      </c>
      <c r="C32" s="47" t="str">
        <f aca="false">IFERROR(INDEX(DATABASE!$B$4:$B$2003,MATCH($B32,DATABASE!$AA$4:$AA$2003,0))&amp;"","")</f>
        <v>MAS DENI</v>
      </c>
      <c r="D32" s="48" t="str">
        <f aca="false">IFERROR(INDEX(DATABASE!$C$4:$C$2003,MATCH($B32,DATABASE!$AA$4:$AA$2003,0))&amp;"","")</f>
        <v/>
      </c>
      <c r="E32" s="46" t="str">
        <f aca="false">IFERROR(INDEX(DATABASE!$F$4:$F$2003,MATCH($B32,DATABASE!$AA$4:$AA$2003,0))&amp;"","")</f>
        <v/>
      </c>
      <c r="F32" s="48" t="str">
        <f aca="false">IFERROR(INDEX(DATABASE!$G$4:$G$2003,MATCH($B32,DATABASE!$AA$4:$AA$2003,0))&amp;"","")</f>
        <v>001</v>
      </c>
      <c r="G32" s="77" t="str">
        <f aca="false">IFERROR(INDEX(DATABASE!$Y$4:$Y$2003,MATCH($B32,DATABASE!$AA$4:$AA$2003,0))&amp;"","")</f>
        <v>NIK kosong</v>
      </c>
      <c r="H32" s="46" t="str">
        <f aca="false">IFERROR(INDEX(DATABASE!$O$4:$O$2003,MATCH($B32,DATABASE!$AA$4:$AA$2003,0))&amp;"","")</f>
        <v/>
      </c>
    </row>
    <row r="33" customFormat="false" ht="15" hidden="false" customHeight="false" outlineLevel="0" collapsed="false">
      <c r="B33" s="49" t="n">
        <v>12</v>
      </c>
      <c r="C33" s="50" t="str">
        <f aca="false">IFERROR(INDEX(DATABASE!$B$4:$B$2003,MATCH($B33,DATABASE!$AA$4:$AA$2003,0))&amp;"","")</f>
        <v>HARIS</v>
      </c>
      <c r="D33" s="51" t="str">
        <f aca="false">IFERROR(INDEX(DATABASE!$C$4:$C$2003,MATCH($B33,DATABASE!$AA$4:$AA$2003,0))&amp;"","")</f>
        <v/>
      </c>
      <c r="E33" s="49" t="str">
        <f aca="false">IFERROR(INDEX(DATABASE!$F$4:$F$2003,MATCH($B33,DATABASE!$AA$4:$AA$2003,0))&amp;"","")</f>
        <v>Kp. Kuda Kuda</v>
      </c>
      <c r="F33" s="51" t="str">
        <f aca="false">IFERROR(INDEX(DATABASE!$G$4:$G$2003,MATCH($B33,DATABASE!$AA$4:$AA$2003,0))&amp;"","")</f>
        <v>003</v>
      </c>
      <c r="G33" s="78" t="str">
        <f aca="false">IFERROR(INDEX(DATABASE!$Y$4:$Y$2003,MATCH($B33,DATABASE!$AA$4:$AA$2003,0))&amp;"","")</f>
        <v>NIK kosong</v>
      </c>
      <c r="H33" s="49" t="str">
        <f aca="false">IFERROR(INDEX(DATABASE!$O$4:$O$2003,MATCH($B33,DATABASE!$AA$4:$AA$2003,0))&amp;"","")</f>
        <v/>
      </c>
    </row>
    <row r="34" customFormat="false" ht="15" hidden="false" customHeight="false" outlineLevel="0" collapsed="false">
      <c r="B34" s="46" t="n">
        <v>13</v>
      </c>
      <c r="C34" s="47" t="str">
        <f aca="false">IFERROR(INDEX(DATABASE!$B$4:$B$2003,MATCH($B34,DATABASE!$AA$4:$AA$2003,0))&amp;"","")</f>
        <v>NELIH</v>
      </c>
      <c r="D34" s="48" t="str">
        <f aca="false">IFERROR(INDEX(DATABASE!$C$4:$C$2003,MATCH($B34,DATABASE!$AA$4:$AA$2003,0))&amp;"","")</f>
        <v/>
      </c>
      <c r="E34" s="46" t="str">
        <f aca="false">IFERROR(INDEX(DATABASE!$F$4:$F$2003,MATCH($B34,DATABASE!$AA$4:$AA$2003,0))&amp;"","")</f>
        <v>Kp. Wangkal</v>
      </c>
      <c r="F34" s="48" t="str">
        <f aca="false">IFERROR(INDEX(DATABASE!$G$4:$G$2003,MATCH($B34,DATABASE!$AA$4:$AA$2003,0))&amp;"","")</f>
        <v>004</v>
      </c>
      <c r="G34" s="77" t="str">
        <f aca="false">IFERROR(INDEX(DATABASE!$Y$4:$Y$2003,MATCH($B34,DATABASE!$AA$4:$AA$2003,0))&amp;"","")</f>
        <v>NIK kosong</v>
      </c>
      <c r="H34" s="46" t="str">
        <f aca="false">IFERROR(INDEX(DATABASE!$O$4:$O$2003,MATCH($B34,DATABASE!$AA$4:$AA$2003,0))&amp;"","")</f>
        <v/>
      </c>
    </row>
    <row r="35" customFormat="false" ht="15" hidden="false" customHeight="false" outlineLevel="0" collapsed="false">
      <c r="B35" s="49" t="n">
        <v>14</v>
      </c>
      <c r="C35" s="50" t="str">
        <f aca="false">IFERROR(INDEX(DATABASE!$B$4:$B$2003,MATCH($B35,DATABASE!$AA$4:$AA$2003,0))&amp;"","")</f>
        <v>RUDI</v>
      </c>
      <c r="D35" s="51" t="str">
        <f aca="false">IFERROR(INDEX(DATABASE!$C$4:$C$2003,MATCH($B35,DATABASE!$AA$4:$AA$2003,0))&amp;"","")</f>
        <v/>
      </c>
      <c r="E35" s="49" t="str">
        <f aca="false">IFERROR(INDEX(DATABASE!$F$4:$F$2003,MATCH($B35,DATABASE!$AA$4:$AA$2003,0))&amp;"","")</f>
        <v>Kp. Gamprit</v>
      </c>
      <c r="F35" s="51" t="str">
        <f aca="false">IFERROR(INDEX(DATABASE!$G$4:$G$2003,MATCH($B35,DATABASE!$AA$4:$AA$2003,0))&amp;"","")</f>
        <v>003</v>
      </c>
      <c r="G35" s="78" t="str">
        <f aca="false">IFERROR(INDEX(DATABASE!$Y$4:$Y$2003,MATCH($B35,DATABASE!$AA$4:$AA$2003,0))&amp;"","")</f>
        <v>NIK kosong</v>
      </c>
      <c r="H35" s="49" t="str">
        <f aca="false">IFERROR(INDEX(DATABASE!$O$4:$O$2003,MATCH($B35,DATABASE!$AA$4:$AA$2003,0))&amp;"","")</f>
        <v/>
      </c>
    </row>
    <row r="36" customFormat="false" ht="15" hidden="false" customHeight="false" outlineLevel="0" collapsed="false">
      <c r="B36" s="46" t="n">
        <v>15</v>
      </c>
      <c r="C36" s="47" t="str">
        <f aca="false">IFERROR(INDEX(DATABASE!$B$4:$B$2003,MATCH($B36,DATABASE!$AA$4:$AA$2003,0))&amp;"","")</f>
        <v>NIMAN</v>
      </c>
      <c r="D36" s="48" t="str">
        <f aca="false">IFERROR(INDEX(DATABASE!$C$4:$C$2003,MATCH($B36,DATABASE!$AA$4:$AA$2003,0))&amp;"","")</f>
        <v/>
      </c>
      <c r="E36" s="46" t="str">
        <f aca="false">IFERROR(INDEX(DATABASE!$F$4:$F$2003,MATCH($B36,DATABASE!$AA$4:$AA$2003,0))&amp;"","")</f>
        <v>Kp. Gamprit</v>
      </c>
      <c r="F36" s="48" t="str">
        <f aca="false">IFERROR(INDEX(DATABASE!$G$4:$G$2003,MATCH($B36,DATABASE!$AA$4:$AA$2003,0))&amp;"","")</f>
        <v>002</v>
      </c>
      <c r="G36" s="77" t="str">
        <f aca="false">IFERROR(INDEX(DATABASE!$Y$4:$Y$2003,MATCH($B36,DATABASE!$AA$4:$AA$2003,0))&amp;"","")</f>
        <v>NIK kosong</v>
      </c>
      <c r="H36" s="46" t="str">
        <f aca="false">IFERROR(INDEX(DATABASE!$O$4:$O$2003,MATCH($B36,DATABASE!$AA$4:$AA$2003,0))&amp;"","")</f>
        <v/>
      </c>
    </row>
    <row r="37" customFormat="false" ht="15" hidden="false" customHeight="false" outlineLevel="0" collapsed="false">
      <c r="B37" s="49" t="n">
        <v>16</v>
      </c>
      <c r="C37" s="50" t="str">
        <f aca="false">IFERROR(INDEX(DATABASE!$B$4:$B$2003,MATCH($B37,DATABASE!$AA$4:$AA$2003,0))&amp;"","")</f>
        <v>RENALDI</v>
      </c>
      <c r="D37" s="51" t="str">
        <f aca="false">IFERROR(INDEX(DATABASE!$C$4:$C$2003,MATCH($B37,DATABASE!$AA$4:$AA$2003,0))&amp;"","")</f>
        <v/>
      </c>
      <c r="E37" s="49" t="str">
        <f aca="false">IFERROR(INDEX(DATABASE!$F$4:$F$2003,MATCH($B37,DATABASE!$AA$4:$AA$2003,0))&amp;"","")</f>
        <v>Kp. Gamprit</v>
      </c>
      <c r="F37" s="51" t="str">
        <f aca="false">IFERROR(INDEX(DATABASE!$G$4:$G$2003,MATCH($B37,DATABASE!$AA$4:$AA$2003,0))&amp;"","")</f>
        <v>003</v>
      </c>
      <c r="G37" s="78" t="str">
        <f aca="false">IFERROR(INDEX(DATABASE!$Y$4:$Y$2003,MATCH($B37,DATABASE!$AA$4:$AA$2003,0))&amp;"","")</f>
        <v>NIK kosong</v>
      </c>
      <c r="H37" s="49" t="str">
        <f aca="false">IFERROR(INDEX(DATABASE!$O$4:$O$2003,MATCH($B37,DATABASE!$AA$4:$AA$2003,0))&amp;"","")</f>
        <v/>
      </c>
    </row>
    <row r="38" customFormat="false" ht="15" hidden="false" customHeight="false" outlineLevel="0" collapsed="false">
      <c r="B38" s="46" t="n">
        <v>17</v>
      </c>
      <c r="C38" s="47" t="str">
        <f aca="false">IFERROR(INDEX(DATABASE!$B$4:$B$2003,MATCH($B38,DATABASE!$AA$4:$AA$2003,0))&amp;"","")</f>
        <v>JAYA</v>
      </c>
      <c r="D38" s="48" t="str">
        <f aca="false">IFERROR(INDEX(DATABASE!$C$4:$C$2003,MATCH($B38,DATABASE!$AA$4:$AA$2003,0))&amp;"","")</f>
        <v/>
      </c>
      <c r="E38" s="46" t="str">
        <f aca="false">IFERROR(INDEX(DATABASE!$F$4:$F$2003,MATCH($B38,DATABASE!$AA$4:$AA$2003,0))&amp;"","")</f>
        <v>Kp. Wangkal</v>
      </c>
      <c r="F38" s="48" t="str">
        <f aca="false">IFERROR(INDEX(DATABASE!$G$4:$G$2003,MATCH($B38,DATABASE!$AA$4:$AA$2003,0))&amp;"","")</f>
        <v>004</v>
      </c>
      <c r="G38" s="77" t="str">
        <f aca="false">IFERROR(INDEX(DATABASE!$Y$4:$Y$2003,MATCH($B38,DATABASE!$AA$4:$AA$2003,0))&amp;"","")</f>
        <v>NIK kosong</v>
      </c>
      <c r="H38" s="46" t="str">
        <f aca="false">IFERROR(INDEX(DATABASE!$O$4:$O$2003,MATCH($B38,DATABASE!$AA$4:$AA$2003,0))&amp;"","")</f>
        <v/>
      </c>
    </row>
    <row r="39" customFormat="false" ht="15" hidden="false" customHeight="false" outlineLevel="0" collapsed="false">
      <c r="B39" s="49" t="n">
        <v>18</v>
      </c>
      <c r="C39" s="50" t="str">
        <f aca="false">IFERROR(INDEX(DATABASE!$B$4:$B$2003,MATCH($B39,DATABASE!$AA$4:$AA$2003,0))&amp;"","")</f>
        <v>ADE RINO</v>
      </c>
      <c r="D39" s="51" t="str">
        <f aca="false">IFERROR(INDEX(DATABASE!$C$4:$C$2003,MATCH($B39,DATABASE!$AA$4:$AA$2003,0))&amp;"","")</f>
        <v/>
      </c>
      <c r="E39" s="49" t="str">
        <f aca="false">IFERROR(INDEX(DATABASE!$F$4:$F$2003,MATCH($B39,DATABASE!$AA$4:$AA$2003,0))&amp;"","")</f>
        <v>Kp. Gamprit</v>
      </c>
      <c r="F39" s="51" t="str">
        <f aca="false">IFERROR(INDEX(DATABASE!$G$4:$G$2003,MATCH($B39,DATABASE!$AA$4:$AA$2003,0))&amp;"","")</f>
        <v>003</v>
      </c>
      <c r="G39" s="78" t="str">
        <f aca="false">IFERROR(INDEX(DATABASE!$Y$4:$Y$2003,MATCH($B39,DATABASE!$AA$4:$AA$2003,0))&amp;"","")</f>
        <v>NIK kosong</v>
      </c>
      <c r="H39" s="49" t="str">
        <f aca="false">IFERROR(INDEX(DATABASE!$O$4:$O$2003,MATCH($B39,DATABASE!$AA$4:$AA$2003,0))&amp;"","")</f>
        <v/>
      </c>
    </row>
    <row r="40" customFormat="false" ht="15" hidden="false" customHeight="false" outlineLevel="0" collapsed="false">
      <c r="B40" s="46" t="n">
        <v>19</v>
      </c>
      <c r="C40" s="47" t="str">
        <f aca="false">IFERROR(INDEX(DATABASE!$B$4:$B$2003,MATCH($B40,DATABASE!$AA$4:$AA$2003,0))&amp;"","")</f>
        <v>WINDA</v>
      </c>
      <c r="D40" s="48" t="str">
        <f aca="false">IFERROR(INDEX(DATABASE!$C$4:$C$2003,MATCH($B40,DATABASE!$AA$4:$AA$2003,0))&amp;"","")</f>
        <v/>
      </c>
      <c r="E40" s="46" t="str">
        <f aca="false">IFERROR(INDEX(DATABASE!$F$4:$F$2003,MATCH($B40,DATABASE!$AA$4:$AA$2003,0))&amp;"","")</f>
        <v>Kp. Kuda Kuda</v>
      </c>
      <c r="F40" s="48" t="str">
        <f aca="false">IFERROR(INDEX(DATABASE!$G$4:$G$2003,MATCH($B40,DATABASE!$AA$4:$AA$2003,0))&amp;"","")</f>
        <v>004</v>
      </c>
      <c r="G40" s="77" t="str">
        <f aca="false">IFERROR(INDEX(DATABASE!$Y$4:$Y$2003,MATCH($B40,DATABASE!$AA$4:$AA$2003,0))&amp;"","")</f>
        <v>NIK kosong</v>
      </c>
      <c r="H40" s="46" t="str">
        <f aca="false">IFERROR(INDEX(DATABASE!$O$4:$O$2003,MATCH($B40,DATABASE!$AA$4:$AA$2003,0))&amp;"","")</f>
        <v/>
      </c>
    </row>
    <row r="41" customFormat="false" ht="15" hidden="false" customHeight="false" outlineLevel="0" collapsed="false">
      <c r="B41" s="49" t="n">
        <v>20</v>
      </c>
      <c r="C41" s="50" t="str">
        <f aca="false">IFERROR(INDEX(DATABASE!$B$4:$B$2003,MATCH($B41,DATABASE!$AA$4:$AA$2003,0))&amp;"","")</f>
        <v>HERMAN BOLON</v>
      </c>
      <c r="D41" s="51" t="str">
        <f aca="false">IFERROR(INDEX(DATABASE!$C$4:$C$2003,MATCH($B41,DATABASE!$AA$4:$AA$2003,0))&amp;"","")</f>
        <v/>
      </c>
      <c r="E41" s="49" t="str">
        <f aca="false">IFERROR(INDEX(DATABASE!$F$4:$F$2003,MATCH($B41,DATABASE!$AA$4:$AA$2003,0))&amp;"","")</f>
        <v>Kp. Gamprit</v>
      </c>
      <c r="F41" s="51" t="str">
        <f aca="false">IFERROR(INDEX(DATABASE!$G$4:$G$2003,MATCH($B41,DATABASE!$AA$4:$AA$2003,0))&amp;"","")</f>
        <v>003</v>
      </c>
      <c r="G41" s="78" t="str">
        <f aca="false">IFERROR(INDEX(DATABASE!$Y$4:$Y$2003,MATCH($B41,DATABASE!$AA$4:$AA$2003,0))&amp;"","")</f>
        <v>NIK kosong</v>
      </c>
      <c r="H41" s="49" t="str">
        <f aca="false">IFERROR(INDEX(DATABASE!$O$4:$O$2003,MATCH($B41,DATABASE!$AA$4:$AA$2003,0))&amp;"","")</f>
        <v/>
      </c>
    </row>
    <row r="42" customFormat="false" ht="15" hidden="false" customHeight="false" outlineLevel="0" collapsed="false">
      <c r="B42" s="46" t="n">
        <v>21</v>
      </c>
      <c r="C42" s="47" t="str">
        <f aca="false">IFERROR(INDEX(DATABASE!$B$4:$B$2003,MATCH($B42,DATABASE!$AA$4:$AA$2003,0))&amp;"","")</f>
        <v>TASBIH (BODONG)</v>
      </c>
      <c r="D42" s="48" t="str">
        <f aca="false">IFERROR(INDEX(DATABASE!$C$4:$C$2003,MATCH($B42,DATABASE!$AA$4:$AA$2003,0))&amp;"","")</f>
        <v/>
      </c>
      <c r="E42" s="46" t="str">
        <f aca="false">IFERROR(INDEX(DATABASE!$F$4:$F$2003,MATCH($B42,DATABASE!$AA$4:$AA$2003,0))&amp;"","")</f>
        <v>Kp. Wangkal</v>
      </c>
      <c r="F42" s="48" t="str">
        <f aca="false">IFERROR(INDEX(DATABASE!$G$4:$G$2003,MATCH($B42,DATABASE!$AA$4:$AA$2003,0))&amp;"","")</f>
        <v>004</v>
      </c>
      <c r="G42" s="77" t="str">
        <f aca="false">IFERROR(INDEX(DATABASE!$Y$4:$Y$2003,MATCH($B42,DATABASE!$AA$4:$AA$2003,0))&amp;"","")</f>
        <v>NIK kosong</v>
      </c>
      <c r="H42" s="46" t="str">
        <f aca="false">IFERROR(INDEX(DATABASE!$O$4:$O$2003,MATCH($B42,DATABASE!$AA$4:$AA$2003,0))&amp;"","")</f>
        <v/>
      </c>
    </row>
    <row r="43" customFormat="false" ht="15" hidden="false" customHeight="false" outlineLevel="0" collapsed="false">
      <c r="B43" s="49" t="n">
        <v>22</v>
      </c>
      <c r="C43" s="50" t="str">
        <f aca="false">IFERROR(INDEX(DATABASE!$B$4:$B$2003,MATCH($B43,DATABASE!$AA$4:$AA$2003,0))&amp;"","")</f>
        <v>MARDI</v>
      </c>
      <c r="D43" s="51" t="str">
        <f aca="false">IFERROR(INDEX(DATABASE!$C$4:$C$2003,MATCH($B43,DATABASE!$AA$4:$AA$2003,0))&amp;"","")</f>
        <v/>
      </c>
      <c r="E43" s="49" t="str">
        <f aca="false">IFERROR(INDEX(DATABASE!$F$4:$F$2003,MATCH($B43,DATABASE!$AA$4:$AA$2003,0))&amp;"","")</f>
        <v>Kp. Wangkal</v>
      </c>
      <c r="F43" s="51" t="str">
        <f aca="false">IFERROR(INDEX(DATABASE!$G$4:$G$2003,MATCH($B43,DATABASE!$AA$4:$AA$2003,0))&amp;"","")</f>
        <v>005</v>
      </c>
      <c r="G43" s="78" t="str">
        <f aca="false">IFERROR(INDEX(DATABASE!$Y$4:$Y$2003,MATCH($B43,DATABASE!$AA$4:$AA$2003,0))&amp;"","")</f>
        <v>NIK kosong</v>
      </c>
      <c r="H43" s="49" t="str">
        <f aca="false">IFERROR(INDEX(DATABASE!$O$4:$O$2003,MATCH($B43,DATABASE!$AA$4:$AA$2003,0))&amp;"","")</f>
        <v/>
      </c>
    </row>
    <row r="44" customFormat="false" ht="15" hidden="false" customHeight="false" outlineLevel="0" collapsed="false">
      <c r="B44" s="46" t="n">
        <v>23</v>
      </c>
      <c r="C44" s="47" t="str">
        <f aca="false">IFERROR(INDEX(DATABASE!$B$4:$B$2003,MATCH($B44,DATABASE!$AA$4:$AA$2003,0))&amp;"","")</f>
        <v>OTIH (AAL)</v>
      </c>
      <c r="D44" s="48" t="str">
        <f aca="false">IFERROR(INDEX(DATABASE!$C$4:$C$2003,MATCH($B44,DATABASE!$AA$4:$AA$2003,0))&amp;"","")</f>
        <v/>
      </c>
      <c r="E44" s="46" t="str">
        <f aca="false">IFERROR(INDEX(DATABASE!$F$4:$F$2003,MATCH($B44,DATABASE!$AA$4:$AA$2003,0))&amp;"","")</f>
        <v>Kp. Gamprit</v>
      </c>
      <c r="F44" s="48" t="str">
        <f aca="false">IFERROR(INDEX(DATABASE!$G$4:$G$2003,MATCH($B44,DATABASE!$AA$4:$AA$2003,0))&amp;"","")</f>
        <v>003</v>
      </c>
      <c r="G44" s="77" t="str">
        <f aca="false">IFERROR(INDEX(DATABASE!$Y$4:$Y$2003,MATCH($B44,DATABASE!$AA$4:$AA$2003,0))&amp;"","")</f>
        <v>NIK kosong</v>
      </c>
      <c r="H44" s="46" t="str">
        <f aca="false">IFERROR(INDEX(DATABASE!$O$4:$O$2003,MATCH($B44,DATABASE!$AA$4:$AA$2003,0))&amp;"","")</f>
        <v/>
      </c>
    </row>
    <row r="45" customFormat="false" ht="15" hidden="false" customHeight="false" outlineLevel="0" collapsed="false">
      <c r="B45" s="49" t="n">
        <v>24</v>
      </c>
      <c r="C45" s="50" t="str">
        <f aca="false">IFERROR(INDEX(DATABASE!$B$4:$B$2003,MATCH($B45,DATABASE!$AA$4:$AA$2003,0))&amp;"","")</f>
        <v>KANDI</v>
      </c>
      <c r="D45" s="51" t="str">
        <f aca="false">IFERROR(INDEX(DATABASE!$C$4:$C$2003,MATCH($B45,DATABASE!$AA$4:$AA$2003,0))&amp;"","")</f>
        <v/>
      </c>
      <c r="E45" s="49" t="str">
        <f aca="false">IFERROR(INDEX(DATABASE!$F$4:$F$2003,MATCH($B45,DATABASE!$AA$4:$AA$2003,0))&amp;"","")</f>
        <v>Kp. Gamprit</v>
      </c>
      <c r="F45" s="51" t="str">
        <f aca="false">IFERROR(INDEX(DATABASE!$G$4:$G$2003,MATCH($B45,DATABASE!$AA$4:$AA$2003,0))&amp;"","")</f>
        <v>003</v>
      </c>
      <c r="G45" s="78" t="str">
        <f aca="false">IFERROR(INDEX(DATABASE!$Y$4:$Y$2003,MATCH($B45,DATABASE!$AA$4:$AA$2003,0))&amp;"","")</f>
        <v>NIK kosong</v>
      </c>
      <c r="H45" s="49" t="str">
        <f aca="false">IFERROR(INDEX(DATABASE!$O$4:$O$2003,MATCH($B45,DATABASE!$AA$4:$AA$2003,0))&amp;"","")</f>
        <v/>
      </c>
    </row>
    <row r="46" customFormat="false" ht="15" hidden="false" customHeight="false" outlineLevel="0" collapsed="false">
      <c r="B46" s="46" t="n">
        <v>25</v>
      </c>
      <c r="C46" s="47" t="str">
        <f aca="false">IFERROR(INDEX(DATABASE!$B$4:$B$2003,MATCH($B46,DATABASE!$AA$4:$AA$2003,0))&amp;"","")</f>
        <v>EMIN (KOJEK)</v>
      </c>
      <c r="D46" s="48" t="str">
        <f aca="false">IFERROR(INDEX(DATABASE!$C$4:$C$2003,MATCH($B46,DATABASE!$AA$4:$AA$2003,0))&amp;"","")</f>
        <v/>
      </c>
      <c r="E46" s="46" t="str">
        <f aca="false">IFERROR(INDEX(DATABASE!$F$4:$F$2003,MATCH($B46,DATABASE!$AA$4:$AA$2003,0))&amp;"","")</f>
        <v>Kp. Wangkal</v>
      </c>
      <c r="F46" s="48" t="str">
        <f aca="false">IFERROR(INDEX(DATABASE!$G$4:$G$2003,MATCH($B46,DATABASE!$AA$4:$AA$2003,0))&amp;"","")</f>
        <v>004</v>
      </c>
      <c r="G46" s="77" t="str">
        <f aca="false">IFERROR(INDEX(DATABASE!$Y$4:$Y$2003,MATCH($B46,DATABASE!$AA$4:$AA$2003,0))&amp;"","")</f>
        <v>NIK kosong</v>
      </c>
      <c r="H46" s="46" t="str">
        <f aca="false">IFERROR(INDEX(DATABASE!$O$4:$O$2003,MATCH($B46,DATABASE!$AA$4:$AA$2003,0))&amp;"","")</f>
        <v/>
      </c>
    </row>
    <row r="47" customFormat="false" ht="15" hidden="false" customHeight="false" outlineLevel="0" collapsed="false">
      <c r="B47" s="49" t="n">
        <v>26</v>
      </c>
      <c r="C47" s="50" t="str">
        <f aca="false">IFERROR(INDEX(DATABASE!$B$4:$B$2003,MATCH($B47,DATABASE!$AA$4:$AA$2003,0))&amp;"","")</f>
        <v>KET NALIH</v>
      </c>
      <c r="D47" s="51" t="str">
        <f aca="false">IFERROR(INDEX(DATABASE!$C$4:$C$2003,MATCH($B47,DATABASE!$AA$4:$AA$2003,0))&amp;"","")</f>
        <v/>
      </c>
      <c r="E47" s="49" t="str">
        <f aca="false">IFERROR(INDEX(DATABASE!$F$4:$F$2003,MATCH($B47,DATABASE!$AA$4:$AA$2003,0))&amp;"","")</f>
        <v>Kp. Wangkal</v>
      </c>
      <c r="F47" s="51" t="str">
        <f aca="false">IFERROR(INDEX(DATABASE!$G$4:$G$2003,MATCH($B47,DATABASE!$AA$4:$AA$2003,0))&amp;"","")</f>
        <v>004</v>
      </c>
      <c r="G47" s="78" t="str">
        <f aca="false">IFERROR(INDEX(DATABASE!$Y$4:$Y$2003,MATCH($B47,DATABASE!$AA$4:$AA$2003,0))&amp;"","")</f>
        <v>NIK kosong</v>
      </c>
      <c r="H47" s="49" t="str">
        <f aca="false">IFERROR(INDEX(DATABASE!$O$4:$O$2003,MATCH($B47,DATABASE!$AA$4:$AA$2003,0))&amp;"","")</f>
        <v/>
      </c>
    </row>
    <row r="48" customFormat="false" ht="15" hidden="false" customHeight="false" outlineLevel="0" collapsed="false">
      <c r="B48" s="46" t="n">
        <v>27</v>
      </c>
      <c r="C48" s="47" t="str">
        <f aca="false">IFERROR(INDEX(DATABASE!$B$4:$B$2003,MATCH($B48,DATABASE!$AA$4:$AA$2003,0))&amp;"","")</f>
        <v>FEI</v>
      </c>
      <c r="D48" s="48" t="str">
        <f aca="false">IFERROR(INDEX(DATABASE!$C$4:$C$2003,MATCH($B48,DATABASE!$AA$4:$AA$2003,0))&amp;"","")</f>
        <v/>
      </c>
      <c r="E48" s="46" t="str">
        <f aca="false">IFERROR(INDEX(DATABASE!$F$4:$F$2003,MATCH($B48,DATABASE!$AA$4:$AA$2003,0))&amp;"","")</f>
        <v/>
      </c>
      <c r="F48" s="48" t="str">
        <f aca="false">IFERROR(INDEX(DATABASE!$G$4:$G$2003,MATCH($B48,DATABASE!$AA$4:$AA$2003,0))&amp;"","")</f>
        <v>004</v>
      </c>
      <c r="G48" s="77" t="str">
        <f aca="false">IFERROR(INDEX(DATABASE!$Y$4:$Y$2003,MATCH($B48,DATABASE!$AA$4:$AA$2003,0))&amp;"","")</f>
        <v>NIK kosong</v>
      </c>
      <c r="H48" s="46" t="str">
        <f aca="false">IFERROR(INDEX(DATABASE!$O$4:$O$2003,MATCH($B48,DATABASE!$AA$4:$AA$2003,0))&amp;"","")</f>
        <v/>
      </c>
    </row>
    <row r="49" customFormat="false" ht="15" hidden="false" customHeight="false" outlineLevel="0" collapsed="false">
      <c r="B49" s="49" t="n">
        <v>28</v>
      </c>
      <c r="C49" s="50" t="str">
        <f aca="false">IFERROR(INDEX(DATABASE!$B$4:$B$2003,MATCH($B49,DATABASE!$AA$4:$AA$2003,0))&amp;"","")</f>
        <v>AAL</v>
      </c>
      <c r="D49" s="51" t="str">
        <f aca="false">IFERROR(INDEX(DATABASE!$C$4:$C$2003,MATCH($B49,DATABASE!$AA$4:$AA$2003,0))&amp;"","")</f>
        <v/>
      </c>
      <c r="E49" s="49" t="str">
        <f aca="false">IFERROR(INDEX(DATABASE!$F$4:$F$2003,MATCH($B49,DATABASE!$AA$4:$AA$2003,0))&amp;"","")</f>
        <v>Kp. Kuda Kuda</v>
      </c>
      <c r="F49" s="51" t="str">
        <f aca="false">IFERROR(INDEX(DATABASE!$G$4:$G$2003,MATCH($B49,DATABASE!$AA$4:$AA$2003,0))&amp;"","")</f>
        <v>004</v>
      </c>
      <c r="G49" s="78" t="str">
        <f aca="false">IFERROR(INDEX(DATABASE!$Y$4:$Y$2003,MATCH($B49,DATABASE!$AA$4:$AA$2003,0))&amp;"","")</f>
        <v>NIK kosong</v>
      </c>
      <c r="H49" s="49" t="str">
        <f aca="false">IFERROR(INDEX(DATABASE!$O$4:$O$2003,MATCH($B49,DATABASE!$AA$4:$AA$2003,0))&amp;"","")</f>
        <v/>
      </c>
    </row>
    <row r="50" customFormat="false" ht="15" hidden="false" customHeight="false" outlineLevel="0" collapsed="false">
      <c r="B50" s="46" t="n">
        <v>29</v>
      </c>
      <c r="C50" s="47" t="str">
        <f aca="false">IFERROR(INDEX(DATABASE!$B$4:$B$2003,MATCH($B50,DATABASE!$AA$4:$AA$2003,0))&amp;"","")</f>
        <v>OMAN</v>
      </c>
      <c r="D50" s="48" t="str">
        <f aca="false">IFERROR(INDEX(DATABASE!$C$4:$C$2003,MATCH($B50,DATABASE!$AA$4:$AA$2003,0))&amp;"","")</f>
        <v/>
      </c>
      <c r="E50" s="46" t="str">
        <f aca="false">IFERROR(INDEX(DATABASE!$F$4:$F$2003,MATCH($B50,DATABASE!$AA$4:$AA$2003,0))&amp;"","")</f>
        <v/>
      </c>
      <c r="F50" s="48" t="str">
        <f aca="false">IFERROR(INDEX(DATABASE!$G$4:$G$2003,MATCH($B50,DATABASE!$AA$4:$AA$2003,0))&amp;"","")</f>
        <v>003</v>
      </c>
      <c r="G50" s="77" t="str">
        <f aca="false">IFERROR(INDEX(DATABASE!$Y$4:$Y$2003,MATCH($B50,DATABASE!$AA$4:$AA$2003,0))&amp;"","")</f>
        <v>NIK kosong</v>
      </c>
      <c r="H50" s="46" t="str">
        <f aca="false">IFERROR(INDEX(DATABASE!$O$4:$O$2003,MATCH($B50,DATABASE!$AA$4:$AA$2003,0))&amp;"","")</f>
        <v/>
      </c>
    </row>
    <row r="51" customFormat="false" ht="15" hidden="false" customHeight="false" outlineLevel="0" collapsed="false">
      <c r="B51" s="49" t="n">
        <v>30</v>
      </c>
      <c r="C51" s="50" t="str">
        <f aca="false">IFERROR(INDEX(DATABASE!$B$4:$B$2003,MATCH($B51,DATABASE!$AA$4:$AA$2003,0))&amp;"","")</f>
        <v>WACEP ACENK</v>
      </c>
      <c r="D51" s="51" t="str">
        <f aca="false">IFERROR(INDEX(DATABASE!$C$4:$C$2003,MATCH($B51,DATABASE!$AA$4:$AA$2003,0))&amp;"","")</f>
        <v/>
      </c>
      <c r="E51" s="49" t="str">
        <f aca="false">IFERROR(INDEX(DATABASE!$F$4:$F$2003,MATCH($B51,DATABASE!$AA$4:$AA$2003,0))&amp;"","")</f>
        <v/>
      </c>
      <c r="F51" s="51" t="str">
        <f aca="false">IFERROR(INDEX(DATABASE!$G$4:$G$2003,MATCH($B51,DATABASE!$AA$4:$AA$2003,0))&amp;"","")</f>
        <v>003</v>
      </c>
      <c r="G51" s="78" t="str">
        <f aca="false">IFERROR(INDEX(DATABASE!$Y$4:$Y$2003,MATCH($B51,DATABASE!$AA$4:$AA$2003,0))&amp;"","")</f>
        <v>NIK kosong</v>
      </c>
      <c r="H51" s="49" t="str">
        <f aca="false">IFERROR(INDEX(DATABASE!$O$4:$O$2003,MATCH($B51,DATABASE!$AA$4:$AA$2003,0))&amp;"","")</f>
        <v/>
      </c>
    </row>
    <row r="52" customFormat="false" ht="15" hidden="false" customHeight="false" outlineLevel="0" collapsed="false">
      <c r="B52" s="46" t="n">
        <v>31</v>
      </c>
      <c r="C52" s="47" t="str">
        <f aca="false">IFERROR(INDEX(DATABASE!$B$4:$B$2003,MATCH($B52,DATABASE!$AA$4:$AA$2003,0))&amp;"","")</f>
        <v>A. AZIZ MAULANA</v>
      </c>
      <c r="D52" s="48" t="str">
        <f aca="false">IFERROR(INDEX(DATABASE!$C$4:$C$2003,MATCH($B52,DATABASE!$AA$4:$AA$2003,0))&amp;"","")</f>
        <v/>
      </c>
      <c r="E52" s="46" t="str">
        <f aca="false">IFERROR(INDEX(DATABASE!$F$4:$F$2003,MATCH($B52,DATABASE!$AA$4:$AA$2003,0))&amp;"","")</f>
        <v/>
      </c>
      <c r="F52" s="48" t="str">
        <f aca="false">IFERROR(INDEX(DATABASE!$G$4:$G$2003,MATCH($B52,DATABASE!$AA$4:$AA$2003,0))&amp;"","")</f>
        <v>002</v>
      </c>
      <c r="G52" s="77" t="str">
        <f aca="false">IFERROR(INDEX(DATABASE!$Y$4:$Y$2003,MATCH($B52,DATABASE!$AA$4:$AA$2003,0))&amp;"","")</f>
        <v>NIK kosong</v>
      </c>
      <c r="H52" s="46" t="str">
        <f aca="false">IFERROR(INDEX(DATABASE!$O$4:$O$2003,MATCH($B52,DATABASE!$AA$4:$AA$2003,0))&amp;"","")</f>
        <v/>
      </c>
    </row>
    <row r="53" customFormat="false" ht="15" hidden="false" customHeight="false" outlineLevel="0" collapsed="false">
      <c r="B53" s="49" t="n">
        <v>32</v>
      </c>
      <c r="C53" s="50" t="str">
        <f aca="false">IFERROR(INDEX(DATABASE!$B$4:$B$2003,MATCH($B53,DATABASE!$AA$4:$AA$2003,0))&amp;"","")</f>
        <v>MARKUM</v>
      </c>
      <c r="D53" s="51" t="str">
        <f aca="false">IFERROR(INDEX(DATABASE!$C$4:$C$2003,MATCH($B53,DATABASE!$AA$4:$AA$2003,0))&amp;"","")</f>
        <v/>
      </c>
      <c r="E53" s="49" t="str">
        <f aca="false">IFERROR(INDEX(DATABASE!$F$4:$F$2003,MATCH($B53,DATABASE!$AA$4:$AA$2003,0))&amp;"","")</f>
        <v/>
      </c>
      <c r="F53" s="51" t="str">
        <f aca="false">IFERROR(INDEX(DATABASE!$G$4:$G$2003,MATCH($B53,DATABASE!$AA$4:$AA$2003,0))&amp;"","")</f>
        <v/>
      </c>
      <c r="G53" s="78" t="str">
        <f aca="false">IFERROR(INDEX(DATABASE!$Y$4:$Y$2003,MATCH($B53,DATABASE!$AA$4:$AA$2003,0))&amp;"","")</f>
        <v>NIK kosong</v>
      </c>
      <c r="H53" s="49" t="str">
        <f aca="false">IFERROR(INDEX(DATABASE!$O$4:$O$2003,MATCH($B53,DATABASE!$AA$4:$AA$2003,0))&amp;"","")</f>
        <v/>
      </c>
    </row>
    <row r="54" customFormat="false" ht="15" hidden="false" customHeight="false" outlineLevel="0" collapsed="false">
      <c r="B54" s="46" t="n">
        <v>33</v>
      </c>
      <c r="C54" s="47" t="str">
        <f aca="false">IFERROR(INDEX(DATABASE!$B$4:$B$2003,MATCH($B54,DATABASE!$AA$4:$AA$2003,0))&amp;"","")</f>
        <v>ANAH</v>
      </c>
      <c r="D54" s="48" t="str">
        <f aca="false">IFERROR(INDEX(DATABASE!$C$4:$C$2003,MATCH($B54,DATABASE!$AA$4:$AA$2003,0))&amp;"","")</f>
        <v/>
      </c>
      <c r="E54" s="46" t="str">
        <f aca="false">IFERROR(INDEX(DATABASE!$F$4:$F$2003,MATCH($B54,DATABASE!$AA$4:$AA$2003,0))&amp;"","")</f>
        <v>Kp. Kuda Kuda</v>
      </c>
      <c r="F54" s="48" t="str">
        <f aca="false">IFERROR(INDEX(DATABASE!$G$4:$G$2003,MATCH($B54,DATABASE!$AA$4:$AA$2003,0))&amp;"","")</f>
        <v>004</v>
      </c>
      <c r="G54" s="77" t="str">
        <f aca="false">IFERROR(INDEX(DATABASE!$Y$4:$Y$2003,MATCH($B54,DATABASE!$AA$4:$AA$2003,0))&amp;"","")</f>
        <v>NIK kosong</v>
      </c>
      <c r="H54" s="46" t="str">
        <f aca="false">IFERROR(INDEX(DATABASE!$O$4:$O$2003,MATCH($B54,DATABASE!$AA$4:$AA$2003,0))&amp;"","")</f>
        <v/>
      </c>
    </row>
    <row r="55" customFormat="false" ht="15" hidden="false" customHeight="false" outlineLevel="0" collapsed="false">
      <c r="B55" s="49" t="n">
        <v>34</v>
      </c>
      <c r="C55" s="50" t="str">
        <f aca="false">IFERROR(INDEX(DATABASE!$B$4:$B$2003,MATCH($B55,DATABASE!$AA$4:$AA$2003,0))&amp;"","")</f>
        <v>SUGENG</v>
      </c>
      <c r="D55" s="51" t="str">
        <f aca="false">IFERROR(INDEX(DATABASE!$C$4:$C$2003,MATCH($B55,DATABASE!$AA$4:$AA$2003,0))&amp;"","")</f>
        <v/>
      </c>
      <c r="E55" s="49" t="str">
        <f aca="false">IFERROR(INDEX(DATABASE!$F$4:$F$2003,MATCH($B55,DATABASE!$AA$4:$AA$2003,0))&amp;"","")</f>
        <v>Kp. Kuda Kuda</v>
      </c>
      <c r="F55" s="51" t="str">
        <f aca="false">IFERROR(INDEX(DATABASE!$G$4:$G$2003,MATCH($B55,DATABASE!$AA$4:$AA$2003,0))&amp;"","")</f>
        <v>004</v>
      </c>
      <c r="G55" s="78" t="str">
        <f aca="false">IFERROR(INDEX(DATABASE!$Y$4:$Y$2003,MATCH($B55,DATABASE!$AA$4:$AA$2003,0))&amp;"","")</f>
        <v>NIK kosong</v>
      </c>
      <c r="H55" s="49" t="str">
        <f aca="false">IFERROR(INDEX(DATABASE!$O$4:$O$2003,MATCH($B55,DATABASE!$AA$4:$AA$2003,0))&amp;"","")</f>
        <v/>
      </c>
    </row>
    <row r="56" customFormat="false" ht="15" hidden="false" customHeight="false" outlineLevel="0" collapsed="false">
      <c r="B56" s="46" t="n">
        <v>35</v>
      </c>
      <c r="C56" s="47" t="str">
        <f aca="false">IFERROR(INDEX(DATABASE!$B$4:$B$2003,MATCH($B56,DATABASE!$AA$4:$AA$2003,0))&amp;"","")</f>
        <v>YUSRON EFENDI</v>
      </c>
      <c r="D56" s="48" t="str">
        <f aca="false">IFERROR(INDEX(DATABASE!$C$4:$C$2003,MATCH($B56,DATABASE!$AA$4:$AA$2003,0))&amp;"","")</f>
        <v/>
      </c>
      <c r="E56" s="46" t="str">
        <f aca="false">IFERROR(INDEX(DATABASE!$F$4:$F$2003,MATCH($B56,DATABASE!$AA$4:$AA$2003,0))&amp;"","")</f>
        <v>Kp. Kuda Kuda</v>
      </c>
      <c r="F56" s="48" t="str">
        <f aca="false">IFERROR(INDEX(DATABASE!$G$4:$G$2003,MATCH($B56,DATABASE!$AA$4:$AA$2003,0))&amp;"","")</f>
        <v>003</v>
      </c>
      <c r="G56" s="77" t="str">
        <f aca="false">IFERROR(INDEX(DATABASE!$Y$4:$Y$2003,MATCH($B56,DATABASE!$AA$4:$AA$2003,0))&amp;"","")</f>
        <v>NIK kosong</v>
      </c>
      <c r="H56" s="46" t="str">
        <f aca="false">IFERROR(INDEX(DATABASE!$O$4:$O$2003,MATCH($B56,DATABASE!$AA$4:$AA$2003,0))&amp;"","")</f>
        <v/>
      </c>
    </row>
    <row r="57" customFormat="false" ht="15" hidden="false" customHeight="false" outlineLevel="0" collapsed="false">
      <c r="B57" s="49" t="n">
        <v>36</v>
      </c>
      <c r="C57" s="50" t="str">
        <f aca="false">IFERROR(INDEX(DATABASE!$B$4:$B$2003,MATCH($B57,DATABASE!$AA$4:$AA$2003,0))&amp;"","")</f>
        <v>SLAMET</v>
      </c>
      <c r="D57" s="51" t="str">
        <f aca="false">IFERROR(INDEX(DATABASE!$C$4:$C$2003,MATCH($B57,DATABASE!$AA$4:$AA$2003,0))&amp;"","")</f>
        <v/>
      </c>
      <c r="E57" s="49" t="str">
        <f aca="false">IFERROR(INDEX(DATABASE!$F$4:$F$2003,MATCH($B57,DATABASE!$AA$4:$AA$2003,0))&amp;"","")</f>
        <v/>
      </c>
      <c r="F57" s="51" t="str">
        <f aca="false">IFERROR(INDEX(DATABASE!$G$4:$G$2003,MATCH($B57,DATABASE!$AA$4:$AA$2003,0))&amp;"","")</f>
        <v>005</v>
      </c>
      <c r="G57" s="78" t="str">
        <f aca="false">IFERROR(INDEX(DATABASE!$Y$4:$Y$2003,MATCH($B57,DATABASE!$AA$4:$AA$2003,0))&amp;"","")</f>
        <v>NIK kosong</v>
      </c>
      <c r="H57" s="49" t="str">
        <f aca="false">IFERROR(INDEX(DATABASE!$O$4:$O$2003,MATCH($B57,DATABASE!$AA$4:$AA$2003,0))&amp;"","")</f>
        <v/>
      </c>
    </row>
    <row r="58" customFormat="false" ht="15" hidden="false" customHeight="false" outlineLevel="0" collapsed="false">
      <c r="B58" s="46" t="n">
        <v>37</v>
      </c>
      <c r="C58" s="47" t="str">
        <f aca="false">IFERROR(INDEX(DATABASE!$B$4:$B$2003,MATCH($B58,DATABASE!$AA$4:$AA$2003,0))&amp;"","")</f>
        <v>MUMUN MULYASAROH</v>
      </c>
      <c r="D58" s="48" t="str">
        <f aca="false">IFERROR(INDEX(DATABASE!$C$4:$C$2003,MATCH($B58,DATABASE!$AA$4:$AA$2003,0))&amp;"","")</f>
        <v/>
      </c>
      <c r="E58" s="46" t="str">
        <f aca="false">IFERROR(INDEX(DATABASE!$F$4:$F$2003,MATCH($B58,DATABASE!$AA$4:$AA$2003,0))&amp;"","")</f>
        <v/>
      </c>
      <c r="F58" s="48" t="str">
        <f aca="false">IFERROR(INDEX(DATABASE!$G$4:$G$2003,MATCH($B58,DATABASE!$AA$4:$AA$2003,0))&amp;"","")</f>
        <v>004</v>
      </c>
      <c r="G58" s="77" t="str">
        <f aca="false">IFERROR(INDEX(DATABASE!$Y$4:$Y$2003,MATCH($B58,DATABASE!$AA$4:$AA$2003,0))&amp;"","")</f>
        <v>NIK kosong</v>
      </c>
      <c r="H58" s="46" t="str">
        <f aca="false">IFERROR(INDEX(DATABASE!$O$4:$O$2003,MATCH($B58,DATABASE!$AA$4:$AA$2003,0))&amp;"","")</f>
        <v/>
      </c>
    </row>
    <row r="59" customFormat="false" ht="15" hidden="false" customHeight="false" outlineLevel="0" collapsed="false">
      <c r="B59" s="49" t="n">
        <v>38</v>
      </c>
      <c r="C59" s="50" t="str">
        <f aca="false">IFERROR(INDEX(DATABASE!$B$4:$B$2003,MATCH($B59,DATABASE!$AA$4:$AA$2003,0))&amp;"","")</f>
        <v>SUFI NURFAZRI (JAPUT)</v>
      </c>
      <c r="D59" s="51" t="str">
        <f aca="false">IFERROR(INDEX(DATABASE!$C$4:$C$2003,MATCH($B59,DATABASE!$AA$4:$AA$2003,0))&amp;"","")</f>
        <v/>
      </c>
      <c r="E59" s="49" t="str">
        <f aca="false">IFERROR(INDEX(DATABASE!$F$4:$F$2003,MATCH($B59,DATABASE!$AA$4:$AA$2003,0))&amp;"","")</f>
        <v/>
      </c>
      <c r="F59" s="51" t="str">
        <f aca="false">IFERROR(INDEX(DATABASE!$G$4:$G$2003,MATCH($B59,DATABASE!$AA$4:$AA$2003,0))&amp;"","")</f>
        <v/>
      </c>
      <c r="G59" s="78" t="str">
        <f aca="false">IFERROR(INDEX(DATABASE!$Y$4:$Y$2003,MATCH($B59,DATABASE!$AA$4:$AA$2003,0))&amp;"","")</f>
        <v>NIK kosong</v>
      </c>
      <c r="H59" s="49" t="str">
        <f aca="false">IFERROR(INDEX(DATABASE!$O$4:$O$2003,MATCH($B59,DATABASE!$AA$4:$AA$2003,0))&amp;"","")</f>
        <v/>
      </c>
    </row>
    <row r="60" customFormat="false" ht="15" hidden="false" customHeight="false" outlineLevel="0" collapsed="false">
      <c r="B60" s="46" t="n">
        <v>39</v>
      </c>
      <c r="C60" s="47" t="str">
        <f aca="false">IFERROR(INDEX(DATABASE!$B$4:$B$2003,MATCH($B60,DATABASE!$AA$4:$AA$2003,0))&amp;"","")</f>
        <v>DEDE PARIDA</v>
      </c>
      <c r="D60" s="48" t="str">
        <f aca="false">IFERROR(INDEX(DATABASE!$C$4:$C$2003,MATCH($B60,DATABASE!$AA$4:$AA$2003,0))&amp;"","")</f>
        <v/>
      </c>
      <c r="E60" s="46" t="str">
        <f aca="false">IFERROR(INDEX(DATABASE!$F$4:$F$2003,MATCH($B60,DATABASE!$AA$4:$AA$2003,0))&amp;"","")</f>
        <v/>
      </c>
      <c r="F60" s="48" t="str">
        <f aca="false">IFERROR(INDEX(DATABASE!$G$4:$G$2003,MATCH($B60,DATABASE!$AA$4:$AA$2003,0))&amp;"","")</f>
        <v/>
      </c>
      <c r="G60" s="77" t="str">
        <f aca="false">IFERROR(INDEX(DATABASE!$Y$4:$Y$2003,MATCH($B60,DATABASE!$AA$4:$AA$2003,0))&amp;"","")</f>
        <v>NIK kosong</v>
      </c>
      <c r="H60" s="46" t="str">
        <f aca="false">IFERROR(INDEX(DATABASE!$O$4:$O$2003,MATCH($B60,DATABASE!$AA$4:$AA$2003,0))&amp;"","")</f>
        <v/>
      </c>
    </row>
    <row r="61" customFormat="false" ht="15" hidden="false" customHeight="false" outlineLevel="0" collapsed="false">
      <c r="B61" s="49" t="n">
        <v>40</v>
      </c>
      <c r="C61" s="50" t="str">
        <f aca="false">IFERROR(INDEX(DATABASE!$B$4:$B$2003,MATCH($B61,DATABASE!$AA$4:$AA$2003,0))&amp;"","")</f>
        <v>HENDRA</v>
      </c>
      <c r="D61" s="51" t="str">
        <f aca="false">IFERROR(INDEX(DATABASE!$C$4:$C$2003,MATCH($B61,DATABASE!$AA$4:$AA$2003,0))&amp;"","")</f>
        <v/>
      </c>
      <c r="E61" s="49" t="str">
        <f aca="false">IFERROR(INDEX(DATABASE!$F$4:$F$2003,MATCH($B61,DATABASE!$AA$4:$AA$2003,0))&amp;"","")</f>
        <v>Kp. Gamprit</v>
      </c>
      <c r="F61" s="51" t="str">
        <f aca="false">IFERROR(INDEX(DATABASE!$G$4:$G$2003,MATCH($B61,DATABASE!$AA$4:$AA$2003,0))&amp;"","")</f>
        <v>004</v>
      </c>
      <c r="G61" s="78" t="str">
        <f aca="false">IFERROR(INDEX(DATABASE!$Y$4:$Y$2003,MATCH($B61,DATABASE!$AA$4:$AA$2003,0))&amp;"","")</f>
        <v>NIK kosong</v>
      </c>
      <c r="H61" s="49" t="str">
        <f aca="false">IFERROR(INDEX(DATABASE!$O$4:$O$2003,MATCH($B61,DATABASE!$AA$4:$AA$2003,0))&amp;"","")</f>
        <v/>
      </c>
    </row>
    <row r="62" customFormat="false" ht="15" hidden="false" customHeight="false" outlineLevel="0" collapsed="false">
      <c r="B62" s="46" t="n">
        <v>41</v>
      </c>
      <c r="C62" s="47" t="str">
        <f aca="false">IFERROR(INDEX(DATABASE!$B$4:$B$2003,MATCH($B62,DATABASE!$AA$4:$AA$2003,0))&amp;"","")</f>
        <v>NENDA (KHENZON)</v>
      </c>
      <c r="D62" s="48" t="str">
        <f aca="false">IFERROR(INDEX(DATABASE!$C$4:$C$2003,MATCH($B62,DATABASE!$AA$4:$AA$2003,0))&amp;"","")</f>
        <v/>
      </c>
      <c r="E62" s="46" t="str">
        <f aca="false">IFERROR(INDEX(DATABASE!$F$4:$F$2003,MATCH($B62,DATABASE!$AA$4:$AA$2003,0))&amp;"","")</f>
        <v>Kp. Wangkal</v>
      </c>
      <c r="F62" s="48" t="str">
        <f aca="false">IFERROR(INDEX(DATABASE!$G$4:$G$2003,MATCH($B62,DATABASE!$AA$4:$AA$2003,0))&amp;"","")</f>
        <v/>
      </c>
      <c r="G62" s="77" t="str">
        <f aca="false">IFERROR(INDEX(DATABASE!$Y$4:$Y$2003,MATCH($B62,DATABASE!$AA$4:$AA$2003,0))&amp;"","")</f>
        <v>NIK kosong</v>
      </c>
      <c r="H62" s="46" t="str">
        <f aca="false">IFERROR(INDEX(DATABASE!$O$4:$O$2003,MATCH($B62,DATABASE!$AA$4:$AA$2003,0))&amp;"","")</f>
        <v/>
      </c>
    </row>
    <row r="63" customFormat="false" ht="15" hidden="false" customHeight="false" outlineLevel="0" collapsed="false">
      <c r="B63" s="49" t="n">
        <v>42</v>
      </c>
      <c r="C63" s="50" t="str">
        <f aca="false">IFERROR(INDEX(DATABASE!$B$4:$B$2003,MATCH($B63,DATABASE!$AA$4:$AA$2003,0))&amp;"","")</f>
        <v>SAIH</v>
      </c>
      <c r="D63" s="51" t="str">
        <f aca="false">IFERROR(INDEX(DATABASE!$C$4:$C$2003,MATCH($B63,DATABASE!$AA$4:$AA$2003,0))&amp;"","")</f>
        <v/>
      </c>
      <c r="E63" s="49" t="str">
        <f aca="false">IFERROR(INDEX(DATABASE!$F$4:$F$2003,MATCH($B63,DATABASE!$AA$4:$AA$2003,0))&amp;"","")</f>
        <v>Kp. Wangkal</v>
      </c>
      <c r="F63" s="51" t="str">
        <f aca="false">IFERROR(INDEX(DATABASE!$G$4:$G$2003,MATCH($B63,DATABASE!$AA$4:$AA$2003,0))&amp;"","")</f>
        <v>005</v>
      </c>
      <c r="G63" s="78" t="str">
        <f aca="false">IFERROR(INDEX(DATABASE!$Y$4:$Y$2003,MATCH($B63,DATABASE!$AA$4:$AA$2003,0))&amp;"","")</f>
        <v>NIK kosong</v>
      </c>
      <c r="H63" s="49" t="str">
        <f aca="false">IFERROR(INDEX(DATABASE!$O$4:$O$2003,MATCH($B63,DATABASE!$AA$4:$AA$2003,0))&amp;"","")</f>
        <v/>
      </c>
    </row>
    <row r="64" customFormat="false" ht="15" hidden="false" customHeight="false" outlineLevel="0" collapsed="false">
      <c r="B64" s="46" t="n">
        <v>43</v>
      </c>
      <c r="C64" s="47" t="str">
        <f aca="false">IFERROR(INDEX(DATABASE!$B$4:$B$2003,MATCH($B64,DATABASE!$AA$4:$AA$2003,0))&amp;"","")</f>
        <v>JEBING</v>
      </c>
      <c r="D64" s="48" t="str">
        <f aca="false">IFERROR(INDEX(DATABASE!$C$4:$C$2003,MATCH($B64,DATABASE!$AA$4:$AA$2003,0))&amp;"","")</f>
        <v/>
      </c>
      <c r="E64" s="46" t="str">
        <f aca="false">IFERROR(INDEX(DATABASE!$F$4:$F$2003,MATCH($B64,DATABASE!$AA$4:$AA$2003,0))&amp;"","")</f>
        <v>Kp. Kuda Kuda</v>
      </c>
      <c r="F64" s="48" t="str">
        <f aca="false">IFERROR(INDEX(DATABASE!$G$4:$G$2003,MATCH($B64,DATABASE!$AA$4:$AA$2003,0))&amp;"","")</f>
        <v>003</v>
      </c>
      <c r="G64" s="77" t="str">
        <f aca="false">IFERROR(INDEX(DATABASE!$Y$4:$Y$2003,MATCH($B64,DATABASE!$AA$4:$AA$2003,0))&amp;"","")</f>
        <v>NIK kosong</v>
      </c>
      <c r="H64" s="46" t="str">
        <f aca="false">IFERROR(INDEX(DATABASE!$O$4:$O$2003,MATCH($B64,DATABASE!$AA$4:$AA$2003,0))&amp;"","")</f>
        <v/>
      </c>
    </row>
    <row r="65" customFormat="false" ht="15" hidden="false" customHeight="false" outlineLevel="0" collapsed="false">
      <c r="B65" s="49" t="n">
        <v>44</v>
      </c>
      <c r="C65" s="50" t="str">
        <f aca="false">IFERROR(INDEX(DATABASE!$B$4:$B$2003,MATCH($B65,DATABASE!$AA$4:$AA$2003,0))&amp;"","")</f>
        <v>IQWAL M.S</v>
      </c>
      <c r="D65" s="51" t="str">
        <f aca="false">IFERROR(INDEX(DATABASE!$C$4:$C$2003,MATCH($B65,DATABASE!$AA$4:$AA$2003,0))&amp;"","")</f>
        <v/>
      </c>
      <c r="E65" s="49" t="str">
        <f aca="false">IFERROR(INDEX(DATABASE!$F$4:$F$2003,MATCH($B65,DATABASE!$AA$4:$AA$2003,0))&amp;"","")</f>
        <v>Kp. Gamprit</v>
      </c>
      <c r="F65" s="51" t="str">
        <f aca="false">IFERROR(INDEX(DATABASE!$G$4:$G$2003,MATCH($B65,DATABASE!$AA$4:$AA$2003,0))&amp;"","")</f>
        <v>001</v>
      </c>
      <c r="G65" s="78" t="str">
        <f aca="false">IFERROR(INDEX(DATABASE!$Y$4:$Y$2003,MATCH($B65,DATABASE!$AA$4:$AA$2003,0))&amp;"","")</f>
        <v>NIK kosong</v>
      </c>
      <c r="H65" s="49" t="str">
        <f aca="false">IFERROR(INDEX(DATABASE!$O$4:$O$2003,MATCH($B65,DATABASE!$AA$4:$AA$2003,0))&amp;"","")</f>
        <v/>
      </c>
    </row>
    <row r="66" customFormat="false" ht="15" hidden="false" customHeight="false" outlineLevel="0" collapsed="false">
      <c r="B66" s="46" t="n">
        <v>45</v>
      </c>
      <c r="C66" s="47" t="str">
        <f aca="false">IFERROR(INDEX(DATABASE!$B$4:$B$2003,MATCH($B66,DATABASE!$AA$4:$AA$2003,0))&amp;"","")</f>
        <v>HERMAN</v>
      </c>
      <c r="D66" s="48" t="str">
        <f aca="false">IFERROR(INDEX(DATABASE!$C$4:$C$2003,MATCH($B66,DATABASE!$AA$4:$AA$2003,0))&amp;"","")</f>
        <v/>
      </c>
      <c r="E66" s="46" t="str">
        <f aca="false">IFERROR(INDEX(DATABASE!$F$4:$F$2003,MATCH($B66,DATABASE!$AA$4:$AA$2003,0))&amp;"","")</f>
        <v>Kp. Gamprit</v>
      </c>
      <c r="F66" s="48" t="str">
        <f aca="false">IFERROR(INDEX(DATABASE!$G$4:$G$2003,MATCH($B66,DATABASE!$AA$4:$AA$2003,0))&amp;"","")</f>
        <v/>
      </c>
      <c r="G66" s="77" t="str">
        <f aca="false">IFERROR(INDEX(DATABASE!$Y$4:$Y$2003,MATCH($B66,DATABASE!$AA$4:$AA$2003,0))&amp;"","")</f>
        <v>NIK kosong</v>
      </c>
      <c r="H66" s="46" t="str">
        <f aca="false">IFERROR(INDEX(DATABASE!$O$4:$O$2003,MATCH($B66,DATABASE!$AA$4:$AA$2003,0))&amp;"","")</f>
        <v/>
      </c>
    </row>
    <row r="67" customFormat="false" ht="15" hidden="false" customHeight="false" outlineLevel="0" collapsed="false">
      <c r="B67" s="49" t="n">
        <v>46</v>
      </c>
      <c r="C67" s="50" t="str">
        <f aca="false">IFERROR(INDEX(DATABASE!$B$4:$B$2003,MATCH($B67,DATABASE!$AA$4:$AA$2003,0))&amp;"","")</f>
        <v>WAWAN</v>
      </c>
      <c r="D67" s="51" t="str">
        <f aca="false">IFERROR(INDEX(DATABASE!$C$4:$C$2003,MATCH($B67,DATABASE!$AA$4:$AA$2003,0))&amp;"","")</f>
        <v/>
      </c>
      <c r="E67" s="49" t="str">
        <f aca="false">IFERROR(INDEX(DATABASE!$F$4:$F$2003,MATCH($B67,DATABASE!$AA$4:$AA$2003,0))&amp;"","")</f>
        <v>Kp. Gamprit</v>
      </c>
      <c r="F67" s="51" t="str">
        <f aca="false">IFERROR(INDEX(DATABASE!$G$4:$G$2003,MATCH($B67,DATABASE!$AA$4:$AA$2003,0))&amp;"","")</f>
        <v>004</v>
      </c>
      <c r="G67" s="78" t="str">
        <f aca="false">IFERROR(INDEX(DATABASE!$Y$4:$Y$2003,MATCH($B67,DATABASE!$AA$4:$AA$2003,0))&amp;"","")</f>
        <v>NIK kosong</v>
      </c>
      <c r="H67" s="49" t="str">
        <f aca="false">IFERROR(INDEX(DATABASE!$O$4:$O$2003,MATCH($B67,DATABASE!$AA$4:$AA$2003,0))&amp;"","")</f>
        <v/>
      </c>
    </row>
    <row r="68" customFormat="false" ht="15" hidden="false" customHeight="false" outlineLevel="0" collapsed="false">
      <c r="B68" s="46" t="n">
        <v>47</v>
      </c>
      <c r="C68" s="47" t="str">
        <f aca="false">IFERROR(INDEX(DATABASE!$B$4:$B$2003,MATCH($B68,DATABASE!$AA$4:$AA$2003,0))&amp;"","")</f>
        <v>DETA NALA SRI M</v>
      </c>
      <c r="D68" s="48" t="str">
        <f aca="false">IFERROR(INDEX(DATABASE!$C$4:$C$2003,MATCH($B68,DATABASE!$AA$4:$AA$2003,0))&amp;"","")</f>
        <v/>
      </c>
      <c r="E68" s="46" t="str">
        <f aca="false">IFERROR(INDEX(DATABASE!$F$4:$F$2003,MATCH($B68,DATABASE!$AA$4:$AA$2003,0))&amp;"","")</f>
        <v>Kp. Kuda Kuda</v>
      </c>
      <c r="F68" s="48" t="str">
        <f aca="false">IFERROR(INDEX(DATABASE!$G$4:$G$2003,MATCH($B68,DATABASE!$AA$4:$AA$2003,0))&amp;"","")</f>
        <v>004</v>
      </c>
      <c r="G68" s="77" t="str">
        <f aca="false">IFERROR(INDEX(DATABASE!$Y$4:$Y$2003,MATCH($B68,DATABASE!$AA$4:$AA$2003,0))&amp;"","")</f>
        <v>NIK kosong</v>
      </c>
      <c r="H68" s="46" t="str">
        <f aca="false">IFERROR(INDEX(DATABASE!$O$4:$O$2003,MATCH($B68,DATABASE!$AA$4:$AA$2003,0))&amp;"","")</f>
        <v/>
      </c>
    </row>
    <row r="69" customFormat="false" ht="15" hidden="false" customHeight="false" outlineLevel="0" collapsed="false">
      <c r="B69" s="49" t="n">
        <v>48</v>
      </c>
      <c r="C69" s="50" t="str">
        <f aca="false">IFERROR(INDEX(DATABASE!$B$4:$B$2003,MATCH($B69,DATABASE!$AA$4:$AA$2003,0))&amp;"","")</f>
        <v>OPIC (ROPIK)</v>
      </c>
      <c r="D69" s="51" t="str">
        <f aca="false">IFERROR(INDEX(DATABASE!$C$4:$C$2003,MATCH($B69,DATABASE!$AA$4:$AA$2003,0))&amp;"","")</f>
        <v/>
      </c>
      <c r="E69" s="49" t="str">
        <f aca="false">IFERROR(INDEX(DATABASE!$F$4:$F$2003,MATCH($B69,DATABASE!$AA$4:$AA$2003,0))&amp;"","")</f>
        <v>Kp. Gamprit</v>
      </c>
      <c r="F69" s="51" t="str">
        <f aca="false">IFERROR(INDEX(DATABASE!$G$4:$G$2003,MATCH($B69,DATABASE!$AA$4:$AA$2003,0))&amp;"","")</f>
        <v>001</v>
      </c>
      <c r="G69" s="78" t="str">
        <f aca="false">IFERROR(INDEX(DATABASE!$Y$4:$Y$2003,MATCH($B69,DATABASE!$AA$4:$AA$2003,0))&amp;"","")</f>
        <v>NIK kosong</v>
      </c>
      <c r="H69" s="49" t="str">
        <f aca="false">IFERROR(INDEX(DATABASE!$O$4:$O$2003,MATCH($B69,DATABASE!$AA$4:$AA$2003,0))&amp;"","")</f>
        <v/>
      </c>
    </row>
    <row r="70" customFormat="false" ht="15" hidden="false" customHeight="false" outlineLevel="0" collapsed="false">
      <c r="B70" s="46" t="n">
        <v>49</v>
      </c>
      <c r="C70" s="47" t="str">
        <f aca="false">IFERROR(INDEX(DATABASE!$B$4:$B$2003,MATCH($B70,DATABASE!$AA$4:$AA$2003,0))&amp;"","")</f>
        <v>KOMARUDIN</v>
      </c>
      <c r="D70" s="48" t="str">
        <f aca="false">IFERROR(INDEX(DATABASE!$C$4:$C$2003,MATCH($B70,DATABASE!$AA$4:$AA$2003,0))&amp;"","")</f>
        <v/>
      </c>
      <c r="E70" s="46" t="str">
        <f aca="false">IFERROR(INDEX(DATABASE!$F$4:$F$2003,MATCH($B70,DATABASE!$AA$4:$AA$2003,0))&amp;"","")</f>
        <v>Kp. Wangkal</v>
      </c>
      <c r="F70" s="48" t="str">
        <f aca="false">IFERROR(INDEX(DATABASE!$G$4:$G$2003,MATCH($B70,DATABASE!$AA$4:$AA$2003,0))&amp;"","")</f>
        <v/>
      </c>
      <c r="G70" s="77" t="str">
        <f aca="false">IFERROR(INDEX(DATABASE!$Y$4:$Y$2003,MATCH($B70,DATABASE!$AA$4:$AA$2003,0))&amp;"","")</f>
        <v>NIK kosong</v>
      </c>
      <c r="H70" s="46" t="str">
        <f aca="false">IFERROR(INDEX(DATABASE!$O$4:$O$2003,MATCH($B70,DATABASE!$AA$4:$AA$2003,0))&amp;"","")</f>
        <v/>
      </c>
    </row>
    <row r="71" customFormat="false" ht="15" hidden="false" customHeight="false" outlineLevel="0" collapsed="false">
      <c r="B71" s="49" t="n">
        <v>50</v>
      </c>
      <c r="C71" s="50" t="str">
        <f aca="false">IFERROR(INDEX(DATABASE!$B$4:$B$2003,MATCH($B71,DATABASE!$AA$4:$AA$2003,0))&amp;"","")</f>
        <v>ROHADI (ADE)</v>
      </c>
      <c r="D71" s="51" t="str">
        <f aca="false">IFERROR(INDEX(DATABASE!$C$4:$C$2003,MATCH($B71,DATABASE!$AA$4:$AA$2003,0))&amp;"","")</f>
        <v/>
      </c>
      <c r="E71" s="49" t="str">
        <f aca="false">IFERROR(INDEX(DATABASE!$F$4:$F$2003,MATCH($B71,DATABASE!$AA$4:$AA$2003,0))&amp;"","")</f>
        <v>Kp. Gamprit</v>
      </c>
      <c r="F71" s="51" t="str">
        <f aca="false">IFERROR(INDEX(DATABASE!$G$4:$G$2003,MATCH($B71,DATABASE!$AA$4:$AA$2003,0))&amp;"","")</f>
        <v/>
      </c>
      <c r="G71" s="78" t="str">
        <f aca="false">IFERROR(INDEX(DATABASE!$Y$4:$Y$2003,MATCH($B71,DATABASE!$AA$4:$AA$2003,0))&amp;"","")</f>
        <v>NIK kosong</v>
      </c>
      <c r="H71" s="49" t="str">
        <f aca="false">IFERROR(INDEX(DATABASE!$O$4:$O$2003,MATCH($B71,DATABASE!$AA$4:$AA$2003,0))&amp;"","")</f>
        <v/>
      </c>
    </row>
    <row r="72" customFormat="false" ht="15" hidden="false" customHeight="false" outlineLevel="0" collapsed="false">
      <c r="B72" s="46" t="n">
        <v>51</v>
      </c>
      <c r="C72" s="47" t="str">
        <f aca="false">IFERROR(INDEX(DATABASE!$B$4:$B$2003,MATCH($B72,DATABASE!$AA$4:$AA$2003,0))&amp;"","")</f>
        <v>ADE PRABOWO</v>
      </c>
      <c r="D72" s="48" t="str">
        <f aca="false">IFERROR(INDEX(DATABASE!$C$4:$C$2003,MATCH($B72,DATABASE!$AA$4:$AA$2003,0))&amp;"","")</f>
        <v/>
      </c>
      <c r="E72" s="46" t="str">
        <f aca="false">IFERROR(INDEX(DATABASE!$F$4:$F$2003,MATCH($B72,DATABASE!$AA$4:$AA$2003,0))&amp;"","")</f>
        <v>Kp. Gamprit</v>
      </c>
      <c r="F72" s="48" t="str">
        <f aca="false">IFERROR(INDEX(DATABASE!$G$4:$G$2003,MATCH($B72,DATABASE!$AA$4:$AA$2003,0))&amp;"","")</f>
        <v>003</v>
      </c>
      <c r="G72" s="77" t="str">
        <f aca="false">IFERROR(INDEX(DATABASE!$Y$4:$Y$2003,MATCH($B72,DATABASE!$AA$4:$AA$2003,0))&amp;"","")</f>
        <v>NIK kosong</v>
      </c>
      <c r="H72" s="46" t="str">
        <f aca="false">IFERROR(INDEX(DATABASE!$O$4:$O$2003,MATCH($B72,DATABASE!$AA$4:$AA$2003,0))&amp;"","")</f>
        <v/>
      </c>
    </row>
    <row r="73" customFormat="false" ht="15" hidden="false" customHeight="false" outlineLevel="0" collapsed="false">
      <c r="B73" s="49" t="n">
        <v>52</v>
      </c>
      <c r="C73" s="50" t="str">
        <f aca="false">IFERROR(INDEX(DATABASE!$B$4:$B$2003,MATCH($B73,DATABASE!$AA$4:$AA$2003,0))&amp;"","")</f>
        <v>ALI NURDIN</v>
      </c>
      <c r="D73" s="51" t="str">
        <f aca="false">IFERROR(INDEX(DATABASE!$C$4:$C$2003,MATCH($B73,DATABASE!$AA$4:$AA$2003,0))&amp;"","")</f>
        <v/>
      </c>
      <c r="E73" s="49" t="str">
        <f aca="false">IFERROR(INDEX(DATABASE!$F$4:$F$2003,MATCH($B73,DATABASE!$AA$4:$AA$2003,0))&amp;"","")</f>
        <v>Kp. Gamprit</v>
      </c>
      <c r="F73" s="51" t="str">
        <f aca="false">IFERROR(INDEX(DATABASE!$G$4:$G$2003,MATCH($B73,DATABASE!$AA$4:$AA$2003,0))&amp;"","")</f>
        <v>003</v>
      </c>
      <c r="G73" s="78" t="str">
        <f aca="false">IFERROR(INDEX(DATABASE!$Y$4:$Y$2003,MATCH($B73,DATABASE!$AA$4:$AA$2003,0))&amp;"","")</f>
        <v>NIK kosong</v>
      </c>
      <c r="H73" s="49" t="str">
        <f aca="false">IFERROR(INDEX(DATABASE!$O$4:$O$2003,MATCH($B73,DATABASE!$AA$4:$AA$2003,0))&amp;"","")</f>
        <v/>
      </c>
    </row>
    <row r="74" customFormat="false" ht="15" hidden="false" customHeight="false" outlineLevel="0" collapsed="false">
      <c r="B74" s="46" t="n">
        <v>53</v>
      </c>
      <c r="C74" s="47" t="str">
        <f aca="false">IFERROR(INDEX(DATABASE!$B$4:$B$2003,MATCH($B74,DATABASE!$AA$4:$AA$2003,0))&amp;"","")</f>
        <v/>
      </c>
      <c r="D74" s="48" t="str">
        <f aca="false">IFERROR(INDEX(DATABASE!$C$4:$C$2003,MATCH($B74,DATABASE!$AA$4:$AA$2003,0))&amp;"","")</f>
        <v/>
      </c>
      <c r="E74" s="46" t="str">
        <f aca="false">IFERROR(INDEX(DATABASE!$F$4:$F$2003,MATCH($B74,DATABASE!$AA$4:$AA$2003,0))&amp;"","")</f>
        <v/>
      </c>
      <c r="F74" s="48" t="str">
        <f aca="false">IFERROR(INDEX(DATABASE!$G$4:$G$2003,MATCH($B74,DATABASE!$AA$4:$AA$2003,0))&amp;"","")</f>
        <v/>
      </c>
      <c r="G74" s="77" t="str">
        <f aca="false">IFERROR(INDEX(DATABASE!$Y$4:$Y$2003,MATCH($B74,DATABASE!$AA$4:$AA$2003,0))&amp;"","")</f>
        <v/>
      </c>
      <c r="H74" s="46" t="str">
        <f aca="false">IFERROR(INDEX(DATABASE!$O$4:$O$2003,MATCH($B74,DATABASE!$AA$4:$AA$2003,0))&amp;"","")</f>
        <v/>
      </c>
    </row>
    <row r="75" customFormat="false" ht="15" hidden="false" customHeight="false" outlineLevel="0" collapsed="false">
      <c r="B75" s="49" t="n">
        <v>54</v>
      </c>
      <c r="C75" s="50" t="str">
        <f aca="false">IFERROR(INDEX(DATABASE!$B$4:$B$2003,MATCH($B75,DATABASE!$AA$4:$AA$2003,0))&amp;"","")</f>
        <v/>
      </c>
      <c r="D75" s="51" t="str">
        <f aca="false">IFERROR(INDEX(DATABASE!$C$4:$C$2003,MATCH($B75,DATABASE!$AA$4:$AA$2003,0))&amp;"","")</f>
        <v/>
      </c>
      <c r="E75" s="49" t="str">
        <f aca="false">IFERROR(INDEX(DATABASE!$F$4:$F$2003,MATCH($B75,DATABASE!$AA$4:$AA$2003,0))&amp;"","")</f>
        <v/>
      </c>
      <c r="F75" s="51" t="str">
        <f aca="false">IFERROR(INDEX(DATABASE!$G$4:$G$2003,MATCH($B75,DATABASE!$AA$4:$AA$2003,0))&amp;"","")</f>
        <v/>
      </c>
      <c r="G75" s="78" t="str">
        <f aca="false">IFERROR(INDEX(DATABASE!$Y$4:$Y$2003,MATCH($B75,DATABASE!$AA$4:$AA$2003,0))&amp;"","")</f>
        <v/>
      </c>
      <c r="H75" s="49" t="str">
        <f aca="false">IFERROR(INDEX(DATABASE!$O$4:$O$2003,MATCH($B75,DATABASE!$AA$4:$AA$2003,0))&amp;"","")</f>
        <v/>
      </c>
    </row>
    <row r="76" customFormat="false" ht="15" hidden="false" customHeight="false" outlineLevel="0" collapsed="false">
      <c r="B76" s="46" t="n">
        <v>55</v>
      </c>
      <c r="C76" s="47" t="str">
        <f aca="false">IFERROR(INDEX(DATABASE!$B$4:$B$2003,MATCH($B76,DATABASE!$AA$4:$AA$2003,0))&amp;"","")</f>
        <v/>
      </c>
      <c r="D76" s="48" t="str">
        <f aca="false">IFERROR(INDEX(DATABASE!$C$4:$C$2003,MATCH($B76,DATABASE!$AA$4:$AA$2003,0))&amp;"","")</f>
        <v/>
      </c>
      <c r="E76" s="46" t="str">
        <f aca="false">IFERROR(INDEX(DATABASE!$F$4:$F$2003,MATCH($B76,DATABASE!$AA$4:$AA$2003,0))&amp;"","")</f>
        <v/>
      </c>
      <c r="F76" s="48" t="str">
        <f aca="false">IFERROR(INDEX(DATABASE!$G$4:$G$2003,MATCH($B76,DATABASE!$AA$4:$AA$2003,0))&amp;"","")</f>
        <v/>
      </c>
      <c r="G76" s="77" t="str">
        <f aca="false">IFERROR(INDEX(DATABASE!$Y$4:$Y$2003,MATCH($B76,DATABASE!$AA$4:$AA$2003,0))&amp;"","")</f>
        <v/>
      </c>
      <c r="H76" s="46" t="str">
        <f aca="false">IFERROR(INDEX(DATABASE!$O$4:$O$2003,MATCH($B76,DATABASE!$AA$4:$AA$2003,0))&amp;"","")</f>
        <v/>
      </c>
    </row>
    <row r="77" customFormat="false" ht="15" hidden="false" customHeight="false" outlineLevel="0" collapsed="false">
      <c r="B77" s="49" t="n">
        <v>56</v>
      </c>
      <c r="C77" s="50" t="str">
        <f aca="false">IFERROR(INDEX(DATABASE!$B$4:$B$2003,MATCH($B77,DATABASE!$AA$4:$AA$2003,0))&amp;"","")</f>
        <v/>
      </c>
      <c r="D77" s="51" t="str">
        <f aca="false">IFERROR(INDEX(DATABASE!$C$4:$C$2003,MATCH($B77,DATABASE!$AA$4:$AA$2003,0))&amp;"","")</f>
        <v/>
      </c>
      <c r="E77" s="49" t="str">
        <f aca="false">IFERROR(INDEX(DATABASE!$F$4:$F$2003,MATCH($B77,DATABASE!$AA$4:$AA$2003,0))&amp;"","")</f>
        <v/>
      </c>
      <c r="F77" s="51" t="str">
        <f aca="false">IFERROR(INDEX(DATABASE!$G$4:$G$2003,MATCH($B77,DATABASE!$AA$4:$AA$2003,0))&amp;"","")</f>
        <v/>
      </c>
      <c r="G77" s="78" t="str">
        <f aca="false">IFERROR(INDEX(DATABASE!$Y$4:$Y$2003,MATCH($B77,DATABASE!$AA$4:$AA$2003,0))&amp;"","")</f>
        <v/>
      </c>
      <c r="H77" s="49" t="str">
        <f aca="false">IFERROR(INDEX(DATABASE!$O$4:$O$2003,MATCH($B77,DATABASE!$AA$4:$AA$2003,0))&amp;"","")</f>
        <v/>
      </c>
    </row>
    <row r="78" customFormat="false" ht="15" hidden="false" customHeight="false" outlineLevel="0" collapsed="false">
      <c r="B78" s="46" t="n">
        <v>57</v>
      </c>
      <c r="C78" s="47" t="str">
        <f aca="false">IFERROR(INDEX(DATABASE!$B$4:$B$2003,MATCH($B78,DATABASE!$AA$4:$AA$2003,0))&amp;"","")</f>
        <v/>
      </c>
      <c r="D78" s="48" t="str">
        <f aca="false">IFERROR(INDEX(DATABASE!$C$4:$C$2003,MATCH($B78,DATABASE!$AA$4:$AA$2003,0))&amp;"","")</f>
        <v/>
      </c>
      <c r="E78" s="46" t="str">
        <f aca="false">IFERROR(INDEX(DATABASE!$F$4:$F$2003,MATCH($B78,DATABASE!$AA$4:$AA$2003,0))&amp;"","")</f>
        <v/>
      </c>
      <c r="F78" s="48" t="str">
        <f aca="false">IFERROR(INDEX(DATABASE!$G$4:$G$2003,MATCH($B78,DATABASE!$AA$4:$AA$2003,0))&amp;"","")</f>
        <v/>
      </c>
      <c r="G78" s="77" t="str">
        <f aca="false">IFERROR(INDEX(DATABASE!$Y$4:$Y$2003,MATCH($B78,DATABASE!$AA$4:$AA$2003,0))&amp;"","")</f>
        <v/>
      </c>
      <c r="H78" s="46" t="str">
        <f aca="false">IFERROR(INDEX(DATABASE!$O$4:$O$2003,MATCH($B78,DATABASE!$AA$4:$AA$2003,0))&amp;"","")</f>
        <v/>
      </c>
    </row>
    <row r="79" customFormat="false" ht="15" hidden="false" customHeight="false" outlineLevel="0" collapsed="false">
      <c r="B79" s="49" t="n">
        <v>58</v>
      </c>
      <c r="C79" s="50" t="str">
        <f aca="false">IFERROR(INDEX(DATABASE!$B$4:$B$2003,MATCH($B79,DATABASE!$AA$4:$AA$2003,0))&amp;"","")</f>
        <v/>
      </c>
      <c r="D79" s="51" t="str">
        <f aca="false">IFERROR(INDEX(DATABASE!$C$4:$C$2003,MATCH($B79,DATABASE!$AA$4:$AA$2003,0))&amp;"","")</f>
        <v/>
      </c>
      <c r="E79" s="49" t="str">
        <f aca="false">IFERROR(INDEX(DATABASE!$F$4:$F$2003,MATCH($B79,DATABASE!$AA$4:$AA$2003,0))&amp;"","")</f>
        <v/>
      </c>
      <c r="F79" s="51" t="str">
        <f aca="false">IFERROR(INDEX(DATABASE!$G$4:$G$2003,MATCH($B79,DATABASE!$AA$4:$AA$2003,0))&amp;"","")</f>
        <v/>
      </c>
      <c r="G79" s="78" t="str">
        <f aca="false">IFERROR(INDEX(DATABASE!$Y$4:$Y$2003,MATCH($B79,DATABASE!$AA$4:$AA$2003,0))&amp;"","")</f>
        <v/>
      </c>
      <c r="H79" s="49" t="str">
        <f aca="false">IFERROR(INDEX(DATABASE!$O$4:$O$2003,MATCH($B79,DATABASE!$AA$4:$AA$2003,0))&amp;"","")</f>
        <v/>
      </c>
    </row>
    <row r="80" customFormat="false" ht="15" hidden="false" customHeight="false" outlineLevel="0" collapsed="false">
      <c r="B80" s="46" t="n">
        <v>59</v>
      </c>
      <c r="C80" s="47" t="str">
        <f aca="false">IFERROR(INDEX(DATABASE!$B$4:$B$2003,MATCH($B80,DATABASE!$AA$4:$AA$2003,0))&amp;"","")</f>
        <v/>
      </c>
      <c r="D80" s="48" t="str">
        <f aca="false">IFERROR(INDEX(DATABASE!$C$4:$C$2003,MATCH($B80,DATABASE!$AA$4:$AA$2003,0))&amp;"","")</f>
        <v/>
      </c>
      <c r="E80" s="46" t="str">
        <f aca="false">IFERROR(INDEX(DATABASE!$F$4:$F$2003,MATCH($B80,DATABASE!$AA$4:$AA$2003,0))&amp;"","")</f>
        <v/>
      </c>
      <c r="F80" s="48" t="str">
        <f aca="false">IFERROR(INDEX(DATABASE!$G$4:$G$2003,MATCH($B80,DATABASE!$AA$4:$AA$2003,0))&amp;"","")</f>
        <v/>
      </c>
      <c r="G80" s="77" t="str">
        <f aca="false">IFERROR(INDEX(DATABASE!$Y$4:$Y$2003,MATCH($B80,DATABASE!$AA$4:$AA$2003,0))&amp;"","")</f>
        <v/>
      </c>
      <c r="H80" s="46" t="str">
        <f aca="false">IFERROR(INDEX(DATABASE!$O$4:$O$2003,MATCH($B80,DATABASE!$AA$4:$AA$2003,0))&amp;"","")</f>
        <v/>
      </c>
    </row>
    <row r="81" customFormat="false" ht="15" hidden="false" customHeight="false" outlineLevel="0" collapsed="false">
      <c r="B81" s="49" t="n">
        <v>60</v>
      </c>
      <c r="C81" s="50" t="str">
        <f aca="false">IFERROR(INDEX(DATABASE!$B$4:$B$2003,MATCH($B81,DATABASE!$AA$4:$AA$2003,0))&amp;"","")</f>
        <v/>
      </c>
      <c r="D81" s="51" t="str">
        <f aca="false">IFERROR(INDEX(DATABASE!$C$4:$C$2003,MATCH($B81,DATABASE!$AA$4:$AA$2003,0))&amp;"","")</f>
        <v/>
      </c>
      <c r="E81" s="49" t="str">
        <f aca="false">IFERROR(INDEX(DATABASE!$F$4:$F$2003,MATCH($B81,DATABASE!$AA$4:$AA$2003,0))&amp;"","")</f>
        <v/>
      </c>
      <c r="F81" s="51" t="str">
        <f aca="false">IFERROR(INDEX(DATABASE!$G$4:$G$2003,MATCH($B81,DATABASE!$AA$4:$AA$2003,0))&amp;"","")</f>
        <v/>
      </c>
      <c r="G81" s="78" t="str">
        <f aca="false">IFERROR(INDEX(DATABASE!$Y$4:$Y$2003,MATCH($B81,DATABASE!$AA$4:$AA$2003,0))&amp;"","")</f>
        <v/>
      </c>
      <c r="H81" s="49" t="str">
        <f aca="false">IFERROR(INDEX(DATABASE!$O$4:$O$2003,MATCH($B81,DATABASE!$AA$4:$AA$2003,0))&amp;"","")</f>
        <v/>
      </c>
    </row>
    <row r="82" customFormat="false" ht="15" hidden="false" customHeight="false" outlineLevel="0" collapsed="false">
      <c r="B82" s="46" t="n">
        <v>61</v>
      </c>
      <c r="C82" s="47" t="str">
        <f aca="false">IFERROR(INDEX(DATABASE!$B$4:$B$2003,MATCH($B82,DATABASE!$AA$4:$AA$2003,0))&amp;"","")</f>
        <v/>
      </c>
      <c r="D82" s="48" t="str">
        <f aca="false">IFERROR(INDEX(DATABASE!$C$4:$C$2003,MATCH($B82,DATABASE!$AA$4:$AA$2003,0))&amp;"","")</f>
        <v/>
      </c>
      <c r="E82" s="46" t="str">
        <f aca="false">IFERROR(INDEX(DATABASE!$F$4:$F$2003,MATCH($B82,DATABASE!$AA$4:$AA$2003,0))&amp;"","")</f>
        <v/>
      </c>
      <c r="F82" s="48" t="str">
        <f aca="false">IFERROR(INDEX(DATABASE!$G$4:$G$2003,MATCH($B82,DATABASE!$AA$4:$AA$2003,0))&amp;"","")</f>
        <v/>
      </c>
      <c r="G82" s="77" t="str">
        <f aca="false">IFERROR(INDEX(DATABASE!$Y$4:$Y$2003,MATCH($B82,DATABASE!$AA$4:$AA$2003,0))&amp;"","")</f>
        <v/>
      </c>
      <c r="H82" s="46" t="str">
        <f aca="false">IFERROR(INDEX(DATABASE!$O$4:$O$2003,MATCH($B82,DATABASE!$AA$4:$AA$2003,0))&amp;"","")</f>
        <v/>
      </c>
    </row>
    <row r="83" customFormat="false" ht="15" hidden="false" customHeight="false" outlineLevel="0" collapsed="false">
      <c r="B83" s="49" t="n">
        <v>62</v>
      </c>
      <c r="C83" s="50" t="str">
        <f aca="false">IFERROR(INDEX(DATABASE!$B$4:$B$2003,MATCH($B83,DATABASE!$AA$4:$AA$2003,0))&amp;"","")</f>
        <v/>
      </c>
      <c r="D83" s="51" t="str">
        <f aca="false">IFERROR(INDEX(DATABASE!$C$4:$C$2003,MATCH($B83,DATABASE!$AA$4:$AA$2003,0))&amp;"","")</f>
        <v/>
      </c>
      <c r="E83" s="49" t="str">
        <f aca="false">IFERROR(INDEX(DATABASE!$F$4:$F$2003,MATCH($B83,DATABASE!$AA$4:$AA$2003,0))&amp;"","")</f>
        <v/>
      </c>
      <c r="F83" s="51" t="str">
        <f aca="false">IFERROR(INDEX(DATABASE!$G$4:$G$2003,MATCH($B83,DATABASE!$AA$4:$AA$2003,0))&amp;"","")</f>
        <v/>
      </c>
      <c r="G83" s="78" t="str">
        <f aca="false">IFERROR(INDEX(DATABASE!$Y$4:$Y$2003,MATCH($B83,DATABASE!$AA$4:$AA$2003,0))&amp;"","")</f>
        <v/>
      </c>
      <c r="H83" s="49" t="str">
        <f aca="false">IFERROR(INDEX(DATABASE!$O$4:$O$2003,MATCH($B83,DATABASE!$AA$4:$AA$2003,0))&amp;"","")</f>
        <v/>
      </c>
    </row>
    <row r="84" customFormat="false" ht="15" hidden="false" customHeight="false" outlineLevel="0" collapsed="false">
      <c r="B84" s="46" t="n">
        <v>63</v>
      </c>
      <c r="C84" s="47" t="str">
        <f aca="false">IFERROR(INDEX(DATABASE!$B$4:$B$2003,MATCH($B84,DATABASE!$AA$4:$AA$2003,0))&amp;"","")</f>
        <v/>
      </c>
      <c r="D84" s="48" t="str">
        <f aca="false">IFERROR(INDEX(DATABASE!$C$4:$C$2003,MATCH($B84,DATABASE!$AA$4:$AA$2003,0))&amp;"","")</f>
        <v/>
      </c>
      <c r="E84" s="46" t="str">
        <f aca="false">IFERROR(INDEX(DATABASE!$F$4:$F$2003,MATCH($B84,DATABASE!$AA$4:$AA$2003,0))&amp;"","")</f>
        <v/>
      </c>
      <c r="F84" s="48" t="str">
        <f aca="false">IFERROR(INDEX(DATABASE!$G$4:$G$2003,MATCH($B84,DATABASE!$AA$4:$AA$2003,0))&amp;"","")</f>
        <v/>
      </c>
      <c r="G84" s="77" t="str">
        <f aca="false">IFERROR(INDEX(DATABASE!$Y$4:$Y$2003,MATCH($B84,DATABASE!$AA$4:$AA$2003,0))&amp;"","")</f>
        <v/>
      </c>
      <c r="H84" s="46" t="str">
        <f aca="false">IFERROR(INDEX(DATABASE!$O$4:$O$2003,MATCH($B84,DATABASE!$AA$4:$AA$2003,0))&amp;"","")</f>
        <v/>
      </c>
    </row>
    <row r="85" customFormat="false" ht="15" hidden="false" customHeight="false" outlineLevel="0" collapsed="false">
      <c r="B85" s="49" t="n">
        <v>64</v>
      </c>
      <c r="C85" s="50" t="str">
        <f aca="false">IFERROR(INDEX(DATABASE!$B$4:$B$2003,MATCH($B85,DATABASE!$AA$4:$AA$2003,0))&amp;"","")</f>
        <v/>
      </c>
      <c r="D85" s="51" t="str">
        <f aca="false">IFERROR(INDEX(DATABASE!$C$4:$C$2003,MATCH($B85,DATABASE!$AA$4:$AA$2003,0))&amp;"","")</f>
        <v/>
      </c>
      <c r="E85" s="49" t="str">
        <f aca="false">IFERROR(INDEX(DATABASE!$F$4:$F$2003,MATCH($B85,DATABASE!$AA$4:$AA$2003,0))&amp;"","")</f>
        <v/>
      </c>
      <c r="F85" s="51" t="str">
        <f aca="false">IFERROR(INDEX(DATABASE!$G$4:$G$2003,MATCH($B85,DATABASE!$AA$4:$AA$2003,0))&amp;"","")</f>
        <v/>
      </c>
      <c r="G85" s="78" t="str">
        <f aca="false">IFERROR(INDEX(DATABASE!$Y$4:$Y$2003,MATCH($B85,DATABASE!$AA$4:$AA$2003,0))&amp;"","")</f>
        <v/>
      </c>
      <c r="H85" s="49" t="str">
        <f aca="false">IFERROR(INDEX(DATABASE!$O$4:$O$2003,MATCH($B85,DATABASE!$AA$4:$AA$2003,0))&amp;"","")</f>
        <v/>
      </c>
    </row>
    <row r="86" customFormat="false" ht="15" hidden="false" customHeight="false" outlineLevel="0" collapsed="false">
      <c r="B86" s="46" t="n">
        <v>65</v>
      </c>
      <c r="C86" s="47" t="str">
        <f aca="false">IFERROR(INDEX(DATABASE!$B$4:$B$2003,MATCH($B86,DATABASE!$AA$4:$AA$2003,0))&amp;"","")</f>
        <v/>
      </c>
      <c r="D86" s="48" t="str">
        <f aca="false">IFERROR(INDEX(DATABASE!$C$4:$C$2003,MATCH($B86,DATABASE!$AA$4:$AA$2003,0))&amp;"","")</f>
        <v/>
      </c>
      <c r="E86" s="46" t="str">
        <f aca="false">IFERROR(INDEX(DATABASE!$F$4:$F$2003,MATCH($B86,DATABASE!$AA$4:$AA$2003,0))&amp;"","")</f>
        <v/>
      </c>
      <c r="F86" s="48" t="str">
        <f aca="false">IFERROR(INDEX(DATABASE!$G$4:$G$2003,MATCH($B86,DATABASE!$AA$4:$AA$2003,0))&amp;"","")</f>
        <v/>
      </c>
      <c r="G86" s="77" t="str">
        <f aca="false">IFERROR(INDEX(DATABASE!$Y$4:$Y$2003,MATCH($B86,DATABASE!$AA$4:$AA$2003,0))&amp;"","")</f>
        <v/>
      </c>
      <c r="H86" s="46" t="str">
        <f aca="false">IFERROR(INDEX(DATABASE!$O$4:$O$2003,MATCH($B86,DATABASE!$AA$4:$AA$2003,0))&amp;"","")</f>
        <v/>
      </c>
    </row>
    <row r="87" customFormat="false" ht="15" hidden="false" customHeight="false" outlineLevel="0" collapsed="false">
      <c r="B87" s="49" t="n">
        <v>66</v>
      </c>
      <c r="C87" s="50" t="str">
        <f aca="false">IFERROR(INDEX(DATABASE!$B$4:$B$2003,MATCH($B87,DATABASE!$AA$4:$AA$2003,0))&amp;"","")</f>
        <v/>
      </c>
      <c r="D87" s="51" t="str">
        <f aca="false">IFERROR(INDEX(DATABASE!$C$4:$C$2003,MATCH($B87,DATABASE!$AA$4:$AA$2003,0))&amp;"","")</f>
        <v/>
      </c>
      <c r="E87" s="49" t="str">
        <f aca="false">IFERROR(INDEX(DATABASE!$F$4:$F$2003,MATCH($B87,DATABASE!$AA$4:$AA$2003,0))&amp;"","")</f>
        <v/>
      </c>
      <c r="F87" s="51" t="str">
        <f aca="false">IFERROR(INDEX(DATABASE!$G$4:$G$2003,MATCH($B87,DATABASE!$AA$4:$AA$2003,0))&amp;"","")</f>
        <v/>
      </c>
      <c r="G87" s="78" t="str">
        <f aca="false">IFERROR(INDEX(DATABASE!$Y$4:$Y$2003,MATCH($B87,DATABASE!$AA$4:$AA$2003,0))&amp;"","")</f>
        <v/>
      </c>
      <c r="H87" s="49" t="str">
        <f aca="false">IFERROR(INDEX(DATABASE!$O$4:$O$2003,MATCH($B87,DATABASE!$AA$4:$AA$2003,0))&amp;"","")</f>
        <v/>
      </c>
    </row>
    <row r="88" customFormat="false" ht="15" hidden="false" customHeight="false" outlineLevel="0" collapsed="false">
      <c r="B88" s="46" t="n">
        <v>67</v>
      </c>
      <c r="C88" s="47" t="str">
        <f aca="false">IFERROR(INDEX(DATABASE!$B$4:$B$2003,MATCH($B88,DATABASE!$AA$4:$AA$2003,0))&amp;"","")</f>
        <v/>
      </c>
      <c r="D88" s="48" t="str">
        <f aca="false">IFERROR(INDEX(DATABASE!$C$4:$C$2003,MATCH($B88,DATABASE!$AA$4:$AA$2003,0))&amp;"","")</f>
        <v/>
      </c>
      <c r="E88" s="46" t="str">
        <f aca="false">IFERROR(INDEX(DATABASE!$F$4:$F$2003,MATCH($B88,DATABASE!$AA$4:$AA$2003,0))&amp;"","")</f>
        <v/>
      </c>
      <c r="F88" s="48" t="str">
        <f aca="false">IFERROR(INDEX(DATABASE!$G$4:$G$2003,MATCH($B88,DATABASE!$AA$4:$AA$2003,0))&amp;"","")</f>
        <v/>
      </c>
      <c r="G88" s="77" t="str">
        <f aca="false">IFERROR(INDEX(DATABASE!$Y$4:$Y$2003,MATCH($B88,DATABASE!$AA$4:$AA$2003,0))&amp;"","")</f>
        <v/>
      </c>
      <c r="H88" s="46" t="str">
        <f aca="false">IFERROR(INDEX(DATABASE!$O$4:$O$2003,MATCH($B88,DATABASE!$AA$4:$AA$2003,0))&amp;"","")</f>
        <v/>
      </c>
    </row>
    <row r="89" customFormat="false" ht="15" hidden="false" customHeight="false" outlineLevel="0" collapsed="false">
      <c r="B89" s="49" t="n">
        <v>68</v>
      </c>
      <c r="C89" s="50" t="str">
        <f aca="false">IFERROR(INDEX(DATABASE!$B$4:$B$2003,MATCH($B89,DATABASE!$AA$4:$AA$2003,0))&amp;"","")</f>
        <v/>
      </c>
      <c r="D89" s="51" t="str">
        <f aca="false">IFERROR(INDEX(DATABASE!$C$4:$C$2003,MATCH($B89,DATABASE!$AA$4:$AA$2003,0))&amp;"","")</f>
        <v/>
      </c>
      <c r="E89" s="49" t="str">
        <f aca="false">IFERROR(INDEX(DATABASE!$F$4:$F$2003,MATCH($B89,DATABASE!$AA$4:$AA$2003,0))&amp;"","")</f>
        <v/>
      </c>
      <c r="F89" s="51" t="str">
        <f aca="false">IFERROR(INDEX(DATABASE!$G$4:$G$2003,MATCH($B89,DATABASE!$AA$4:$AA$2003,0))&amp;"","")</f>
        <v/>
      </c>
      <c r="G89" s="78" t="str">
        <f aca="false">IFERROR(INDEX(DATABASE!$Y$4:$Y$2003,MATCH($B89,DATABASE!$AA$4:$AA$2003,0))&amp;"","")</f>
        <v/>
      </c>
      <c r="H89" s="49" t="str">
        <f aca="false">IFERROR(INDEX(DATABASE!$O$4:$O$2003,MATCH($B89,DATABASE!$AA$4:$AA$2003,0))&amp;"","")</f>
        <v/>
      </c>
    </row>
    <row r="90" customFormat="false" ht="15" hidden="false" customHeight="false" outlineLevel="0" collapsed="false">
      <c r="B90" s="46" t="n">
        <v>69</v>
      </c>
      <c r="C90" s="47" t="str">
        <f aca="false">IFERROR(INDEX(DATABASE!$B$4:$B$2003,MATCH($B90,DATABASE!$AA$4:$AA$2003,0))&amp;"","")</f>
        <v/>
      </c>
      <c r="D90" s="48" t="str">
        <f aca="false">IFERROR(INDEX(DATABASE!$C$4:$C$2003,MATCH($B90,DATABASE!$AA$4:$AA$2003,0))&amp;"","")</f>
        <v/>
      </c>
      <c r="E90" s="46" t="str">
        <f aca="false">IFERROR(INDEX(DATABASE!$F$4:$F$2003,MATCH($B90,DATABASE!$AA$4:$AA$2003,0))&amp;"","")</f>
        <v/>
      </c>
      <c r="F90" s="48" t="str">
        <f aca="false">IFERROR(INDEX(DATABASE!$G$4:$G$2003,MATCH($B90,DATABASE!$AA$4:$AA$2003,0))&amp;"","")</f>
        <v/>
      </c>
      <c r="G90" s="77" t="str">
        <f aca="false">IFERROR(INDEX(DATABASE!$Y$4:$Y$2003,MATCH($B90,DATABASE!$AA$4:$AA$2003,0))&amp;"","")</f>
        <v/>
      </c>
      <c r="H90" s="46" t="str">
        <f aca="false">IFERROR(INDEX(DATABASE!$O$4:$O$2003,MATCH($B90,DATABASE!$AA$4:$AA$2003,0))&amp;"","")</f>
        <v/>
      </c>
    </row>
    <row r="91" customFormat="false" ht="15" hidden="false" customHeight="false" outlineLevel="0" collapsed="false">
      <c r="B91" s="49" t="n">
        <v>70</v>
      </c>
      <c r="C91" s="50" t="str">
        <f aca="false">IFERROR(INDEX(DATABASE!$B$4:$B$2003,MATCH($B91,DATABASE!$AA$4:$AA$2003,0))&amp;"","")</f>
        <v/>
      </c>
      <c r="D91" s="51" t="str">
        <f aca="false">IFERROR(INDEX(DATABASE!$C$4:$C$2003,MATCH($B91,DATABASE!$AA$4:$AA$2003,0))&amp;"","")</f>
        <v/>
      </c>
      <c r="E91" s="49" t="str">
        <f aca="false">IFERROR(INDEX(DATABASE!$F$4:$F$2003,MATCH($B91,DATABASE!$AA$4:$AA$2003,0))&amp;"","")</f>
        <v/>
      </c>
      <c r="F91" s="51" t="str">
        <f aca="false">IFERROR(INDEX(DATABASE!$G$4:$G$2003,MATCH($B91,DATABASE!$AA$4:$AA$2003,0))&amp;"","")</f>
        <v/>
      </c>
      <c r="G91" s="78" t="str">
        <f aca="false">IFERROR(INDEX(DATABASE!$Y$4:$Y$2003,MATCH($B91,DATABASE!$AA$4:$AA$2003,0))&amp;"","")</f>
        <v/>
      </c>
      <c r="H91" s="49" t="str">
        <f aca="false">IFERROR(INDEX(DATABASE!$O$4:$O$2003,MATCH($B91,DATABASE!$AA$4:$AA$2003,0))&amp;"","")</f>
        <v/>
      </c>
    </row>
    <row r="92" customFormat="false" ht="15" hidden="false" customHeight="false" outlineLevel="0" collapsed="false">
      <c r="B92" s="46" t="n">
        <v>71</v>
      </c>
      <c r="C92" s="47" t="str">
        <f aca="false">IFERROR(INDEX(DATABASE!$B$4:$B$2003,MATCH($B92,DATABASE!$AA$4:$AA$2003,0))&amp;"","")</f>
        <v/>
      </c>
      <c r="D92" s="48" t="str">
        <f aca="false">IFERROR(INDEX(DATABASE!$C$4:$C$2003,MATCH($B92,DATABASE!$AA$4:$AA$2003,0))&amp;"","")</f>
        <v/>
      </c>
      <c r="E92" s="46" t="str">
        <f aca="false">IFERROR(INDEX(DATABASE!$F$4:$F$2003,MATCH($B92,DATABASE!$AA$4:$AA$2003,0))&amp;"","")</f>
        <v/>
      </c>
      <c r="F92" s="48" t="str">
        <f aca="false">IFERROR(INDEX(DATABASE!$G$4:$G$2003,MATCH($B92,DATABASE!$AA$4:$AA$2003,0))&amp;"","")</f>
        <v/>
      </c>
      <c r="G92" s="77" t="str">
        <f aca="false">IFERROR(INDEX(DATABASE!$Y$4:$Y$2003,MATCH($B92,DATABASE!$AA$4:$AA$2003,0))&amp;"","")</f>
        <v/>
      </c>
      <c r="H92" s="46" t="str">
        <f aca="false">IFERROR(INDEX(DATABASE!$O$4:$O$2003,MATCH($B92,DATABASE!$AA$4:$AA$2003,0))&amp;"","")</f>
        <v/>
      </c>
    </row>
    <row r="93" customFormat="false" ht="15" hidden="false" customHeight="false" outlineLevel="0" collapsed="false">
      <c r="B93" s="49" t="n">
        <v>72</v>
      </c>
      <c r="C93" s="50" t="str">
        <f aca="false">IFERROR(INDEX(DATABASE!$B$4:$B$2003,MATCH($B93,DATABASE!$AA$4:$AA$2003,0))&amp;"","")</f>
        <v/>
      </c>
      <c r="D93" s="51" t="str">
        <f aca="false">IFERROR(INDEX(DATABASE!$C$4:$C$2003,MATCH($B93,DATABASE!$AA$4:$AA$2003,0))&amp;"","")</f>
        <v/>
      </c>
      <c r="E93" s="49" t="str">
        <f aca="false">IFERROR(INDEX(DATABASE!$F$4:$F$2003,MATCH($B93,DATABASE!$AA$4:$AA$2003,0))&amp;"","")</f>
        <v/>
      </c>
      <c r="F93" s="51" t="str">
        <f aca="false">IFERROR(INDEX(DATABASE!$G$4:$G$2003,MATCH($B93,DATABASE!$AA$4:$AA$2003,0))&amp;"","")</f>
        <v/>
      </c>
      <c r="G93" s="78" t="str">
        <f aca="false">IFERROR(INDEX(DATABASE!$Y$4:$Y$2003,MATCH($B93,DATABASE!$AA$4:$AA$2003,0))&amp;"","")</f>
        <v/>
      </c>
      <c r="H93" s="49" t="str">
        <f aca="false">IFERROR(INDEX(DATABASE!$O$4:$O$2003,MATCH($B93,DATABASE!$AA$4:$AA$2003,0))&amp;"","")</f>
        <v/>
      </c>
    </row>
    <row r="94" customFormat="false" ht="15" hidden="false" customHeight="false" outlineLevel="0" collapsed="false">
      <c r="B94" s="46" t="n">
        <v>73</v>
      </c>
      <c r="C94" s="47" t="str">
        <f aca="false">IFERROR(INDEX(DATABASE!$B$4:$B$2003,MATCH($B94,DATABASE!$AA$4:$AA$2003,0))&amp;"","")</f>
        <v/>
      </c>
      <c r="D94" s="48" t="str">
        <f aca="false">IFERROR(INDEX(DATABASE!$C$4:$C$2003,MATCH($B94,DATABASE!$AA$4:$AA$2003,0))&amp;"","")</f>
        <v/>
      </c>
      <c r="E94" s="46" t="str">
        <f aca="false">IFERROR(INDEX(DATABASE!$F$4:$F$2003,MATCH($B94,DATABASE!$AA$4:$AA$2003,0))&amp;"","")</f>
        <v/>
      </c>
      <c r="F94" s="48" t="str">
        <f aca="false">IFERROR(INDEX(DATABASE!$G$4:$G$2003,MATCH($B94,DATABASE!$AA$4:$AA$2003,0))&amp;"","")</f>
        <v/>
      </c>
      <c r="G94" s="77" t="str">
        <f aca="false">IFERROR(INDEX(DATABASE!$Y$4:$Y$2003,MATCH($B94,DATABASE!$AA$4:$AA$2003,0))&amp;"","")</f>
        <v/>
      </c>
      <c r="H94" s="46" t="str">
        <f aca="false">IFERROR(INDEX(DATABASE!$O$4:$O$2003,MATCH($B94,DATABASE!$AA$4:$AA$2003,0))&amp;"","")</f>
        <v/>
      </c>
    </row>
    <row r="95" customFormat="false" ht="15" hidden="false" customHeight="false" outlineLevel="0" collapsed="false">
      <c r="B95" s="49" t="n">
        <v>74</v>
      </c>
      <c r="C95" s="50" t="str">
        <f aca="false">IFERROR(INDEX(DATABASE!$B$4:$B$2003,MATCH($B95,DATABASE!$AA$4:$AA$2003,0))&amp;"","")</f>
        <v/>
      </c>
      <c r="D95" s="51" t="str">
        <f aca="false">IFERROR(INDEX(DATABASE!$C$4:$C$2003,MATCH($B95,DATABASE!$AA$4:$AA$2003,0))&amp;"","")</f>
        <v/>
      </c>
      <c r="E95" s="49" t="str">
        <f aca="false">IFERROR(INDEX(DATABASE!$F$4:$F$2003,MATCH($B95,DATABASE!$AA$4:$AA$2003,0))&amp;"","")</f>
        <v/>
      </c>
      <c r="F95" s="51" t="str">
        <f aca="false">IFERROR(INDEX(DATABASE!$G$4:$G$2003,MATCH($B95,DATABASE!$AA$4:$AA$2003,0))&amp;"","")</f>
        <v/>
      </c>
      <c r="G95" s="78" t="str">
        <f aca="false">IFERROR(INDEX(DATABASE!$Y$4:$Y$2003,MATCH($B95,DATABASE!$AA$4:$AA$2003,0))&amp;"","")</f>
        <v/>
      </c>
      <c r="H95" s="49" t="str">
        <f aca="false">IFERROR(INDEX(DATABASE!$O$4:$O$2003,MATCH($B95,DATABASE!$AA$4:$AA$2003,0))&amp;"","")</f>
        <v/>
      </c>
    </row>
    <row r="96" customFormat="false" ht="15" hidden="false" customHeight="false" outlineLevel="0" collapsed="false">
      <c r="B96" s="46" t="n">
        <v>75</v>
      </c>
      <c r="C96" s="47" t="str">
        <f aca="false">IFERROR(INDEX(DATABASE!$B$4:$B$2003,MATCH($B96,DATABASE!$AA$4:$AA$2003,0))&amp;"","")</f>
        <v/>
      </c>
      <c r="D96" s="48" t="str">
        <f aca="false">IFERROR(INDEX(DATABASE!$C$4:$C$2003,MATCH($B96,DATABASE!$AA$4:$AA$2003,0))&amp;"","")</f>
        <v/>
      </c>
      <c r="E96" s="46" t="str">
        <f aca="false">IFERROR(INDEX(DATABASE!$F$4:$F$2003,MATCH($B96,DATABASE!$AA$4:$AA$2003,0))&amp;"","")</f>
        <v/>
      </c>
      <c r="F96" s="48" t="str">
        <f aca="false">IFERROR(INDEX(DATABASE!$G$4:$G$2003,MATCH($B96,DATABASE!$AA$4:$AA$2003,0))&amp;"","")</f>
        <v/>
      </c>
      <c r="G96" s="77" t="str">
        <f aca="false">IFERROR(INDEX(DATABASE!$Y$4:$Y$2003,MATCH($B96,DATABASE!$AA$4:$AA$2003,0))&amp;"","")</f>
        <v/>
      </c>
      <c r="H96" s="46" t="str">
        <f aca="false">IFERROR(INDEX(DATABASE!$O$4:$O$2003,MATCH($B96,DATABASE!$AA$4:$AA$2003,0))&amp;"","")</f>
        <v/>
      </c>
    </row>
    <row r="97" customFormat="false" ht="15" hidden="false" customHeight="false" outlineLevel="0" collapsed="false">
      <c r="B97" s="49" t="n">
        <v>76</v>
      </c>
      <c r="C97" s="50" t="str">
        <f aca="false">IFERROR(INDEX(DATABASE!$B$4:$B$2003,MATCH($B97,DATABASE!$AA$4:$AA$2003,0))&amp;"","")</f>
        <v/>
      </c>
      <c r="D97" s="51" t="str">
        <f aca="false">IFERROR(INDEX(DATABASE!$C$4:$C$2003,MATCH($B97,DATABASE!$AA$4:$AA$2003,0))&amp;"","")</f>
        <v/>
      </c>
      <c r="E97" s="49" t="str">
        <f aca="false">IFERROR(INDEX(DATABASE!$F$4:$F$2003,MATCH($B97,DATABASE!$AA$4:$AA$2003,0))&amp;"","")</f>
        <v/>
      </c>
      <c r="F97" s="51" t="str">
        <f aca="false">IFERROR(INDEX(DATABASE!$G$4:$G$2003,MATCH($B97,DATABASE!$AA$4:$AA$2003,0))&amp;"","")</f>
        <v/>
      </c>
      <c r="G97" s="78" t="str">
        <f aca="false">IFERROR(INDEX(DATABASE!$Y$4:$Y$2003,MATCH($B97,DATABASE!$AA$4:$AA$2003,0))&amp;"","")</f>
        <v/>
      </c>
      <c r="H97" s="49" t="str">
        <f aca="false">IFERROR(INDEX(DATABASE!$O$4:$O$2003,MATCH($B97,DATABASE!$AA$4:$AA$2003,0))&amp;"","")</f>
        <v/>
      </c>
    </row>
    <row r="98" customFormat="false" ht="15" hidden="false" customHeight="false" outlineLevel="0" collapsed="false">
      <c r="B98" s="46" t="n">
        <v>77</v>
      </c>
      <c r="C98" s="47" t="str">
        <f aca="false">IFERROR(INDEX(DATABASE!$B$4:$B$2003,MATCH($B98,DATABASE!$AA$4:$AA$2003,0))&amp;"","")</f>
        <v/>
      </c>
      <c r="D98" s="48" t="str">
        <f aca="false">IFERROR(INDEX(DATABASE!$C$4:$C$2003,MATCH($B98,DATABASE!$AA$4:$AA$2003,0))&amp;"","")</f>
        <v/>
      </c>
      <c r="E98" s="46" t="str">
        <f aca="false">IFERROR(INDEX(DATABASE!$F$4:$F$2003,MATCH($B98,DATABASE!$AA$4:$AA$2003,0))&amp;"","")</f>
        <v/>
      </c>
      <c r="F98" s="48" t="str">
        <f aca="false">IFERROR(INDEX(DATABASE!$G$4:$G$2003,MATCH($B98,DATABASE!$AA$4:$AA$2003,0))&amp;"","")</f>
        <v/>
      </c>
      <c r="G98" s="77" t="str">
        <f aca="false">IFERROR(INDEX(DATABASE!$Y$4:$Y$2003,MATCH($B98,DATABASE!$AA$4:$AA$2003,0))&amp;"","")</f>
        <v/>
      </c>
      <c r="H98" s="46" t="str">
        <f aca="false">IFERROR(INDEX(DATABASE!$O$4:$O$2003,MATCH($B98,DATABASE!$AA$4:$AA$2003,0))&amp;"","")</f>
        <v/>
      </c>
    </row>
    <row r="99" customFormat="false" ht="15" hidden="false" customHeight="false" outlineLevel="0" collapsed="false">
      <c r="B99" s="49" t="n">
        <v>78</v>
      </c>
      <c r="C99" s="50" t="str">
        <f aca="false">IFERROR(INDEX(DATABASE!$B$4:$B$2003,MATCH($B99,DATABASE!$AA$4:$AA$2003,0))&amp;"","")</f>
        <v/>
      </c>
      <c r="D99" s="51" t="str">
        <f aca="false">IFERROR(INDEX(DATABASE!$C$4:$C$2003,MATCH($B99,DATABASE!$AA$4:$AA$2003,0))&amp;"","")</f>
        <v/>
      </c>
      <c r="E99" s="49" t="str">
        <f aca="false">IFERROR(INDEX(DATABASE!$F$4:$F$2003,MATCH($B99,DATABASE!$AA$4:$AA$2003,0))&amp;"","")</f>
        <v/>
      </c>
      <c r="F99" s="51" t="str">
        <f aca="false">IFERROR(INDEX(DATABASE!$G$4:$G$2003,MATCH($B99,DATABASE!$AA$4:$AA$2003,0))&amp;"","")</f>
        <v/>
      </c>
      <c r="G99" s="78" t="str">
        <f aca="false">IFERROR(INDEX(DATABASE!$Y$4:$Y$2003,MATCH($B99,DATABASE!$AA$4:$AA$2003,0))&amp;"","")</f>
        <v/>
      </c>
      <c r="H99" s="49" t="str">
        <f aca="false">IFERROR(INDEX(DATABASE!$O$4:$O$2003,MATCH($B99,DATABASE!$AA$4:$AA$2003,0))&amp;"","")</f>
        <v/>
      </c>
    </row>
    <row r="100" customFormat="false" ht="15" hidden="false" customHeight="false" outlineLevel="0" collapsed="false">
      <c r="B100" s="46" t="n">
        <v>79</v>
      </c>
      <c r="C100" s="47" t="str">
        <f aca="false">IFERROR(INDEX(DATABASE!$B$4:$B$2003,MATCH($B100,DATABASE!$AA$4:$AA$2003,0))&amp;"","")</f>
        <v/>
      </c>
      <c r="D100" s="48" t="str">
        <f aca="false">IFERROR(INDEX(DATABASE!$C$4:$C$2003,MATCH($B100,DATABASE!$AA$4:$AA$2003,0))&amp;"","")</f>
        <v/>
      </c>
      <c r="E100" s="46" t="str">
        <f aca="false">IFERROR(INDEX(DATABASE!$F$4:$F$2003,MATCH($B100,DATABASE!$AA$4:$AA$2003,0))&amp;"","")</f>
        <v/>
      </c>
      <c r="F100" s="48" t="str">
        <f aca="false">IFERROR(INDEX(DATABASE!$G$4:$G$2003,MATCH($B100,DATABASE!$AA$4:$AA$2003,0))&amp;"","")</f>
        <v/>
      </c>
      <c r="G100" s="77" t="str">
        <f aca="false">IFERROR(INDEX(DATABASE!$Y$4:$Y$2003,MATCH($B100,DATABASE!$AA$4:$AA$2003,0))&amp;"","")</f>
        <v/>
      </c>
      <c r="H100" s="46" t="str">
        <f aca="false">IFERROR(INDEX(DATABASE!$O$4:$O$2003,MATCH($B100,DATABASE!$AA$4:$AA$2003,0))&amp;"","")</f>
        <v/>
      </c>
    </row>
    <row r="101" customFormat="false" ht="15" hidden="false" customHeight="false" outlineLevel="0" collapsed="false">
      <c r="B101" s="49" t="n">
        <v>80</v>
      </c>
      <c r="C101" s="50" t="str">
        <f aca="false">IFERROR(INDEX(DATABASE!$B$4:$B$2003,MATCH($B101,DATABASE!$AA$4:$AA$2003,0))&amp;"","")</f>
        <v/>
      </c>
      <c r="D101" s="51" t="str">
        <f aca="false">IFERROR(INDEX(DATABASE!$C$4:$C$2003,MATCH($B101,DATABASE!$AA$4:$AA$2003,0))&amp;"","")</f>
        <v/>
      </c>
      <c r="E101" s="49" t="str">
        <f aca="false">IFERROR(INDEX(DATABASE!$F$4:$F$2003,MATCH($B101,DATABASE!$AA$4:$AA$2003,0))&amp;"","")</f>
        <v/>
      </c>
      <c r="F101" s="51" t="str">
        <f aca="false">IFERROR(INDEX(DATABASE!$G$4:$G$2003,MATCH($B101,DATABASE!$AA$4:$AA$2003,0))&amp;"","")</f>
        <v/>
      </c>
      <c r="G101" s="78" t="str">
        <f aca="false">IFERROR(INDEX(DATABASE!$Y$4:$Y$2003,MATCH($B101,DATABASE!$AA$4:$AA$2003,0))&amp;"","")</f>
        <v/>
      </c>
      <c r="H101" s="49" t="str">
        <f aca="false">IFERROR(INDEX(DATABASE!$O$4:$O$2003,MATCH($B101,DATABASE!$AA$4:$AA$2003,0))&amp;"","")</f>
        <v/>
      </c>
    </row>
    <row r="102" customFormat="false" ht="15" hidden="false" customHeight="false" outlineLevel="0" collapsed="false">
      <c r="B102" s="46" t="n">
        <v>81</v>
      </c>
      <c r="C102" s="47" t="str">
        <f aca="false">IFERROR(INDEX(DATABASE!$B$4:$B$2003,MATCH($B102,DATABASE!$AA$4:$AA$2003,0))&amp;"","")</f>
        <v/>
      </c>
      <c r="D102" s="48" t="str">
        <f aca="false">IFERROR(INDEX(DATABASE!$C$4:$C$2003,MATCH($B102,DATABASE!$AA$4:$AA$2003,0))&amp;"","")</f>
        <v/>
      </c>
      <c r="E102" s="46" t="str">
        <f aca="false">IFERROR(INDEX(DATABASE!$F$4:$F$2003,MATCH($B102,DATABASE!$AA$4:$AA$2003,0))&amp;"","")</f>
        <v/>
      </c>
      <c r="F102" s="48" t="str">
        <f aca="false">IFERROR(INDEX(DATABASE!$G$4:$G$2003,MATCH($B102,DATABASE!$AA$4:$AA$2003,0))&amp;"","")</f>
        <v/>
      </c>
      <c r="G102" s="77" t="str">
        <f aca="false">IFERROR(INDEX(DATABASE!$Y$4:$Y$2003,MATCH($B102,DATABASE!$AA$4:$AA$2003,0))&amp;"","")</f>
        <v/>
      </c>
      <c r="H102" s="46" t="str">
        <f aca="false">IFERROR(INDEX(DATABASE!$O$4:$O$2003,MATCH($B102,DATABASE!$AA$4:$AA$2003,0))&amp;"","")</f>
        <v/>
      </c>
    </row>
    <row r="103" customFormat="false" ht="15" hidden="false" customHeight="false" outlineLevel="0" collapsed="false">
      <c r="B103" s="49" t="n">
        <v>82</v>
      </c>
      <c r="C103" s="50" t="str">
        <f aca="false">IFERROR(INDEX(DATABASE!$B$4:$B$2003,MATCH($B103,DATABASE!$AA$4:$AA$2003,0))&amp;"","")</f>
        <v/>
      </c>
      <c r="D103" s="51" t="str">
        <f aca="false">IFERROR(INDEX(DATABASE!$C$4:$C$2003,MATCH($B103,DATABASE!$AA$4:$AA$2003,0))&amp;"","")</f>
        <v/>
      </c>
      <c r="E103" s="49" t="str">
        <f aca="false">IFERROR(INDEX(DATABASE!$F$4:$F$2003,MATCH($B103,DATABASE!$AA$4:$AA$2003,0))&amp;"","")</f>
        <v/>
      </c>
      <c r="F103" s="51" t="str">
        <f aca="false">IFERROR(INDEX(DATABASE!$G$4:$G$2003,MATCH($B103,DATABASE!$AA$4:$AA$2003,0))&amp;"","")</f>
        <v/>
      </c>
      <c r="G103" s="78" t="str">
        <f aca="false">IFERROR(INDEX(DATABASE!$Y$4:$Y$2003,MATCH($B103,DATABASE!$AA$4:$AA$2003,0))&amp;"","")</f>
        <v/>
      </c>
      <c r="H103" s="49" t="str">
        <f aca="false">IFERROR(INDEX(DATABASE!$O$4:$O$2003,MATCH($B103,DATABASE!$AA$4:$AA$2003,0))&amp;"","")</f>
        <v/>
      </c>
    </row>
    <row r="104" customFormat="false" ht="15" hidden="false" customHeight="false" outlineLevel="0" collapsed="false">
      <c r="B104" s="46" t="n">
        <v>83</v>
      </c>
      <c r="C104" s="47" t="str">
        <f aca="false">IFERROR(INDEX(DATABASE!$B$4:$B$2003,MATCH($B104,DATABASE!$AA$4:$AA$2003,0))&amp;"","")</f>
        <v/>
      </c>
      <c r="D104" s="48" t="str">
        <f aca="false">IFERROR(INDEX(DATABASE!$C$4:$C$2003,MATCH($B104,DATABASE!$AA$4:$AA$2003,0))&amp;"","")</f>
        <v/>
      </c>
      <c r="E104" s="46" t="str">
        <f aca="false">IFERROR(INDEX(DATABASE!$F$4:$F$2003,MATCH($B104,DATABASE!$AA$4:$AA$2003,0))&amp;"","")</f>
        <v/>
      </c>
      <c r="F104" s="48" t="str">
        <f aca="false">IFERROR(INDEX(DATABASE!$G$4:$G$2003,MATCH($B104,DATABASE!$AA$4:$AA$2003,0))&amp;"","")</f>
        <v/>
      </c>
      <c r="G104" s="77" t="str">
        <f aca="false">IFERROR(INDEX(DATABASE!$Y$4:$Y$2003,MATCH($B104,DATABASE!$AA$4:$AA$2003,0))&amp;"","")</f>
        <v/>
      </c>
      <c r="H104" s="46" t="str">
        <f aca="false">IFERROR(INDEX(DATABASE!$O$4:$O$2003,MATCH($B104,DATABASE!$AA$4:$AA$2003,0))&amp;"","")</f>
        <v/>
      </c>
    </row>
    <row r="105" customFormat="false" ht="15" hidden="false" customHeight="false" outlineLevel="0" collapsed="false">
      <c r="B105" s="49" t="n">
        <v>84</v>
      </c>
      <c r="C105" s="50" t="str">
        <f aca="false">IFERROR(INDEX(DATABASE!$B$4:$B$2003,MATCH($B105,DATABASE!$AA$4:$AA$2003,0))&amp;"","")</f>
        <v/>
      </c>
      <c r="D105" s="51" t="str">
        <f aca="false">IFERROR(INDEX(DATABASE!$C$4:$C$2003,MATCH($B105,DATABASE!$AA$4:$AA$2003,0))&amp;"","")</f>
        <v/>
      </c>
      <c r="E105" s="49" t="str">
        <f aca="false">IFERROR(INDEX(DATABASE!$F$4:$F$2003,MATCH($B105,DATABASE!$AA$4:$AA$2003,0))&amp;"","")</f>
        <v/>
      </c>
      <c r="F105" s="51" t="str">
        <f aca="false">IFERROR(INDEX(DATABASE!$G$4:$G$2003,MATCH($B105,DATABASE!$AA$4:$AA$2003,0))&amp;"","")</f>
        <v/>
      </c>
      <c r="G105" s="78" t="str">
        <f aca="false">IFERROR(INDEX(DATABASE!$Y$4:$Y$2003,MATCH($B105,DATABASE!$AA$4:$AA$2003,0))&amp;"","")</f>
        <v/>
      </c>
      <c r="H105" s="49" t="str">
        <f aca="false">IFERROR(INDEX(DATABASE!$O$4:$O$2003,MATCH($B105,DATABASE!$AA$4:$AA$2003,0))&amp;"","")</f>
        <v/>
      </c>
    </row>
    <row r="106" customFormat="false" ht="15" hidden="false" customHeight="false" outlineLevel="0" collapsed="false">
      <c r="B106" s="46" t="n">
        <v>85</v>
      </c>
      <c r="C106" s="47" t="str">
        <f aca="false">IFERROR(INDEX(DATABASE!$B$4:$B$2003,MATCH($B106,DATABASE!$AA$4:$AA$2003,0))&amp;"","")</f>
        <v/>
      </c>
      <c r="D106" s="48" t="str">
        <f aca="false">IFERROR(INDEX(DATABASE!$C$4:$C$2003,MATCH($B106,DATABASE!$AA$4:$AA$2003,0))&amp;"","")</f>
        <v/>
      </c>
      <c r="E106" s="46" t="str">
        <f aca="false">IFERROR(INDEX(DATABASE!$F$4:$F$2003,MATCH($B106,DATABASE!$AA$4:$AA$2003,0))&amp;"","")</f>
        <v/>
      </c>
      <c r="F106" s="48" t="str">
        <f aca="false">IFERROR(INDEX(DATABASE!$G$4:$G$2003,MATCH($B106,DATABASE!$AA$4:$AA$2003,0))&amp;"","")</f>
        <v/>
      </c>
      <c r="G106" s="77" t="str">
        <f aca="false">IFERROR(INDEX(DATABASE!$Y$4:$Y$2003,MATCH($B106,DATABASE!$AA$4:$AA$2003,0))&amp;"","")</f>
        <v/>
      </c>
      <c r="H106" s="46" t="str">
        <f aca="false">IFERROR(INDEX(DATABASE!$O$4:$O$2003,MATCH($B106,DATABASE!$AA$4:$AA$2003,0))&amp;"","")</f>
        <v/>
      </c>
    </row>
    <row r="107" customFormat="false" ht="15" hidden="false" customHeight="false" outlineLevel="0" collapsed="false">
      <c r="B107" s="49" t="n">
        <v>86</v>
      </c>
      <c r="C107" s="50" t="str">
        <f aca="false">IFERROR(INDEX(DATABASE!$B$4:$B$2003,MATCH($B107,DATABASE!$AA$4:$AA$2003,0))&amp;"","")</f>
        <v/>
      </c>
      <c r="D107" s="51" t="str">
        <f aca="false">IFERROR(INDEX(DATABASE!$C$4:$C$2003,MATCH($B107,DATABASE!$AA$4:$AA$2003,0))&amp;"","")</f>
        <v/>
      </c>
      <c r="E107" s="49" t="str">
        <f aca="false">IFERROR(INDEX(DATABASE!$F$4:$F$2003,MATCH($B107,DATABASE!$AA$4:$AA$2003,0))&amp;"","")</f>
        <v/>
      </c>
      <c r="F107" s="51" t="str">
        <f aca="false">IFERROR(INDEX(DATABASE!$G$4:$G$2003,MATCH($B107,DATABASE!$AA$4:$AA$2003,0))&amp;"","")</f>
        <v/>
      </c>
      <c r="G107" s="78" t="str">
        <f aca="false">IFERROR(INDEX(DATABASE!$Y$4:$Y$2003,MATCH($B107,DATABASE!$AA$4:$AA$2003,0))&amp;"","")</f>
        <v/>
      </c>
      <c r="H107" s="49" t="str">
        <f aca="false">IFERROR(INDEX(DATABASE!$O$4:$O$2003,MATCH($B107,DATABASE!$AA$4:$AA$2003,0))&amp;"","")</f>
        <v/>
      </c>
    </row>
    <row r="108" customFormat="false" ht="15" hidden="false" customHeight="false" outlineLevel="0" collapsed="false">
      <c r="B108" s="46" t="n">
        <v>87</v>
      </c>
      <c r="C108" s="47" t="str">
        <f aca="false">IFERROR(INDEX(DATABASE!$B$4:$B$2003,MATCH($B108,DATABASE!$AA$4:$AA$2003,0))&amp;"","")</f>
        <v/>
      </c>
      <c r="D108" s="48" t="str">
        <f aca="false">IFERROR(INDEX(DATABASE!$C$4:$C$2003,MATCH($B108,DATABASE!$AA$4:$AA$2003,0))&amp;"","")</f>
        <v/>
      </c>
      <c r="E108" s="46" t="str">
        <f aca="false">IFERROR(INDEX(DATABASE!$F$4:$F$2003,MATCH($B108,DATABASE!$AA$4:$AA$2003,0))&amp;"","")</f>
        <v/>
      </c>
      <c r="F108" s="48" t="str">
        <f aca="false">IFERROR(INDEX(DATABASE!$G$4:$G$2003,MATCH($B108,DATABASE!$AA$4:$AA$2003,0))&amp;"","")</f>
        <v/>
      </c>
      <c r="G108" s="77" t="str">
        <f aca="false">IFERROR(INDEX(DATABASE!$Y$4:$Y$2003,MATCH($B108,DATABASE!$AA$4:$AA$2003,0))&amp;"","")</f>
        <v/>
      </c>
      <c r="H108" s="46" t="str">
        <f aca="false">IFERROR(INDEX(DATABASE!$O$4:$O$2003,MATCH($B108,DATABASE!$AA$4:$AA$2003,0))&amp;"","")</f>
        <v/>
      </c>
    </row>
    <row r="109" customFormat="false" ht="15" hidden="false" customHeight="false" outlineLevel="0" collapsed="false">
      <c r="B109" s="49" t="n">
        <v>88</v>
      </c>
      <c r="C109" s="50" t="str">
        <f aca="false">IFERROR(INDEX(DATABASE!$B$4:$B$2003,MATCH($B109,DATABASE!$AA$4:$AA$2003,0))&amp;"","")</f>
        <v/>
      </c>
      <c r="D109" s="51" t="str">
        <f aca="false">IFERROR(INDEX(DATABASE!$C$4:$C$2003,MATCH($B109,DATABASE!$AA$4:$AA$2003,0))&amp;"","")</f>
        <v/>
      </c>
      <c r="E109" s="49" t="str">
        <f aca="false">IFERROR(INDEX(DATABASE!$F$4:$F$2003,MATCH($B109,DATABASE!$AA$4:$AA$2003,0))&amp;"","")</f>
        <v/>
      </c>
      <c r="F109" s="51" t="str">
        <f aca="false">IFERROR(INDEX(DATABASE!$G$4:$G$2003,MATCH($B109,DATABASE!$AA$4:$AA$2003,0))&amp;"","")</f>
        <v/>
      </c>
      <c r="G109" s="78" t="str">
        <f aca="false">IFERROR(INDEX(DATABASE!$Y$4:$Y$2003,MATCH($B109,DATABASE!$AA$4:$AA$2003,0))&amp;"","")</f>
        <v/>
      </c>
      <c r="H109" s="49" t="str">
        <f aca="false">IFERROR(INDEX(DATABASE!$O$4:$O$2003,MATCH($B109,DATABASE!$AA$4:$AA$2003,0))&amp;"","")</f>
        <v/>
      </c>
    </row>
    <row r="110" customFormat="false" ht="15" hidden="false" customHeight="false" outlineLevel="0" collapsed="false">
      <c r="B110" s="46" t="n">
        <v>89</v>
      </c>
      <c r="C110" s="47" t="str">
        <f aca="false">IFERROR(INDEX(DATABASE!$B$4:$B$2003,MATCH($B110,DATABASE!$AA$4:$AA$2003,0))&amp;"","")</f>
        <v/>
      </c>
      <c r="D110" s="48" t="str">
        <f aca="false">IFERROR(INDEX(DATABASE!$C$4:$C$2003,MATCH($B110,DATABASE!$AA$4:$AA$2003,0))&amp;"","")</f>
        <v/>
      </c>
      <c r="E110" s="46" t="str">
        <f aca="false">IFERROR(INDEX(DATABASE!$F$4:$F$2003,MATCH($B110,DATABASE!$AA$4:$AA$2003,0))&amp;"","")</f>
        <v/>
      </c>
      <c r="F110" s="48" t="str">
        <f aca="false">IFERROR(INDEX(DATABASE!$G$4:$G$2003,MATCH($B110,DATABASE!$AA$4:$AA$2003,0))&amp;"","")</f>
        <v/>
      </c>
      <c r="G110" s="77" t="str">
        <f aca="false">IFERROR(INDEX(DATABASE!$Y$4:$Y$2003,MATCH($B110,DATABASE!$AA$4:$AA$2003,0))&amp;"","")</f>
        <v/>
      </c>
      <c r="H110" s="46" t="str">
        <f aca="false">IFERROR(INDEX(DATABASE!$O$4:$O$2003,MATCH($B110,DATABASE!$AA$4:$AA$2003,0))&amp;"","")</f>
        <v/>
      </c>
    </row>
    <row r="111" customFormat="false" ht="15" hidden="false" customHeight="false" outlineLevel="0" collapsed="false">
      <c r="B111" s="49" t="n">
        <v>90</v>
      </c>
      <c r="C111" s="50" t="str">
        <f aca="false">IFERROR(INDEX(DATABASE!$B$4:$B$2003,MATCH($B111,DATABASE!$AA$4:$AA$2003,0))&amp;"","")</f>
        <v/>
      </c>
      <c r="D111" s="51" t="str">
        <f aca="false">IFERROR(INDEX(DATABASE!$C$4:$C$2003,MATCH($B111,DATABASE!$AA$4:$AA$2003,0))&amp;"","")</f>
        <v/>
      </c>
      <c r="E111" s="49" t="str">
        <f aca="false">IFERROR(INDEX(DATABASE!$F$4:$F$2003,MATCH($B111,DATABASE!$AA$4:$AA$2003,0))&amp;"","")</f>
        <v/>
      </c>
      <c r="F111" s="51" t="str">
        <f aca="false">IFERROR(INDEX(DATABASE!$G$4:$G$2003,MATCH($B111,DATABASE!$AA$4:$AA$2003,0))&amp;"","")</f>
        <v/>
      </c>
      <c r="G111" s="78" t="str">
        <f aca="false">IFERROR(INDEX(DATABASE!$Y$4:$Y$2003,MATCH($B111,DATABASE!$AA$4:$AA$2003,0))&amp;"","")</f>
        <v/>
      </c>
      <c r="H111" s="49" t="str">
        <f aca="false">IFERROR(INDEX(DATABASE!$O$4:$O$2003,MATCH($B111,DATABASE!$AA$4:$AA$2003,0))&amp;"","")</f>
        <v/>
      </c>
    </row>
    <row r="112" customFormat="false" ht="15" hidden="false" customHeight="false" outlineLevel="0" collapsed="false">
      <c r="B112" s="46" t="n">
        <v>91</v>
      </c>
      <c r="C112" s="47" t="str">
        <f aca="false">IFERROR(INDEX(DATABASE!$B$4:$B$2003,MATCH($B112,DATABASE!$AA$4:$AA$2003,0))&amp;"","")</f>
        <v/>
      </c>
      <c r="D112" s="48" t="str">
        <f aca="false">IFERROR(INDEX(DATABASE!$C$4:$C$2003,MATCH($B112,DATABASE!$AA$4:$AA$2003,0))&amp;"","")</f>
        <v/>
      </c>
      <c r="E112" s="46" t="str">
        <f aca="false">IFERROR(INDEX(DATABASE!$F$4:$F$2003,MATCH($B112,DATABASE!$AA$4:$AA$2003,0))&amp;"","")</f>
        <v/>
      </c>
      <c r="F112" s="48" t="str">
        <f aca="false">IFERROR(INDEX(DATABASE!$G$4:$G$2003,MATCH($B112,DATABASE!$AA$4:$AA$2003,0))&amp;"","")</f>
        <v/>
      </c>
      <c r="G112" s="77" t="str">
        <f aca="false">IFERROR(INDEX(DATABASE!$Y$4:$Y$2003,MATCH($B112,DATABASE!$AA$4:$AA$2003,0))&amp;"","")</f>
        <v/>
      </c>
      <c r="H112" s="46" t="str">
        <f aca="false">IFERROR(INDEX(DATABASE!$O$4:$O$2003,MATCH($B112,DATABASE!$AA$4:$AA$2003,0))&amp;"","")</f>
        <v/>
      </c>
    </row>
    <row r="113" customFormat="false" ht="15" hidden="false" customHeight="false" outlineLevel="0" collapsed="false">
      <c r="B113" s="49" t="n">
        <v>92</v>
      </c>
      <c r="C113" s="50" t="str">
        <f aca="false">IFERROR(INDEX(DATABASE!$B$4:$B$2003,MATCH($B113,DATABASE!$AA$4:$AA$2003,0))&amp;"","")</f>
        <v/>
      </c>
      <c r="D113" s="51" t="str">
        <f aca="false">IFERROR(INDEX(DATABASE!$C$4:$C$2003,MATCH($B113,DATABASE!$AA$4:$AA$2003,0))&amp;"","")</f>
        <v/>
      </c>
      <c r="E113" s="49" t="str">
        <f aca="false">IFERROR(INDEX(DATABASE!$F$4:$F$2003,MATCH($B113,DATABASE!$AA$4:$AA$2003,0))&amp;"","")</f>
        <v/>
      </c>
      <c r="F113" s="51" t="str">
        <f aca="false">IFERROR(INDEX(DATABASE!$G$4:$G$2003,MATCH($B113,DATABASE!$AA$4:$AA$2003,0))&amp;"","")</f>
        <v/>
      </c>
      <c r="G113" s="78" t="str">
        <f aca="false">IFERROR(INDEX(DATABASE!$Y$4:$Y$2003,MATCH($B113,DATABASE!$AA$4:$AA$2003,0))&amp;"","")</f>
        <v/>
      </c>
      <c r="H113" s="49" t="str">
        <f aca="false">IFERROR(INDEX(DATABASE!$O$4:$O$2003,MATCH($B113,DATABASE!$AA$4:$AA$2003,0))&amp;"","")</f>
        <v/>
      </c>
    </row>
    <row r="114" customFormat="false" ht="15" hidden="false" customHeight="false" outlineLevel="0" collapsed="false">
      <c r="B114" s="46" t="n">
        <v>93</v>
      </c>
      <c r="C114" s="47" t="str">
        <f aca="false">IFERROR(INDEX(DATABASE!$B$4:$B$2003,MATCH($B114,DATABASE!$AA$4:$AA$2003,0))&amp;"","")</f>
        <v/>
      </c>
      <c r="D114" s="48" t="str">
        <f aca="false">IFERROR(INDEX(DATABASE!$C$4:$C$2003,MATCH($B114,DATABASE!$AA$4:$AA$2003,0))&amp;"","")</f>
        <v/>
      </c>
      <c r="E114" s="46" t="str">
        <f aca="false">IFERROR(INDEX(DATABASE!$F$4:$F$2003,MATCH($B114,DATABASE!$AA$4:$AA$2003,0))&amp;"","")</f>
        <v/>
      </c>
      <c r="F114" s="48" t="str">
        <f aca="false">IFERROR(INDEX(DATABASE!$G$4:$G$2003,MATCH($B114,DATABASE!$AA$4:$AA$2003,0))&amp;"","")</f>
        <v/>
      </c>
      <c r="G114" s="77" t="str">
        <f aca="false">IFERROR(INDEX(DATABASE!$Y$4:$Y$2003,MATCH($B114,DATABASE!$AA$4:$AA$2003,0))&amp;"","")</f>
        <v/>
      </c>
      <c r="H114" s="46" t="str">
        <f aca="false">IFERROR(INDEX(DATABASE!$O$4:$O$2003,MATCH($B114,DATABASE!$AA$4:$AA$2003,0))&amp;"","")</f>
        <v/>
      </c>
    </row>
    <row r="115" customFormat="false" ht="15" hidden="false" customHeight="false" outlineLevel="0" collapsed="false">
      <c r="B115" s="49" t="n">
        <v>94</v>
      </c>
      <c r="C115" s="50" t="str">
        <f aca="false">IFERROR(INDEX(DATABASE!$B$4:$B$2003,MATCH($B115,DATABASE!$AA$4:$AA$2003,0))&amp;"","")</f>
        <v/>
      </c>
      <c r="D115" s="51" t="str">
        <f aca="false">IFERROR(INDEX(DATABASE!$C$4:$C$2003,MATCH($B115,DATABASE!$AA$4:$AA$2003,0))&amp;"","")</f>
        <v/>
      </c>
      <c r="E115" s="49" t="str">
        <f aca="false">IFERROR(INDEX(DATABASE!$F$4:$F$2003,MATCH($B115,DATABASE!$AA$4:$AA$2003,0))&amp;"","")</f>
        <v/>
      </c>
      <c r="F115" s="51" t="str">
        <f aca="false">IFERROR(INDEX(DATABASE!$G$4:$G$2003,MATCH($B115,DATABASE!$AA$4:$AA$2003,0))&amp;"","")</f>
        <v/>
      </c>
      <c r="G115" s="78" t="str">
        <f aca="false">IFERROR(INDEX(DATABASE!$Y$4:$Y$2003,MATCH($B115,DATABASE!$AA$4:$AA$2003,0))&amp;"","")</f>
        <v/>
      </c>
      <c r="H115" s="49" t="str">
        <f aca="false">IFERROR(INDEX(DATABASE!$O$4:$O$2003,MATCH($B115,DATABASE!$AA$4:$AA$2003,0))&amp;"","")</f>
        <v/>
      </c>
    </row>
    <row r="116" customFormat="false" ht="15" hidden="false" customHeight="false" outlineLevel="0" collapsed="false">
      <c r="B116" s="46" t="n">
        <v>95</v>
      </c>
      <c r="C116" s="47" t="str">
        <f aca="false">IFERROR(INDEX(DATABASE!$B$4:$B$2003,MATCH($B116,DATABASE!$AA$4:$AA$2003,0))&amp;"","")</f>
        <v/>
      </c>
      <c r="D116" s="48" t="str">
        <f aca="false">IFERROR(INDEX(DATABASE!$C$4:$C$2003,MATCH($B116,DATABASE!$AA$4:$AA$2003,0))&amp;"","")</f>
        <v/>
      </c>
      <c r="E116" s="46" t="str">
        <f aca="false">IFERROR(INDEX(DATABASE!$F$4:$F$2003,MATCH($B116,DATABASE!$AA$4:$AA$2003,0))&amp;"","")</f>
        <v/>
      </c>
      <c r="F116" s="48" t="str">
        <f aca="false">IFERROR(INDEX(DATABASE!$G$4:$G$2003,MATCH($B116,DATABASE!$AA$4:$AA$2003,0))&amp;"","")</f>
        <v/>
      </c>
      <c r="G116" s="77" t="str">
        <f aca="false">IFERROR(INDEX(DATABASE!$Y$4:$Y$2003,MATCH($B116,DATABASE!$AA$4:$AA$2003,0))&amp;"","")</f>
        <v/>
      </c>
      <c r="H116" s="46" t="str">
        <f aca="false">IFERROR(INDEX(DATABASE!$O$4:$O$2003,MATCH($B116,DATABASE!$AA$4:$AA$2003,0))&amp;"","")</f>
        <v/>
      </c>
    </row>
    <row r="117" customFormat="false" ht="15" hidden="false" customHeight="false" outlineLevel="0" collapsed="false">
      <c r="B117" s="49" t="n">
        <v>96</v>
      </c>
      <c r="C117" s="50" t="str">
        <f aca="false">IFERROR(INDEX(DATABASE!$B$4:$B$2003,MATCH($B117,DATABASE!$AA$4:$AA$2003,0))&amp;"","")</f>
        <v/>
      </c>
      <c r="D117" s="51" t="str">
        <f aca="false">IFERROR(INDEX(DATABASE!$C$4:$C$2003,MATCH($B117,DATABASE!$AA$4:$AA$2003,0))&amp;"","")</f>
        <v/>
      </c>
      <c r="E117" s="49" t="str">
        <f aca="false">IFERROR(INDEX(DATABASE!$F$4:$F$2003,MATCH($B117,DATABASE!$AA$4:$AA$2003,0))&amp;"","")</f>
        <v/>
      </c>
      <c r="F117" s="51" t="str">
        <f aca="false">IFERROR(INDEX(DATABASE!$G$4:$G$2003,MATCH($B117,DATABASE!$AA$4:$AA$2003,0))&amp;"","")</f>
        <v/>
      </c>
      <c r="G117" s="78" t="str">
        <f aca="false">IFERROR(INDEX(DATABASE!$Y$4:$Y$2003,MATCH($B117,DATABASE!$AA$4:$AA$2003,0))&amp;"","")</f>
        <v/>
      </c>
      <c r="H117" s="49" t="str">
        <f aca="false">IFERROR(INDEX(DATABASE!$O$4:$O$2003,MATCH($B117,DATABASE!$AA$4:$AA$2003,0))&amp;"","")</f>
        <v/>
      </c>
    </row>
    <row r="118" customFormat="false" ht="15" hidden="false" customHeight="false" outlineLevel="0" collapsed="false">
      <c r="B118" s="46" t="n">
        <v>97</v>
      </c>
      <c r="C118" s="47" t="str">
        <f aca="false">IFERROR(INDEX(DATABASE!$B$4:$B$2003,MATCH($B118,DATABASE!$AA$4:$AA$2003,0))&amp;"","")</f>
        <v/>
      </c>
      <c r="D118" s="48" t="str">
        <f aca="false">IFERROR(INDEX(DATABASE!$C$4:$C$2003,MATCH($B118,DATABASE!$AA$4:$AA$2003,0))&amp;"","")</f>
        <v/>
      </c>
      <c r="E118" s="46" t="str">
        <f aca="false">IFERROR(INDEX(DATABASE!$F$4:$F$2003,MATCH($B118,DATABASE!$AA$4:$AA$2003,0))&amp;"","")</f>
        <v/>
      </c>
      <c r="F118" s="48" t="str">
        <f aca="false">IFERROR(INDEX(DATABASE!$G$4:$G$2003,MATCH($B118,DATABASE!$AA$4:$AA$2003,0))&amp;"","")</f>
        <v/>
      </c>
      <c r="G118" s="77" t="str">
        <f aca="false">IFERROR(INDEX(DATABASE!$Y$4:$Y$2003,MATCH($B118,DATABASE!$AA$4:$AA$2003,0))&amp;"","")</f>
        <v/>
      </c>
      <c r="H118" s="46" t="str">
        <f aca="false">IFERROR(INDEX(DATABASE!$O$4:$O$2003,MATCH($B118,DATABASE!$AA$4:$AA$2003,0))&amp;"","")</f>
        <v/>
      </c>
    </row>
    <row r="119" customFormat="false" ht="15" hidden="false" customHeight="false" outlineLevel="0" collapsed="false">
      <c r="B119" s="49" t="n">
        <v>98</v>
      </c>
      <c r="C119" s="50" t="str">
        <f aca="false">IFERROR(INDEX(DATABASE!$B$4:$B$2003,MATCH($B119,DATABASE!$AA$4:$AA$2003,0))&amp;"","")</f>
        <v/>
      </c>
      <c r="D119" s="51" t="str">
        <f aca="false">IFERROR(INDEX(DATABASE!$C$4:$C$2003,MATCH($B119,DATABASE!$AA$4:$AA$2003,0))&amp;"","")</f>
        <v/>
      </c>
      <c r="E119" s="49" t="str">
        <f aca="false">IFERROR(INDEX(DATABASE!$F$4:$F$2003,MATCH($B119,DATABASE!$AA$4:$AA$2003,0))&amp;"","")</f>
        <v/>
      </c>
      <c r="F119" s="51" t="str">
        <f aca="false">IFERROR(INDEX(DATABASE!$G$4:$G$2003,MATCH($B119,DATABASE!$AA$4:$AA$2003,0))&amp;"","")</f>
        <v/>
      </c>
      <c r="G119" s="78" t="str">
        <f aca="false">IFERROR(INDEX(DATABASE!$Y$4:$Y$2003,MATCH($B119,DATABASE!$AA$4:$AA$2003,0))&amp;"","")</f>
        <v/>
      </c>
      <c r="H119" s="49" t="str">
        <f aca="false">IFERROR(INDEX(DATABASE!$O$4:$O$2003,MATCH($B119,DATABASE!$AA$4:$AA$2003,0))&amp;"","")</f>
        <v/>
      </c>
    </row>
    <row r="120" customFormat="false" ht="15" hidden="false" customHeight="false" outlineLevel="0" collapsed="false">
      <c r="B120" s="46" t="n">
        <v>99</v>
      </c>
      <c r="C120" s="47" t="str">
        <f aca="false">IFERROR(INDEX(DATABASE!$B$4:$B$2003,MATCH($B120,DATABASE!$AA$4:$AA$2003,0))&amp;"","")</f>
        <v/>
      </c>
      <c r="D120" s="48" t="str">
        <f aca="false">IFERROR(INDEX(DATABASE!$C$4:$C$2003,MATCH($B120,DATABASE!$AA$4:$AA$2003,0))&amp;"","")</f>
        <v/>
      </c>
      <c r="E120" s="46" t="str">
        <f aca="false">IFERROR(INDEX(DATABASE!$F$4:$F$2003,MATCH($B120,DATABASE!$AA$4:$AA$2003,0))&amp;"","")</f>
        <v/>
      </c>
      <c r="F120" s="48" t="str">
        <f aca="false">IFERROR(INDEX(DATABASE!$G$4:$G$2003,MATCH($B120,DATABASE!$AA$4:$AA$2003,0))&amp;"","")</f>
        <v/>
      </c>
      <c r="G120" s="77" t="str">
        <f aca="false">IFERROR(INDEX(DATABASE!$Y$4:$Y$2003,MATCH($B120,DATABASE!$AA$4:$AA$2003,0))&amp;"","")</f>
        <v/>
      </c>
      <c r="H120" s="46" t="str">
        <f aca="false">IFERROR(INDEX(DATABASE!$O$4:$O$2003,MATCH($B120,DATABASE!$AA$4:$AA$2003,0))&amp;"","")</f>
        <v/>
      </c>
    </row>
    <row r="121" customFormat="false" ht="15" hidden="false" customHeight="false" outlineLevel="0" collapsed="false">
      <c r="B121" s="49" t="n">
        <v>100</v>
      </c>
      <c r="C121" s="50" t="str">
        <f aca="false">IFERROR(INDEX(DATABASE!$B$4:$B$2003,MATCH($B121,DATABASE!$AA$4:$AA$2003,0))&amp;"","")</f>
        <v/>
      </c>
      <c r="D121" s="51" t="str">
        <f aca="false">IFERROR(INDEX(DATABASE!$C$4:$C$2003,MATCH($B121,DATABASE!$AA$4:$AA$2003,0))&amp;"","")</f>
        <v/>
      </c>
      <c r="E121" s="49" t="str">
        <f aca="false">IFERROR(INDEX(DATABASE!$F$4:$F$2003,MATCH($B121,DATABASE!$AA$4:$AA$2003,0))&amp;"","")</f>
        <v/>
      </c>
      <c r="F121" s="51" t="str">
        <f aca="false">IFERROR(INDEX(DATABASE!$G$4:$G$2003,MATCH($B121,DATABASE!$AA$4:$AA$2003,0))&amp;"","")</f>
        <v/>
      </c>
      <c r="G121" s="78" t="str">
        <f aca="false">IFERROR(INDEX(DATABASE!$Y$4:$Y$2003,MATCH($B121,DATABASE!$AA$4:$AA$2003,0))&amp;"","")</f>
        <v/>
      </c>
      <c r="H121" s="49" t="str">
        <f aca="false">IFERROR(INDEX(DATABASE!$O$4:$O$2003,MATCH($B121,DATABASE!$AA$4:$AA$2003,0))&amp;"","")</f>
        <v/>
      </c>
    </row>
    <row r="122" customFormat="false" ht="15" hidden="false" customHeight="false" outlineLevel="0" collapsed="false">
      <c r="B122" s="46" t="n">
        <v>101</v>
      </c>
      <c r="C122" s="47" t="str">
        <f aca="false">IFERROR(INDEX(DATABASE!$B$4:$B$2003,MATCH($B122,DATABASE!$AA$4:$AA$2003,0))&amp;"","")</f>
        <v/>
      </c>
      <c r="D122" s="48" t="str">
        <f aca="false">IFERROR(INDEX(DATABASE!$C$4:$C$2003,MATCH($B122,DATABASE!$AA$4:$AA$2003,0))&amp;"","")</f>
        <v/>
      </c>
      <c r="E122" s="46" t="str">
        <f aca="false">IFERROR(INDEX(DATABASE!$F$4:$F$2003,MATCH($B122,DATABASE!$AA$4:$AA$2003,0))&amp;"","")</f>
        <v/>
      </c>
      <c r="F122" s="48" t="str">
        <f aca="false">IFERROR(INDEX(DATABASE!$G$4:$G$2003,MATCH($B122,DATABASE!$AA$4:$AA$2003,0))&amp;"","")</f>
        <v/>
      </c>
      <c r="G122" s="77" t="str">
        <f aca="false">IFERROR(INDEX(DATABASE!$Y$4:$Y$2003,MATCH($B122,DATABASE!$AA$4:$AA$2003,0))&amp;"","")</f>
        <v/>
      </c>
      <c r="H122" s="46" t="str">
        <f aca="false">IFERROR(INDEX(DATABASE!$O$4:$O$2003,MATCH($B122,DATABASE!$AA$4:$AA$2003,0))&amp;"","")</f>
        <v/>
      </c>
    </row>
    <row r="123" customFormat="false" ht="15" hidden="false" customHeight="false" outlineLevel="0" collapsed="false">
      <c r="B123" s="49" t="n">
        <v>102</v>
      </c>
      <c r="C123" s="50" t="str">
        <f aca="false">IFERROR(INDEX(DATABASE!$B$4:$B$2003,MATCH($B123,DATABASE!$AA$4:$AA$2003,0))&amp;"","")</f>
        <v/>
      </c>
      <c r="D123" s="51" t="str">
        <f aca="false">IFERROR(INDEX(DATABASE!$C$4:$C$2003,MATCH($B123,DATABASE!$AA$4:$AA$2003,0))&amp;"","")</f>
        <v/>
      </c>
      <c r="E123" s="49" t="str">
        <f aca="false">IFERROR(INDEX(DATABASE!$F$4:$F$2003,MATCH($B123,DATABASE!$AA$4:$AA$2003,0))&amp;"","")</f>
        <v/>
      </c>
      <c r="F123" s="51" t="str">
        <f aca="false">IFERROR(INDEX(DATABASE!$G$4:$G$2003,MATCH($B123,DATABASE!$AA$4:$AA$2003,0))&amp;"","")</f>
        <v/>
      </c>
      <c r="G123" s="78" t="str">
        <f aca="false">IFERROR(INDEX(DATABASE!$Y$4:$Y$2003,MATCH($B123,DATABASE!$AA$4:$AA$2003,0))&amp;"","")</f>
        <v/>
      </c>
      <c r="H123" s="49" t="str">
        <f aca="false">IFERROR(INDEX(DATABASE!$O$4:$O$2003,MATCH($B123,DATABASE!$AA$4:$AA$2003,0))&amp;"","")</f>
        <v/>
      </c>
    </row>
    <row r="124" customFormat="false" ht="15" hidden="false" customHeight="false" outlineLevel="0" collapsed="false">
      <c r="B124" s="46" t="n">
        <v>103</v>
      </c>
      <c r="C124" s="47" t="str">
        <f aca="false">IFERROR(INDEX(DATABASE!$B$4:$B$2003,MATCH($B124,DATABASE!$AA$4:$AA$2003,0))&amp;"","")</f>
        <v/>
      </c>
      <c r="D124" s="48" t="str">
        <f aca="false">IFERROR(INDEX(DATABASE!$C$4:$C$2003,MATCH($B124,DATABASE!$AA$4:$AA$2003,0))&amp;"","")</f>
        <v/>
      </c>
      <c r="E124" s="46" t="str">
        <f aca="false">IFERROR(INDEX(DATABASE!$F$4:$F$2003,MATCH($B124,DATABASE!$AA$4:$AA$2003,0))&amp;"","")</f>
        <v/>
      </c>
      <c r="F124" s="48" t="str">
        <f aca="false">IFERROR(INDEX(DATABASE!$G$4:$G$2003,MATCH($B124,DATABASE!$AA$4:$AA$2003,0))&amp;"","")</f>
        <v/>
      </c>
      <c r="G124" s="77" t="str">
        <f aca="false">IFERROR(INDEX(DATABASE!$Y$4:$Y$2003,MATCH($B124,DATABASE!$AA$4:$AA$2003,0))&amp;"","")</f>
        <v/>
      </c>
      <c r="H124" s="46" t="str">
        <f aca="false">IFERROR(INDEX(DATABASE!$O$4:$O$2003,MATCH($B124,DATABASE!$AA$4:$AA$2003,0))&amp;"","")</f>
        <v/>
      </c>
    </row>
    <row r="125" customFormat="false" ht="15" hidden="false" customHeight="false" outlineLevel="0" collapsed="false">
      <c r="B125" s="49" t="n">
        <v>104</v>
      </c>
      <c r="C125" s="50" t="str">
        <f aca="false">IFERROR(INDEX(DATABASE!$B$4:$B$2003,MATCH($B125,DATABASE!$AA$4:$AA$2003,0))&amp;"","")</f>
        <v/>
      </c>
      <c r="D125" s="51" t="str">
        <f aca="false">IFERROR(INDEX(DATABASE!$C$4:$C$2003,MATCH($B125,DATABASE!$AA$4:$AA$2003,0))&amp;"","")</f>
        <v/>
      </c>
      <c r="E125" s="49" t="str">
        <f aca="false">IFERROR(INDEX(DATABASE!$F$4:$F$2003,MATCH($B125,DATABASE!$AA$4:$AA$2003,0))&amp;"","")</f>
        <v/>
      </c>
      <c r="F125" s="51" t="str">
        <f aca="false">IFERROR(INDEX(DATABASE!$G$4:$G$2003,MATCH($B125,DATABASE!$AA$4:$AA$2003,0))&amp;"","")</f>
        <v/>
      </c>
      <c r="G125" s="78" t="str">
        <f aca="false">IFERROR(INDEX(DATABASE!$Y$4:$Y$2003,MATCH($B125,DATABASE!$AA$4:$AA$2003,0))&amp;"","")</f>
        <v/>
      </c>
      <c r="H125" s="49" t="str">
        <f aca="false">IFERROR(INDEX(DATABASE!$O$4:$O$2003,MATCH($B125,DATABASE!$AA$4:$AA$2003,0))&amp;"","")</f>
        <v/>
      </c>
    </row>
    <row r="126" customFormat="false" ht="15" hidden="false" customHeight="false" outlineLevel="0" collapsed="false">
      <c r="B126" s="46" t="n">
        <v>105</v>
      </c>
      <c r="C126" s="47" t="str">
        <f aca="false">IFERROR(INDEX(DATABASE!$B$4:$B$2003,MATCH($B126,DATABASE!$AA$4:$AA$2003,0))&amp;"","")</f>
        <v/>
      </c>
      <c r="D126" s="48" t="str">
        <f aca="false">IFERROR(INDEX(DATABASE!$C$4:$C$2003,MATCH($B126,DATABASE!$AA$4:$AA$2003,0))&amp;"","")</f>
        <v/>
      </c>
      <c r="E126" s="46" t="str">
        <f aca="false">IFERROR(INDEX(DATABASE!$F$4:$F$2003,MATCH($B126,DATABASE!$AA$4:$AA$2003,0))&amp;"","")</f>
        <v/>
      </c>
      <c r="F126" s="48" t="str">
        <f aca="false">IFERROR(INDEX(DATABASE!$G$4:$G$2003,MATCH($B126,DATABASE!$AA$4:$AA$2003,0))&amp;"","")</f>
        <v/>
      </c>
      <c r="G126" s="77" t="str">
        <f aca="false">IFERROR(INDEX(DATABASE!$Y$4:$Y$2003,MATCH($B126,DATABASE!$AA$4:$AA$2003,0))&amp;"","")</f>
        <v/>
      </c>
      <c r="H126" s="46" t="str">
        <f aca="false">IFERROR(INDEX(DATABASE!$O$4:$O$2003,MATCH($B126,DATABASE!$AA$4:$AA$2003,0))&amp;"","")</f>
        <v/>
      </c>
    </row>
    <row r="127" customFormat="false" ht="15" hidden="false" customHeight="false" outlineLevel="0" collapsed="false">
      <c r="B127" s="49" t="n">
        <v>106</v>
      </c>
      <c r="C127" s="50" t="str">
        <f aca="false">IFERROR(INDEX(DATABASE!$B$4:$B$2003,MATCH($B127,DATABASE!$AA$4:$AA$2003,0))&amp;"","")</f>
        <v/>
      </c>
      <c r="D127" s="51" t="str">
        <f aca="false">IFERROR(INDEX(DATABASE!$C$4:$C$2003,MATCH($B127,DATABASE!$AA$4:$AA$2003,0))&amp;"","")</f>
        <v/>
      </c>
      <c r="E127" s="49" t="str">
        <f aca="false">IFERROR(INDEX(DATABASE!$F$4:$F$2003,MATCH($B127,DATABASE!$AA$4:$AA$2003,0))&amp;"","")</f>
        <v/>
      </c>
      <c r="F127" s="51" t="str">
        <f aca="false">IFERROR(INDEX(DATABASE!$G$4:$G$2003,MATCH($B127,DATABASE!$AA$4:$AA$2003,0))&amp;"","")</f>
        <v/>
      </c>
      <c r="G127" s="78" t="str">
        <f aca="false">IFERROR(INDEX(DATABASE!$Y$4:$Y$2003,MATCH($B127,DATABASE!$AA$4:$AA$2003,0))&amp;"","")</f>
        <v/>
      </c>
      <c r="H127" s="49" t="str">
        <f aca="false">IFERROR(INDEX(DATABASE!$O$4:$O$2003,MATCH($B127,DATABASE!$AA$4:$AA$2003,0))&amp;"","")</f>
        <v/>
      </c>
    </row>
    <row r="128" customFormat="false" ht="15" hidden="false" customHeight="false" outlineLevel="0" collapsed="false">
      <c r="B128" s="46" t="n">
        <v>107</v>
      </c>
      <c r="C128" s="47" t="str">
        <f aca="false">IFERROR(INDEX(DATABASE!$B$4:$B$2003,MATCH($B128,DATABASE!$AA$4:$AA$2003,0))&amp;"","")</f>
        <v/>
      </c>
      <c r="D128" s="48" t="str">
        <f aca="false">IFERROR(INDEX(DATABASE!$C$4:$C$2003,MATCH($B128,DATABASE!$AA$4:$AA$2003,0))&amp;"","")</f>
        <v/>
      </c>
      <c r="E128" s="46" t="str">
        <f aca="false">IFERROR(INDEX(DATABASE!$F$4:$F$2003,MATCH($B128,DATABASE!$AA$4:$AA$2003,0))&amp;"","")</f>
        <v/>
      </c>
      <c r="F128" s="48" t="str">
        <f aca="false">IFERROR(INDEX(DATABASE!$G$4:$G$2003,MATCH($B128,DATABASE!$AA$4:$AA$2003,0))&amp;"","")</f>
        <v/>
      </c>
      <c r="G128" s="77" t="str">
        <f aca="false">IFERROR(INDEX(DATABASE!$Y$4:$Y$2003,MATCH($B128,DATABASE!$AA$4:$AA$2003,0))&amp;"","")</f>
        <v/>
      </c>
      <c r="H128" s="46" t="str">
        <f aca="false">IFERROR(INDEX(DATABASE!$O$4:$O$2003,MATCH($B128,DATABASE!$AA$4:$AA$2003,0))&amp;"","")</f>
        <v/>
      </c>
    </row>
    <row r="129" customFormat="false" ht="15" hidden="false" customHeight="false" outlineLevel="0" collapsed="false">
      <c r="B129" s="49" t="n">
        <v>108</v>
      </c>
      <c r="C129" s="50" t="str">
        <f aca="false">IFERROR(INDEX(DATABASE!$B$4:$B$2003,MATCH($B129,DATABASE!$AA$4:$AA$2003,0))&amp;"","")</f>
        <v/>
      </c>
      <c r="D129" s="51" t="str">
        <f aca="false">IFERROR(INDEX(DATABASE!$C$4:$C$2003,MATCH($B129,DATABASE!$AA$4:$AA$2003,0))&amp;"","")</f>
        <v/>
      </c>
      <c r="E129" s="49" t="str">
        <f aca="false">IFERROR(INDEX(DATABASE!$F$4:$F$2003,MATCH($B129,DATABASE!$AA$4:$AA$2003,0))&amp;"","")</f>
        <v/>
      </c>
      <c r="F129" s="51" t="str">
        <f aca="false">IFERROR(INDEX(DATABASE!$G$4:$G$2003,MATCH($B129,DATABASE!$AA$4:$AA$2003,0))&amp;"","")</f>
        <v/>
      </c>
      <c r="G129" s="78" t="str">
        <f aca="false">IFERROR(INDEX(DATABASE!$Y$4:$Y$2003,MATCH($B129,DATABASE!$AA$4:$AA$2003,0))&amp;"","")</f>
        <v/>
      </c>
      <c r="H129" s="49" t="str">
        <f aca="false">IFERROR(INDEX(DATABASE!$O$4:$O$2003,MATCH($B129,DATABASE!$AA$4:$AA$2003,0))&amp;"","")</f>
        <v/>
      </c>
    </row>
    <row r="130" customFormat="false" ht="15" hidden="false" customHeight="false" outlineLevel="0" collapsed="false">
      <c r="B130" s="46" t="n">
        <v>109</v>
      </c>
      <c r="C130" s="47" t="str">
        <f aca="false">IFERROR(INDEX(DATABASE!$B$4:$B$2003,MATCH($B130,DATABASE!$AA$4:$AA$2003,0))&amp;"","")</f>
        <v/>
      </c>
      <c r="D130" s="48" t="str">
        <f aca="false">IFERROR(INDEX(DATABASE!$C$4:$C$2003,MATCH($B130,DATABASE!$AA$4:$AA$2003,0))&amp;"","")</f>
        <v/>
      </c>
      <c r="E130" s="46" t="str">
        <f aca="false">IFERROR(INDEX(DATABASE!$F$4:$F$2003,MATCH($B130,DATABASE!$AA$4:$AA$2003,0))&amp;"","")</f>
        <v/>
      </c>
      <c r="F130" s="48" t="str">
        <f aca="false">IFERROR(INDEX(DATABASE!$G$4:$G$2003,MATCH($B130,DATABASE!$AA$4:$AA$2003,0))&amp;"","")</f>
        <v/>
      </c>
      <c r="G130" s="77" t="str">
        <f aca="false">IFERROR(INDEX(DATABASE!$Y$4:$Y$2003,MATCH($B130,DATABASE!$AA$4:$AA$2003,0))&amp;"","")</f>
        <v/>
      </c>
      <c r="H130" s="46" t="str">
        <f aca="false">IFERROR(INDEX(DATABASE!$O$4:$O$2003,MATCH($B130,DATABASE!$AA$4:$AA$2003,0))&amp;"","")</f>
        <v/>
      </c>
    </row>
    <row r="131" customFormat="false" ht="15" hidden="false" customHeight="false" outlineLevel="0" collapsed="false">
      <c r="B131" s="49" t="n">
        <v>110</v>
      </c>
      <c r="C131" s="50" t="str">
        <f aca="false">IFERROR(INDEX(DATABASE!$B$4:$B$2003,MATCH($B131,DATABASE!$AA$4:$AA$2003,0))&amp;"","")</f>
        <v/>
      </c>
      <c r="D131" s="51" t="str">
        <f aca="false">IFERROR(INDEX(DATABASE!$C$4:$C$2003,MATCH($B131,DATABASE!$AA$4:$AA$2003,0))&amp;"","")</f>
        <v/>
      </c>
      <c r="E131" s="49" t="str">
        <f aca="false">IFERROR(INDEX(DATABASE!$F$4:$F$2003,MATCH($B131,DATABASE!$AA$4:$AA$2003,0))&amp;"","")</f>
        <v/>
      </c>
      <c r="F131" s="51" t="str">
        <f aca="false">IFERROR(INDEX(DATABASE!$G$4:$G$2003,MATCH($B131,DATABASE!$AA$4:$AA$2003,0))&amp;"","")</f>
        <v/>
      </c>
      <c r="G131" s="78" t="str">
        <f aca="false">IFERROR(INDEX(DATABASE!$Y$4:$Y$2003,MATCH($B131,DATABASE!$AA$4:$AA$2003,0))&amp;"","")</f>
        <v/>
      </c>
      <c r="H131" s="49" t="str">
        <f aca="false">IFERROR(INDEX(DATABASE!$O$4:$O$2003,MATCH($B131,DATABASE!$AA$4:$AA$2003,0))&amp;"","")</f>
        <v/>
      </c>
    </row>
    <row r="132" customFormat="false" ht="15" hidden="false" customHeight="false" outlineLevel="0" collapsed="false">
      <c r="B132" s="46" t="n">
        <v>111</v>
      </c>
      <c r="C132" s="47" t="str">
        <f aca="false">IFERROR(INDEX(DATABASE!$B$4:$B$2003,MATCH($B132,DATABASE!$AA$4:$AA$2003,0))&amp;"","")</f>
        <v/>
      </c>
      <c r="D132" s="48" t="str">
        <f aca="false">IFERROR(INDEX(DATABASE!$C$4:$C$2003,MATCH($B132,DATABASE!$AA$4:$AA$2003,0))&amp;"","")</f>
        <v/>
      </c>
      <c r="E132" s="46" t="str">
        <f aca="false">IFERROR(INDEX(DATABASE!$F$4:$F$2003,MATCH($B132,DATABASE!$AA$4:$AA$2003,0))&amp;"","")</f>
        <v/>
      </c>
      <c r="F132" s="48" t="str">
        <f aca="false">IFERROR(INDEX(DATABASE!$G$4:$G$2003,MATCH($B132,DATABASE!$AA$4:$AA$2003,0))&amp;"","")</f>
        <v/>
      </c>
      <c r="G132" s="77" t="str">
        <f aca="false">IFERROR(INDEX(DATABASE!$Y$4:$Y$2003,MATCH($B132,DATABASE!$AA$4:$AA$2003,0))&amp;"","")</f>
        <v/>
      </c>
      <c r="H132" s="46" t="str">
        <f aca="false">IFERROR(INDEX(DATABASE!$O$4:$O$2003,MATCH($B132,DATABASE!$AA$4:$AA$2003,0))&amp;"","")</f>
        <v/>
      </c>
    </row>
    <row r="133" customFormat="false" ht="15" hidden="false" customHeight="false" outlineLevel="0" collapsed="false">
      <c r="B133" s="49" t="n">
        <v>112</v>
      </c>
      <c r="C133" s="50" t="str">
        <f aca="false">IFERROR(INDEX(DATABASE!$B$4:$B$2003,MATCH($B133,DATABASE!$AA$4:$AA$2003,0))&amp;"","")</f>
        <v/>
      </c>
      <c r="D133" s="51" t="str">
        <f aca="false">IFERROR(INDEX(DATABASE!$C$4:$C$2003,MATCH($B133,DATABASE!$AA$4:$AA$2003,0))&amp;"","")</f>
        <v/>
      </c>
      <c r="E133" s="49" t="str">
        <f aca="false">IFERROR(INDEX(DATABASE!$F$4:$F$2003,MATCH($B133,DATABASE!$AA$4:$AA$2003,0))&amp;"","")</f>
        <v/>
      </c>
      <c r="F133" s="51" t="str">
        <f aca="false">IFERROR(INDEX(DATABASE!$G$4:$G$2003,MATCH($B133,DATABASE!$AA$4:$AA$2003,0))&amp;"","")</f>
        <v/>
      </c>
      <c r="G133" s="78" t="str">
        <f aca="false">IFERROR(INDEX(DATABASE!$Y$4:$Y$2003,MATCH($B133,DATABASE!$AA$4:$AA$2003,0))&amp;"","")</f>
        <v/>
      </c>
      <c r="H133" s="49" t="str">
        <f aca="false">IFERROR(INDEX(DATABASE!$O$4:$O$2003,MATCH($B133,DATABASE!$AA$4:$AA$2003,0))&amp;"","")</f>
        <v/>
      </c>
    </row>
    <row r="134" customFormat="false" ht="15" hidden="false" customHeight="false" outlineLevel="0" collapsed="false">
      <c r="B134" s="46" t="n">
        <v>113</v>
      </c>
      <c r="C134" s="47" t="str">
        <f aca="false">IFERROR(INDEX(DATABASE!$B$4:$B$2003,MATCH($B134,DATABASE!$AA$4:$AA$2003,0))&amp;"","")</f>
        <v/>
      </c>
      <c r="D134" s="48" t="str">
        <f aca="false">IFERROR(INDEX(DATABASE!$C$4:$C$2003,MATCH($B134,DATABASE!$AA$4:$AA$2003,0))&amp;"","")</f>
        <v/>
      </c>
      <c r="E134" s="46" t="str">
        <f aca="false">IFERROR(INDEX(DATABASE!$F$4:$F$2003,MATCH($B134,DATABASE!$AA$4:$AA$2003,0))&amp;"","")</f>
        <v/>
      </c>
      <c r="F134" s="48" t="str">
        <f aca="false">IFERROR(INDEX(DATABASE!$G$4:$G$2003,MATCH($B134,DATABASE!$AA$4:$AA$2003,0))&amp;"","")</f>
        <v/>
      </c>
      <c r="G134" s="77" t="str">
        <f aca="false">IFERROR(INDEX(DATABASE!$Y$4:$Y$2003,MATCH($B134,DATABASE!$AA$4:$AA$2003,0))&amp;"","")</f>
        <v/>
      </c>
      <c r="H134" s="46" t="str">
        <f aca="false">IFERROR(INDEX(DATABASE!$O$4:$O$2003,MATCH($B134,DATABASE!$AA$4:$AA$2003,0))&amp;"","")</f>
        <v/>
      </c>
    </row>
    <row r="135" customFormat="false" ht="15" hidden="false" customHeight="false" outlineLevel="0" collapsed="false">
      <c r="B135" s="49" t="n">
        <v>114</v>
      </c>
      <c r="C135" s="50" t="str">
        <f aca="false">IFERROR(INDEX(DATABASE!$B$4:$B$2003,MATCH($B135,DATABASE!$AA$4:$AA$2003,0))&amp;"","")</f>
        <v/>
      </c>
      <c r="D135" s="51" t="str">
        <f aca="false">IFERROR(INDEX(DATABASE!$C$4:$C$2003,MATCH($B135,DATABASE!$AA$4:$AA$2003,0))&amp;"","")</f>
        <v/>
      </c>
      <c r="E135" s="49" t="str">
        <f aca="false">IFERROR(INDEX(DATABASE!$F$4:$F$2003,MATCH($B135,DATABASE!$AA$4:$AA$2003,0))&amp;"","")</f>
        <v/>
      </c>
      <c r="F135" s="51" t="str">
        <f aca="false">IFERROR(INDEX(DATABASE!$G$4:$G$2003,MATCH($B135,DATABASE!$AA$4:$AA$2003,0))&amp;"","")</f>
        <v/>
      </c>
      <c r="G135" s="78" t="str">
        <f aca="false">IFERROR(INDEX(DATABASE!$Y$4:$Y$2003,MATCH($B135,DATABASE!$AA$4:$AA$2003,0))&amp;"","")</f>
        <v/>
      </c>
      <c r="H135" s="49" t="str">
        <f aca="false">IFERROR(INDEX(DATABASE!$O$4:$O$2003,MATCH($B135,DATABASE!$AA$4:$AA$2003,0))&amp;"","")</f>
        <v/>
      </c>
    </row>
    <row r="136" customFormat="false" ht="15" hidden="false" customHeight="false" outlineLevel="0" collapsed="false">
      <c r="B136" s="46" t="n">
        <v>115</v>
      </c>
      <c r="C136" s="47" t="str">
        <f aca="false">IFERROR(INDEX(DATABASE!$B$4:$B$2003,MATCH($B136,DATABASE!$AA$4:$AA$2003,0))&amp;"","")</f>
        <v/>
      </c>
      <c r="D136" s="48" t="str">
        <f aca="false">IFERROR(INDEX(DATABASE!$C$4:$C$2003,MATCH($B136,DATABASE!$AA$4:$AA$2003,0))&amp;"","")</f>
        <v/>
      </c>
      <c r="E136" s="46" t="str">
        <f aca="false">IFERROR(INDEX(DATABASE!$F$4:$F$2003,MATCH($B136,DATABASE!$AA$4:$AA$2003,0))&amp;"","")</f>
        <v/>
      </c>
      <c r="F136" s="48" t="str">
        <f aca="false">IFERROR(INDEX(DATABASE!$G$4:$G$2003,MATCH($B136,DATABASE!$AA$4:$AA$2003,0))&amp;"","")</f>
        <v/>
      </c>
      <c r="G136" s="77" t="str">
        <f aca="false">IFERROR(INDEX(DATABASE!$Y$4:$Y$2003,MATCH($B136,DATABASE!$AA$4:$AA$2003,0))&amp;"","")</f>
        <v/>
      </c>
      <c r="H136" s="46" t="str">
        <f aca="false">IFERROR(INDEX(DATABASE!$O$4:$O$2003,MATCH($B136,DATABASE!$AA$4:$AA$2003,0))&amp;"","")</f>
        <v/>
      </c>
    </row>
    <row r="137" customFormat="false" ht="15" hidden="false" customHeight="false" outlineLevel="0" collapsed="false">
      <c r="B137" s="49" t="n">
        <v>116</v>
      </c>
      <c r="C137" s="50" t="str">
        <f aca="false">IFERROR(INDEX(DATABASE!$B$4:$B$2003,MATCH($B137,DATABASE!$AA$4:$AA$2003,0))&amp;"","")</f>
        <v/>
      </c>
      <c r="D137" s="51" t="str">
        <f aca="false">IFERROR(INDEX(DATABASE!$C$4:$C$2003,MATCH($B137,DATABASE!$AA$4:$AA$2003,0))&amp;"","")</f>
        <v/>
      </c>
      <c r="E137" s="49" t="str">
        <f aca="false">IFERROR(INDEX(DATABASE!$F$4:$F$2003,MATCH($B137,DATABASE!$AA$4:$AA$2003,0))&amp;"","")</f>
        <v/>
      </c>
      <c r="F137" s="51" t="str">
        <f aca="false">IFERROR(INDEX(DATABASE!$G$4:$G$2003,MATCH($B137,DATABASE!$AA$4:$AA$2003,0))&amp;"","")</f>
        <v/>
      </c>
      <c r="G137" s="78" t="str">
        <f aca="false">IFERROR(INDEX(DATABASE!$Y$4:$Y$2003,MATCH($B137,DATABASE!$AA$4:$AA$2003,0))&amp;"","")</f>
        <v/>
      </c>
      <c r="H137" s="49" t="str">
        <f aca="false">IFERROR(INDEX(DATABASE!$O$4:$O$2003,MATCH($B137,DATABASE!$AA$4:$AA$2003,0))&amp;"","")</f>
        <v/>
      </c>
    </row>
    <row r="138" customFormat="false" ht="15" hidden="false" customHeight="false" outlineLevel="0" collapsed="false">
      <c r="B138" s="46" t="n">
        <v>117</v>
      </c>
      <c r="C138" s="47" t="str">
        <f aca="false">IFERROR(INDEX(DATABASE!$B$4:$B$2003,MATCH($B138,DATABASE!$AA$4:$AA$2003,0))&amp;"","")</f>
        <v/>
      </c>
      <c r="D138" s="48" t="str">
        <f aca="false">IFERROR(INDEX(DATABASE!$C$4:$C$2003,MATCH($B138,DATABASE!$AA$4:$AA$2003,0))&amp;"","")</f>
        <v/>
      </c>
      <c r="E138" s="46" t="str">
        <f aca="false">IFERROR(INDEX(DATABASE!$F$4:$F$2003,MATCH($B138,DATABASE!$AA$4:$AA$2003,0))&amp;"","")</f>
        <v/>
      </c>
      <c r="F138" s="48" t="str">
        <f aca="false">IFERROR(INDEX(DATABASE!$G$4:$G$2003,MATCH($B138,DATABASE!$AA$4:$AA$2003,0))&amp;"","")</f>
        <v/>
      </c>
      <c r="G138" s="77" t="str">
        <f aca="false">IFERROR(INDEX(DATABASE!$Y$4:$Y$2003,MATCH($B138,DATABASE!$AA$4:$AA$2003,0))&amp;"","")</f>
        <v/>
      </c>
      <c r="H138" s="46" t="str">
        <f aca="false">IFERROR(INDEX(DATABASE!$O$4:$O$2003,MATCH($B138,DATABASE!$AA$4:$AA$2003,0))&amp;"","")</f>
        <v/>
      </c>
    </row>
    <row r="139" customFormat="false" ht="15" hidden="false" customHeight="false" outlineLevel="0" collapsed="false">
      <c r="B139" s="49" t="n">
        <v>118</v>
      </c>
      <c r="C139" s="50" t="str">
        <f aca="false">IFERROR(INDEX(DATABASE!$B$4:$B$2003,MATCH($B139,DATABASE!$AA$4:$AA$2003,0))&amp;"","")</f>
        <v/>
      </c>
      <c r="D139" s="51" t="str">
        <f aca="false">IFERROR(INDEX(DATABASE!$C$4:$C$2003,MATCH($B139,DATABASE!$AA$4:$AA$2003,0))&amp;"","")</f>
        <v/>
      </c>
      <c r="E139" s="49" t="str">
        <f aca="false">IFERROR(INDEX(DATABASE!$F$4:$F$2003,MATCH($B139,DATABASE!$AA$4:$AA$2003,0))&amp;"","")</f>
        <v/>
      </c>
      <c r="F139" s="51" t="str">
        <f aca="false">IFERROR(INDEX(DATABASE!$G$4:$G$2003,MATCH($B139,DATABASE!$AA$4:$AA$2003,0))&amp;"","")</f>
        <v/>
      </c>
      <c r="G139" s="78" t="str">
        <f aca="false">IFERROR(INDEX(DATABASE!$Y$4:$Y$2003,MATCH($B139,DATABASE!$AA$4:$AA$2003,0))&amp;"","")</f>
        <v/>
      </c>
      <c r="H139" s="49" t="str">
        <f aca="false">IFERROR(INDEX(DATABASE!$O$4:$O$2003,MATCH($B139,DATABASE!$AA$4:$AA$2003,0))&amp;"","")</f>
        <v/>
      </c>
    </row>
    <row r="140" customFormat="false" ht="15" hidden="false" customHeight="false" outlineLevel="0" collapsed="false">
      <c r="B140" s="46" t="n">
        <v>119</v>
      </c>
      <c r="C140" s="47" t="str">
        <f aca="false">IFERROR(INDEX(DATABASE!$B$4:$B$2003,MATCH($B140,DATABASE!$AA$4:$AA$2003,0))&amp;"","")</f>
        <v/>
      </c>
      <c r="D140" s="48" t="str">
        <f aca="false">IFERROR(INDEX(DATABASE!$C$4:$C$2003,MATCH($B140,DATABASE!$AA$4:$AA$2003,0))&amp;"","")</f>
        <v/>
      </c>
      <c r="E140" s="46" t="str">
        <f aca="false">IFERROR(INDEX(DATABASE!$F$4:$F$2003,MATCH($B140,DATABASE!$AA$4:$AA$2003,0))&amp;"","")</f>
        <v/>
      </c>
      <c r="F140" s="48" t="str">
        <f aca="false">IFERROR(INDEX(DATABASE!$G$4:$G$2003,MATCH($B140,DATABASE!$AA$4:$AA$2003,0))&amp;"","")</f>
        <v/>
      </c>
      <c r="G140" s="77" t="str">
        <f aca="false">IFERROR(INDEX(DATABASE!$Y$4:$Y$2003,MATCH($B140,DATABASE!$AA$4:$AA$2003,0))&amp;"","")</f>
        <v/>
      </c>
      <c r="H140" s="46" t="str">
        <f aca="false">IFERROR(INDEX(DATABASE!$O$4:$O$2003,MATCH($B140,DATABASE!$AA$4:$AA$2003,0))&amp;"","")</f>
        <v/>
      </c>
    </row>
    <row r="141" customFormat="false" ht="15" hidden="false" customHeight="false" outlineLevel="0" collapsed="false">
      <c r="B141" s="49" t="n">
        <v>120</v>
      </c>
      <c r="C141" s="50" t="str">
        <f aca="false">IFERROR(INDEX(DATABASE!$B$4:$B$2003,MATCH($B141,DATABASE!$AA$4:$AA$2003,0))&amp;"","")</f>
        <v/>
      </c>
      <c r="D141" s="51" t="str">
        <f aca="false">IFERROR(INDEX(DATABASE!$C$4:$C$2003,MATCH($B141,DATABASE!$AA$4:$AA$2003,0))&amp;"","")</f>
        <v/>
      </c>
      <c r="E141" s="49" t="str">
        <f aca="false">IFERROR(INDEX(DATABASE!$F$4:$F$2003,MATCH($B141,DATABASE!$AA$4:$AA$2003,0))&amp;"","")</f>
        <v/>
      </c>
      <c r="F141" s="51" t="str">
        <f aca="false">IFERROR(INDEX(DATABASE!$G$4:$G$2003,MATCH($B141,DATABASE!$AA$4:$AA$2003,0))&amp;"","")</f>
        <v/>
      </c>
      <c r="G141" s="78" t="str">
        <f aca="false">IFERROR(INDEX(DATABASE!$Y$4:$Y$2003,MATCH($B141,DATABASE!$AA$4:$AA$2003,0))&amp;"","")</f>
        <v/>
      </c>
      <c r="H141" s="49" t="str">
        <f aca="false">IFERROR(INDEX(DATABASE!$O$4:$O$2003,MATCH($B141,DATABASE!$AA$4:$AA$2003,0))&amp;"","")</f>
        <v/>
      </c>
    </row>
    <row r="142" customFormat="false" ht="15" hidden="false" customHeight="false" outlineLevel="0" collapsed="false">
      <c r="B142" s="46" t="n">
        <v>121</v>
      </c>
      <c r="C142" s="47" t="str">
        <f aca="false">IFERROR(INDEX(DATABASE!$B$4:$B$2003,MATCH($B142,DATABASE!$AA$4:$AA$2003,0))&amp;"","")</f>
        <v/>
      </c>
      <c r="D142" s="48" t="str">
        <f aca="false">IFERROR(INDEX(DATABASE!$C$4:$C$2003,MATCH($B142,DATABASE!$AA$4:$AA$2003,0))&amp;"","")</f>
        <v/>
      </c>
      <c r="E142" s="46" t="str">
        <f aca="false">IFERROR(INDEX(DATABASE!$F$4:$F$2003,MATCH($B142,DATABASE!$AA$4:$AA$2003,0))&amp;"","")</f>
        <v/>
      </c>
      <c r="F142" s="48" t="str">
        <f aca="false">IFERROR(INDEX(DATABASE!$G$4:$G$2003,MATCH($B142,DATABASE!$AA$4:$AA$2003,0))&amp;"","")</f>
        <v/>
      </c>
      <c r="G142" s="77" t="str">
        <f aca="false">IFERROR(INDEX(DATABASE!$Y$4:$Y$2003,MATCH($B142,DATABASE!$AA$4:$AA$2003,0))&amp;"","")</f>
        <v/>
      </c>
      <c r="H142" s="46" t="str">
        <f aca="false">IFERROR(INDEX(DATABASE!$O$4:$O$2003,MATCH($B142,DATABASE!$AA$4:$AA$2003,0))&amp;"","")</f>
        <v/>
      </c>
    </row>
    <row r="143" customFormat="false" ht="15" hidden="false" customHeight="false" outlineLevel="0" collapsed="false">
      <c r="B143" s="49" t="n">
        <v>122</v>
      </c>
      <c r="C143" s="50" t="str">
        <f aca="false">IFERROR(INDEX(DATABASE!$B$4:$B$2003,MATCH($B143,DATABASE!$AA$4:$AA$2003,0))&amp;"","")</f>
        <v/>
      </c>
      <c r="D143" s="51" t="str">
        <f aca="false">IFERROR(INDEX(DATABASE!$C$4:$C$2003,MATCH($B143,DATABASE!$AA$4:$AA$2003,0))&amp;"","")</f>
        <v/>
      </c>
      <c r="E143" s="49" t="str">
        <f aca="false">IFERROR(INDEX(DATABASE!$F$4:$F$2003,MATCH($B143,DATABASE!$AA$4:$AA$2003,0))&amp;"","")</f>
        <v/>
      </c>
      <c r="F143" s="51" t="str">
        <f aca="false">IFERROR(INDEX(DATABASE!$G$4:$G$2003,MATCH($B143,DATABASE!$AA$4:$AA$2003,0))&amp;"","")</f>
        <v/>
      </c>
      <c r="G143" s="78" t="str">
        <f aca="false">IFERROR(INDEX(DATABASE!$Y$4:$Y$2003,MATCH($B143,DATABASE!$AA$4:$AA$2003,0))&amp;"","")</f>
        <v/>
      </c>
      <c r="H143" s="49" t="str">
        <f aca="false">IFERROR(INDEX(DATABASE!$O$4:$O$2003,MATCH($B143,DATABASE!$AA$4:$AA$2003,0))&amp;"","")</f>
        <v/>
      </c>
    </row>
    <row r="144" customFormat="false" ht="15" hidden="false" customHeight="false" outlineLevel="0" collapsed="false">
      <c r="B144" s="46" t="n">
        <v>123</v>
      </c>
      <c r="C144" s="47" t="str">
        <f aca="false">IFERROR(INDEX(DATABASE!$B$4:$B$2003,MATCH($B144,DATABASE!$AA$4:$AA$2003,0))&amp;"","")</f>
        <v/>
      </c>
      <c r="D144" s="48" t="str">
        <f aca="false">IFERROR(INDEX(DATABASE!$C$4:$C$2003,MATCH($B144,DATABASE!$AA$4:$AA$2003,0))&amp;"","")</f>
        <v/>
      </c>
      <c r="E144" s="46" t="str">
        <f aca="false">IFERROR(INDEX(DATABASE!$F$4:$F$2003,MATCH($B144,DATABASE!$AA$4:$AA$2003,0))&amp;"","")</f>
        <v/>
      </c>
      <c r="F144" s="48" t="str">
        <f aca="false">IFERROR(INDEX(DATABASE!$G$4:$G$2003,MATCH($B144,DATABASE!$AA$4:$AA$2003,0))&amp;"","")</f>
        <v/>
      </c>
      <c r="G144" s="77" t="str">
        <f aca="false">IFERROR(INDEX(DATABASE!$Y$4:$Y$2003,MATCH($B144,DATABASE!$AA$4:$AA$2003,0))&amp;"","")</f>
        <v/>
      </c>
      <c r="H144" s="46" t="str">
        <f aca="false">IFERROR(INDEX(DATABASE!$O$4:$O$2003,MATCH($B144,DATABASE!$AA$4:$AA$2003,0))&amp;"","")</f>
        <v/>
      </c>
    </row>
    <row r="145" customFormat="false" ht="15" hidden="false" customHeight="false" outlineLevel="0" collapsed="false">
      <c r="B145" s="49" t="n">
        <v>124</v>
      </c>
      <c r="C145" s="50" t="str">
        <f aca="false">IFERROR(INDEX(DATABASE!$B$4:$B$2003,MATCH($B145,DATABASE!$AA$4:$AA$2003,0))&amp;"","")</f>
        <v/>
      </c>
      <c r="D145" s="51" t="str">
        <f aca="false">IFERROR(INDEX(DATABASE!$C$4:$C$2003,MATCH($B145,DATABASE!$AA$4:$AA$2003,0))&amp;"","")</f>
        <v/>
      </c>
      <c r="E145" s="49" t="str">
        <f aca="false">IFERROR(INDEX(DATABASE!$F$4:$F$2003,MATCH($B145,DATABASE!$AA$4:$AA$2003,0))&amp;"","")</f>
        <v/>
      </c>
      <c r="F145" s="51" t="str">
        <f aca="false">IFERROR(INDEX(DATABASE!$G$4:$G$2003,MATCH($B145,DATABASE!$AA$4:$AA$2003,0))&amp;"","")</f>
        <v/>
      </c>
      <c r="G145" s="78" t="str">
        <f aca="false">IFERROR(INDEX(DATABASE!$Y$4:$Y$2003,MATCH($B145,DATABASE!$AA$4:$AA$2003,0))&amp;"","")</f>
        <v/>
      </c>
      <c r="H145" s="49" t="str">
        <f aca="false">IFERROR(INDEX(DATABASE!$O$4:$O$2003,MATCH($B145,DATABASE!$AA$4:$AA$2003,0))&amp;"","")</f>
        <v/>
      </c>
    </row>
    <row r="146" customFormat="false" ht="15" hidden="false" customHeight="false" outlineLevel="0" collapsed="false">
      <c r="B146" s="46" t="n">
        <v>125</v>
      </c>
      <c r="C146" s="47" t="str">
        <f aca="false">IFERROR(INDEX(DATABASE!$B$4:$B$2003,MATCH($B146,DATABASE!$AA$4:$AA$2003,0))&amp;"","")</f>
        <v/>
      </c>
      <c r="D146" s="48" t="str">
        <f aca="false">IFERROR(INDEX(DATABASE!$C$4:$C$2003,MATCH($B146,DATABASE!$AA$4:$AA$2003,0))&amp;"","")</f>
        <v/>
      </c>
      <c r="E146" s="46" t="str">
        <f aca="false">IFERROR(INDEX(DATABASE!$F$4:$F$2003,MATCH($B146,DATABASE!$AA$4:$AA$2003,0))&amp;"","")</f>
        <v/>
      </c>
      <c r="F146" s="48" t="str">
        <f aca="false">IFERROR(INDEX(DATABASE!$G$4:$G$2003,MATCH($B146,DATABASE!$AA$4:$AA$2003,0))&amp;"","")</f>
        <v/>
      </c>
      <c r="G146" s="77" t="str">
        <f aca="false">IFERROR(INDEX(DATABASE!$Y$4:$Y$2003,MATCH($B146,DATABASE!$AA$4:$AA$2003,0))&amp;"","")</f>
        <v/>
      </c>
      <c r="H146" s="46" t="str">
        <f aca="false">IFERROR(INDEX(DATABASE!$O$4:$O$2003,MATCH($B146,DATABASE!$AA$4:$AA$2003,0))&amp;"","")</f>
        <v/>
      </c>
    </row>
    <row r="147" customFormat="false" ht="15" hidden="false" customHeight="false" outlineLevel="0" collapsed="false">
      <c r="B147" s="49" t="n">
        <v>126</v>
      </c>
      <c r="C147" s="50" t="str">
        <f aca="false">IFERROR(INDEX(DATABASE!$B$4:$B$2003,MATCH($B147,DATABASE!$AA$4:$AA$2003,0))&amp;"","")</f>
        <v/>
      </c>
      <c r="D147" s="51" t="str">
        <f aca="false">IFERROR(INDEX(DATABASE!$C$4:$C$2003,MATCH($B147,DATABASE!$AA$4:$AA$2003,0))&amp;"","")</f>
        <v/>
      </c>
      <c r="E147" s="49" t="str">
        <f aca="false">IFERROR(INDEX(DATABASE!$F$4:$F$2003,MATCH($B147,DATABASE!$AA$4:$AA$2003,0))&amp;"","")</f>
        <v/>
      </c>
      <c r="F147" s="51" t="str">
        <f aca="false">IFERROR(INDEX(DATABASE!$G$4:$G$2003,MATCH($B147,DATABASE!$AA$4:$AA$2003,0))&amp;"","")</f>
        <v/>
      </c>
      <c r="G147" s="78" t="str">
        <f aca="false">IFERROR(INDEX(DATABASE!$Y$4:$Y$2003,MATCH($B147,DATABASE!$AA$4:$AA$2003,0))&amp;"","")</f>
        <v/>
      </c>
      <c r="H147" s="49" t="str">
        <f aca="false">IFERROR(INDEX(DATABASE!$O$4:$O$2003,MATCH($B147,DATABASE!$AA$4:$AA$2003,0))&amp;"","")</f>
        <v/>
      </c>
    </row>
    <row r="148" customFormat="false" ht="15" hidden="false" customHeight="false" outlineLevel="0" collapsed="false">
      <c r="B148" s="46" t="n">
        <v>127</v>
      </c>
      <c r="C148" s="47" t="str">
        <f aca="false">IFERROR(INDEX(DATABASE!$B$4:$B$2003,MATCH($B148,DATABASE!$AA$4:$AA$2003,0))&amp;"","")</f>
        <v/>
      </c>
      <c r="D148" s="48" t="str">
        <f aca="false">IFERROR(INDEX(DATABASE!$C$4:$C$2003,MATCH($B148,DATABASE!$AA$4:$AA$2003,0))&amp;"","")</f>
        <v/>
      </c>
      <c r="E148" s="46" t="str">
        <f aca="false">IFERROR(INDEX(DATABASE!$F$4:$F$2003,MATCH($B148,DATABASE!$AA$4:$AA$2003,0))&amp;"","")</f>
        <v/>
      </c>
      <c r="F148" s="48" t="str">
        <f aca="false">IFERROR(INDEX(DATABASE!$G$4:$G$2003,MATCH($B148,DATABASE!$AA$4:$AA$2003,0))&amp;"","")</f>
        <v/>
      </c>
      <c r="G148" s="77" t="str">
        <f aca="false">IFERROR(INDEX(DATABASE!$Y$4:$Y$2003,MATCH($B148,DATABASE!$AA$4:$AA$2003,0))&amp;"","")</f>
        <v/>
      </c>
      <c r="H148" s="46" t="str">
        <f aca="false">IFERROR(INDEX(DATABASE!$O$4:$O$2003,MATCH($B148,DATABASE!$AA$4:$AA$2003,0))&amp;"","")</f>
        <v/>
      </c>
    </row>
    <row r="149" customFormat="false" ht="15" hidden="false" customHeight="false" outlineLevel="0" collapsed="false">
      <c r="B149" s="49" t="n">
        <v>128</v>
      </c>
      <c r="C149" s="50" t="str">
        <f aca="false">IFERROR(INDEX(DATABASE!$B$4:$B$2003,MATCH($B149,DATABASE!$AA$4:$AA$2003,0))&amp;"","")</f>
        <v/>
      </c>
      <c r="D149" s="51" t="str">
        <f aca="false">IFERROR(INDEX(DATABASE!$C$4:$C$2003,MATCH($B149,DATABASE!$AA$4:$AA$2003,0))&amp;"","")</f>
        <v/>
      </c>
      <c r="E149" s="49" t="str">
        <f aca="false">IFERROR(INDEX(DATABASE!$F$4:$F$2003,MATCH($B149,DATABASE!$AA$4:$AA$2003,0))&amp;"","")</f>
        <v/>
      </c>
      <c r="F149" s="51" t="str">
        <f aca="false">IFERROR(INDEX(DATABASE!$G$4:$G$2003,MATCH($B149,DATABASE!$AA$4:$AA$2003,0))&amp;"","")</f>
        <v/>
      </c>
      <c r="G149" s="78" t="str">
        <f aca="false">IFERROR(INDEX(DATABASE!$Y$4:$Y$2003,MATCH($B149,DATABASE!$AA$4:$AA$2003,0))&amp;"","")</f>
        <v/>
      </c>
      <c r="H149" s="49" t="str">
        <f aca="false">IFERROR(INDEX(DATABASE!$O$4:$O$2003,MATCH($B149,DATABASE!$AA$4:$AA$2003,0))&amp;"","")</f>
        <v/>
      </c>
    </row>
    <row r="150" customFormat="false" ht="15" hidden="false" customHeight="false" outlineLevel="0" collapsed="false">
      <c r="B150" s="46" t="n">
        <v>129</v>
      </c>
      <c r="C150" s="47" t="str">
        <f aca="false">IFERROR(INDEX(DATABASE!$B$4:$B$2003,MATCH($B150,DATABASE!$AA$4:$AA$2003,0))&amp;"","")</f>
        <v/>
      </c>
      <c r="D150" s="48" t="str">
        <f aca="false">IFERROR(INDEX(DATABASE!$C$4:$C$2003,MATCH($B150,DATABASE!$AA$4:$AA$2003,0))&amp;"","")</f>
        <v/>
      </c>
      <c r="E150" s="46" t="str">
        <f aca="false">IFERROR(INDEX(DATABASE!$F$4:$F$2003,MATCH($B150,DATABASE!$AA$4:$AA$2003,0))&amp;"","")</f>
        <v/>
      </c>
      <c r="F150" s="48" t="str">
        <f aca="false">IFERROR(INDEX(DATABASE!$G$4:$G$2003,MATCH($B150,DATABASE!$AA$4:$AA$2003,0))&amp;"","")</f>
        <v/>
      </c>
      <c r="G150" s="77" t="str">
        <f aca="false">IFERROR(INDEX(DATABASE!$Y$4:$Y$2003,MATCH($B150,DATABASE!$AA$4:$AA$2003,0))&amp;"","")</f>
        <v/>
      </c>
      <c r="H150" s="46" t="str">
        <f aca="false">IFERROR(INDEX(DATABASE!$O$4:$O$2003,MATCH($B150,DATABASE!$AA$4:$AA$2003,0))&amp;"","")</f>
        <v/>
      </c>
    </row>
    <row r="151" customFormat="false" ht="15" hidden="false" customHeight="false" outlineLevel="0" collapsed="false">
      <c r="B151" s="49" t="n">
        <v>130</v>
      </c>
      <c r="C151" s="50" t="str">
        <f aca="false">IFERROR(INDEX(DATABASE!$B$4:$B$2003,MATCH($B151,DATABASE!$AA$4:$AA$2003,0))&amp;"","")</f>
        <v/>
      </c>
      <c r="D151" s="51" t="str">
        <f aca="false">IFERROR(INDEX(DATABASE!$C$4:$C$2003,MATCH($B151,DATABASE!$AA$4:$AA$2003,0))&amp;"","")</f>
        <v/>
      </c>
      <c r="E151" s="49" t="str">
        <f aca="false">IFERROR(INDEX(DATABASE!$F$4:$F$2003,MATCH($B151,DATABASE!$AA$4:$AA$2003,0))&amp;"","")</f>
        <v/>
      </c>
      <c r="F151" s="51" t="str">
        <f aca="false">IFERROR(INDEX(DATABASE!$G$4:$G$2003,MATCH($B151,DATABASE!$AA$4:$AA$2003,0))&amp;"","")</f>
        <v/>
      </c>
      <c r="G151" s="78" t="str">
        <f aca="false">IFERROR(INDEX(DATABASE!$Y$4:$Y$2003,MATCH($B151,DATABASE!$AA$4:$AA$2003,0))&amp;"","")</f>
        <v/>
      </c>
      <c r="H151" s="49" t="str">
        <f aca="false">IFERROR(INDEX(DATABASE!$O$4:$O$2003,MATCH($B151,DATABASE!$AA$4:$AA$2003,0))&amp;"","")</f>
        <v/>
      </c>
    </row>
    <row r="152" customFormat="false" ht="15" hidden="false" customHeight="false" outlineLevel="0" collapsed="false">
      <c r="B152" s="46" t="n">
        <v>131</v>
      </c>
      <c r="C152" s="47" t="str">
        <f aca="false">IFERROR(INDEX(DATABASE!$B$4:$B$2003,MATCH($B152,DATABASE!$AA$4:$AA$2003,0))&amp;"","")</f>
        <v/>
      </c>
      <c r="D152" s="48" t="str">
        <f aca="false">IFERROR(INDEX(DATABASE!$C$4:$C$2003,MATCH($B152,DATABASE!$AA$4:$AA$2003,0))&amp;"","")</f>
        <v/>
      </c>
      <c r="E152" s="46" t="str">
        <f aca="false">IFERROR(INDEX(DATABASE!$F$4:$F$2003,MATCH($B152,DATABASE!$AA$4:$AA$2003,0))&amp;"","")</f>
        <v/>
      </c>
      <c r="F152" s="48" t="str">
        <f aca="false">IFERROR(INDEX(DATABASE!$G$4:$G$2003,MATCH($B152,DATABASE!$AA$4:$AA$2003,0))&amp;"","")</f>
        <v/>
      </c>
      <c r="G152" s="77" t="str">
        <f aca="false">IFERROR(INDEX(DATABASE!$Y$4:$Y$2003,MATCH($B152,DATABASE!$AA$4:$AA$2003,0))&amp;"","")</f>
        <v/>
      </c>
      <c r="H152" s="46" t="str">
        <f aca="false">IFERROR(INDEX(DATABASE!$O$4:$O$2003,MATCH($B152,DATABASE!$AA$4:$AA$2003,0))&amp;"","")</f>
        <v/>
      </c>
    </row>
    <row r="153" customFormat="false" ht="15" hidden="false" customHeight="false" outlineLevel="0" collapsed="false">
      <c r="B153" s="49" t="n">
        <v>132</v>
      </c>
      <c r="C153" s="50" t="str">
        <f aca="false">IFERROR(INDEX(DATABASE!$B$4:$B$2003,MATCH($B153,DATABASE!$AA$4:$AA$2003,0))&amp;"","")</f>
        <v/>
      </c>
      <c r="D153" s="51" t="str">
        <f aca="false">IFERROR(INDEX(DATABASE!$C$4:$C$2003,MATCH($B153,DATABASE!$AA$4:$AA$2003,0))&amp;"","")</f>
        <v/>
      </c>
      <c r="E153" s="49" t="str">
        <f aca="false">IFERROR(INDEX(DATABASE!$F$4:$F$2003,MATCH($B153,DATABASE!$AA$4:$AA$2003,0))&amp;"","")</f>
        <v/>
      </c>
      <c r="F153" s="51" t="str">
        <f aca="false">IFERROR(INDEX(DATABASE!$G$4:$G$2003,MATCH($B153,DATABASE!$AA$4:$AA$2003,0))&amp;"","")</f>
        <v/>
      </c>
      <c r="G153" s="78" t="str">
        <f aca="false">IFERROR(INDEX(DATABASE!$Y$4:$Y$2003,MATCH($B153,DATABASE!$AA$4:$AA$2003,0))&amp;"","")</f>
        <v/>
      </c>
      <c r="H153" s="49" t="str">
        <f aca="false">IFERROR(INDEX(DATABASE!$O$4:$O$2003,MATCH($B153,DATABASE!$AA$4:$AA$2003,0))&amp;"","")</f>
        <v/>
      </c>
    </row>
    <row r="154" customFormat="false" ht="15" hidden="false" customHeight="false" outlineLevel="0" collapsed="false">
      <c r="B154" s="46" t="n">
        <v>133</v>
      </c>
      <c r="C154" s="47" t="str">
        <f aca="false">IFERROR(INDEX(DATABASE!$B$4:$B$2003,MATCH($B154,DATABASE!$AA$4:$AA$2003,0))&amp;"","")</f>
        <v/>
      </c>
      <c r="D154" s="48" t="str">
        <f aca="false">IFERROR(INDEX(DATABASE!$C$4:$C$2003,MATCH($B154,DATABASE!$AA$4:$AA$2003,0))&amp;"","")</f>
        <v/>
      </c>
      <c r="E154" s="46" t="str">
        <f aca="false">IFERROR(INDEX(DATABASE!$F$4:$F$2003,MATCH($B154,DATABASE!$AA$4:$AA$2003,0))&amp;"","")</f>
        <v/>
      </c>
      <c r="F154" s="48" t="str">
        <f aca="false">IFERROR(INDEX(DATABASE!$G$4:$G$2003,MATCH($B154,DATABASE!$AA$4:$AA$2003,0))&amp;"","")</f>
        <v/>
      </c>
      <c r="G154" s="77" t="str">
        <f aca="false">IFERROR(INDEX(DATABASE!$Y$4:$Y$2003,MATCH($B154,DATABASE!$AA$4:$AA$2003,0))&amp;"","")</f>
        <v/>
      </c>
      <c r="H154" s="46" t="str">
        <f aca="false">IFERROR(INDEX(DATABASE!$O$4:$O$2003,MATCH($B154,DATABASE!$AA$4:$AA$2003,0))&amp;"","")</f>
        <v/>
      </c>
    </row>
    <row r="155" customFormat="false" ht="15" hidden="false" customHeight="false" outlineLevel="0" collapsed="false">
      <c r="B155" s="49" t="n">
        <v>134</v>
      </c>
      <c r="C155" s="50" t="str">
        <f aca="false">IFERROR(INDEX(DATABASE!$B$4:$B$2003,MATCH($B155,DATABASE!$AA$4:$AA$2003,0))&amp;"","")</f>
        <v/>
      </c>
      <c r="D155" s="51" t="str">
        <f aca="false">IFERROR(INDEX(DATABASE!$C$4:$C$2003,MATCH($B155,DATABASE!$AA$4:$AA$2003,0))&amp;"","")</f>
        <v/>
      </c>
      <c r="E155" s="49" t="str">
        <f aca="false">IFERROR(INDEX(DATABASE!$F$4:$F$2003,MATCH($B155,DATABASE!$AA$4:$AA$2003,0))&amp;"","")</f>
        <v/>
      </c>
      <c r="F155" s="51" t="str">
        <f aca="false">IFERROR(INDEX(DATABASE!$G$4:$G$2003,MATCH($B155,DATABASE!$AA$4:$AA$2003,0))&amp;"","")</f>
        <v/>
      </c>
      <c r="G155" s="78" t="str">
        <f aca="false">IFERROR(INDEX(DATABASE!$Y$4:$Y$2003,MATCH($B155,DATABASE!$AA$4:$AA$2003,0))&amp;"","")</f>
        <v/>
      </c>
      <c r="H155" s="49" t="str">
        <f aca="false">IFERROR(INDEX(DATABASE!$O$4:$O$2003,MATCH($B155,DATABASE!$AA$4:$AA$2003,0))&amp;"","")</f>
        <v/>
      </c>
    </row>
    <row r="156" customFormat="false" ht="15" hidden="false" customHeight="false" outlineLevel="0" collapsed="false">
      <c r="B156" s="46" t="n">
        <v>135</v>
      </c>
      <c r="C156" s="47" t="str">
        <f aca="false">IFERROR(INDEX(DATABASE!$B$4:$B$2003,MATCH($B156,DATABASE!$AA$4:$AA$2003,0))&amp;"","")</f>
        <v/>
      </c>
      <c r="D156" s="48" t="str">
        <f aca="false">IFERROR(INDEX(DATABASE!$C$4:$C$2003,MATCH($B156,DATABASE!$AA$4:$AA$2003,0))&amp;"","")</f>
        <v/>
      </c>
      <c r="E156" s="46" t="str">
        <f aca="false">IFERROR(INDEX(DATABASE!$F$4:$F$2003,MATCH($B156,DATABASE!$AA$4:$AA$2003,0))&amp;"","")</f>
        <v/>
      </c>
      <c r="F156" s="48" t="str">
        <f aca="false">IFERROR(INDEX(DATABASE!$G$4:$G$2003,MATCH($B156,DATABASE!$AA$4:$AA$2003,0))&amp;"","")</f>
        <v/>
      </c>
      <c r="G156" s="77" t="str">
        <f aca="false">IFERROR(INDEX(DATABASE!$Y$4:$Y$2003,MATCH($B156,DATABASE!$AA$4:$AA$2003,0))&amp;"","")</f>
        <v/>
      </c>
      <c r="H156" s="46" t="str">
        <f aca="false">IFERROR(INDEX(DATABASE!$O$4:$O$2003,MATCH($B156,DATABASE!$AA$4:$AA$2003,0))&amp;"","")</f>
        <v/>
      </c>
    </row>
    <row r="157" customFormat="false" ht="15" hidden="false" customHeight="false" outlineLevel="0" collapsed="false">
      <c r="B157" s="49" t="n">
        <v>136</v>
      </c>
      <c r="C157" s="50" t="str">
        <f aca="false">IFERROR(INDEX(DATABASE!$B$4:$B$2003,MATCH($B157,DATABASE!$AA$4:$AA$2003,0))&amp;"","")</f>
        <v/>
      </c>
      <c r="D157" s="51" t="str">
        <f aca="false">IFERROR(INDEX(DATABASE!$C$4:$C$2003,MATCH($B157,DATABASE!$AA$4:$AA$2003,0))&amp;"","")</f>
        <v/>
      </c>
      <c r="E157" s="49" t="str">
        <f aca="false">IFERROR(INDEX(DATABASE!$F$4:$F$2003,MATCH($B157,DATABASE!$AA$4:$AA$2003,0))&amp;"","")</f>
        <v/>
      </c>
      <c r="F157" s="51" t="str">
        <f aca="false">IFERROR(INDEX(DATABASE!$G$4:$G$2003,MATCH($B157,DATABASE!$AA$4:$AA$2003,0))&amp;"","")</f>
        <v/>
      </c>
      <c r="G157" s="78" t="str">
        <f aca="false">IFERROR(INDEX(DATABASE!$Y$4:$Y$2003,MATCH($B157,DATABASE!$AA$4:$AA$2003,0))&amp;"","")</f>
        <v/>
      </c>
      <c r="H157" s="49" t="str">
        <f aca="false">IFERROR(INDEX(DATABASE!$O$4:$O$2003,MATCH($B157,DATABASE!$AA$4:$AA$2003,0))&amp;"","")</f>
        <v/>
      </c>
    </row>
    <row r="158" customFormat="false" ht="15" hidden="false" customHeight="false" outlineLevel="0" collapsed="false">
      <c r="B158" s="46" t="n">
        <v>137</v>
      </c>
      <c r="C158" s="47" t="str">
        <f aca="false">IFERROR(INDEX(DATABASE!$B$4:$B$2003,MATCH($B158,DATABASE!$AA$4:$AA$2003,0))&amp;"","")</f>
        <v/>
      </c>
      <c r="D158" s="48" t="str">
        <f aca="false">IFERROR(INDEX(DATABASE!$C$4:$C$2003,MATCH($B158,DATABASE!$AA$4:$AA$2003,0))&amp;"","")</f>
        <v/>
      </c>
      <c r="E158" s="46" t="str">
        <f aca="false">IFERROR(INDEX(DATABASE!$F$4:$F$2003,MATCH($B158,DATABASE!$AA$4:$AA$2003,0))&amp;"","")</f>
        <v/>
      </c>
      <c r="F158" s="48" t="str">
        <f aca="false">IFERROR(INDEX(DATABASE!$G$4:$G$2003,MATCH($B158,DATABASE!$AA$4:$AA$2003,0))&amp;"","")</f>
        <v/>
      </c>
      <c r="G158" s="77" t="str">
        <f aca="false">IFERROR(INDEX(DATABASE!$Y$4:$Y$2003,MATCH($B158,DATABASE!$AA$4:$AA$2003,0))&amp;"","")</f>
        <v/>
      </c>
      <c r="H158" s="46" t="str">
        <f aca="false">IFERROR(INDEX(DATABASE!$O$4:$O$2003,MATCH($B158,DATABASE!$AA$4:$AA$2003,0))&amp;"","")</f>
        <v/>
      </c>
    </row>
    <row r="159" customFormat="false" ht="15" hidden="false" customHeight="false" outlineLevel="0" collapsed="false">
      <c r="B159" s="49" t="n">
        <v>138</v>
      </c>
      <c r="C159" s="50" t="str">
        <f aca="false">IFERROR(INDEX(DATABASE!$B$4:$B$2003,MATCH($B159,DATABASE!$AA$4:$AA$2003,0))&amp;"","")</f>
        <v/>
      </c>
      <c r="D159" s="51" t="str">
        <f aca="false">IFERROR(INDEX(DATABASE!$C$4:$C$2003,MATCH($B159,DATABASE!$AA$4:$AA$2003,0))&amp;"","")</f>
        <v/>
      </c>
      <c r="E159" s="49" t="str">
        <f aca="false">IFERROR(INDEX(DATABASE!$F$4:$F$2003,MATCH($B159,DATABASE!$AA$4:$AA$2003,0))&amp;"","")</f>
        <v/>
      </c>
      <c r="F159" s="51" t="str">
        <f aca="false">IFERROR(INDEX(DATABASE!$G$4:$G$2003,MATCH($B159,DATABASE!$AA$4:$AA$2003,0))&amp;"","")</f>
        <v/>
      </c>
      <c r="G159" s="78" t="str">
        <f aca="false">IFERROR(INDEX(DATABASE!$Y$4:$Y$2003,MATCH($B159,DATABASE!$AA$4:$AA$2003,0))&amp;"","")</f>
        <v/>
      </c>
      <c r="H159" s="49" t="str">
        <f aca="false">IFERROR(INDEX(DATABASE!$O$4:$O$2003,MATCH($B159,DATABASE!$AA$4:$AA$2003,0))&amp;"","")</f>
        <v/>
      </c>
    </row>
    <row r="160" customFormat="false" ht="15" hidden="false" customHeight="false" outlineLevel="0" collapsed="false">
      <c r="B160" s="46" t="n">
        <v>139</v>
      </c>
      <c r="C160" s="47" t="str">
        <f aca="false">IFERROR(INDEX(DATABASE!$B$4:$B$2003,MATCH($B160,DATABASE!$AA$4:$AA$2003,0))&amp;"","")</f>
        <v/>
      </c>
      <c r="D160" s="48" t="str">
        <f aca="false">IFERROR(INDEX(DATABASE!$C$4:$C$2003,MATCH($B160,DATABASE!$AA$4:$AA$2003,0))&amp;"","")</f>
        <v/>
      </c>
      <c r="E160" s="46" t="str">
        <f aca="false">IFERROR(INDEX(DATABASE!$F$4:$F$2003,MATCH($B160,DATABASE!$AA$4:$AA$2003,0))&amp;"","")</f>
        <v/>
      </c>
      <c r="F160" s="48" t="str">
        <f aca="false">IFERROR(INDEX(DATABASE!$G$4:$G$2003,MATCH($B160,DATABASE!$AA$4:$AA$2003,0))&amp;"","")</f>
        <v/>
      </c>
      <c r="G160" s="77" t="str">
        <f aca="false">IFERROR(INDEX(DATABASE!$Y$4:$Y$2003,MATCH($B160,DATABASE!$AA$4:$AA$2003,0))&amp;"","")</f>
        <v/>
      </c>
      <c r="H160" s="46" t="str">
        <f aca="false">IFERROR(INDEX(DATABASE!$O$4:$O$2003,MATCH($B160,DATABASE!$AA$4:$AA$2003,0))&amp;"","")</f>
        <v/>
      </c>
    </row>
    <row r="161" customFormat="false" ht="15" hidden="false" customHeight="false" outlineLevel="0" collapsed="false">
      <c r="B161" s="49" t="n">
        <v>140</v>
      </c>
      <c r="C161" s="50" t="str">
        <f aca="false">IFERROR(INDEX(DATABASE!$B$4:$B$2003,MATCH($B161,DATABASE!$AA$4:$AA$2003,0))&amp;"","")</f>
        <v/>
      </c>
      <c r="D161" s="51" t="str">
        <f aca="false">IFERROR(INDEX(DATABASE!$C$4:$C$2003,MATCH($B161,DATABASE!$AA$4:$AA$2003,0))&amp;"","")</f>
        <v/>
      </c>
      <c r="E161" s="49" t="str">
        <f aca="false">IFERROR(INDEX(DATABASE!$F$4:$F$2003,MATCH($B161,DATABASE!$AA$4:$AA$2003,0))&amp;"","")</f>
        <v/>
      </c>
      <c r="F161" s="51" t="str">
        <f aca="false">IFERROR(INDEX(DATABASE!$G$4:$G$2003,MATCH($B161,DATABASE!$AA$4:$AA$2003,0))&amp;"","")</f>
        <v/>
      </c>
      <c r="G161" s="78" t="str">
        <f aca="false">IFERROR(INDEX(DATABASE!$Y$4:$Y$2003,MATCH($B161,DATABASE!$AA$4:$AA$2003,0))&amp;"","")</f>
        <v/>
      </c>
      <c r="H161" s="49" t="str">
        <f aca="false">IFERROR(INDEX(DATABASE!$O$4:$O$2003,MATCH($B161,DATABASE!$AA$4:$AA$2003,0))&amp;"","")</f>
        <v/>
      </c>
    </row>
    <row r="162" customFormat="false" ht="15" hidden="false" customHeight="false" outlineLevel="0" collapsed="false">
      <c r="B162" s="46" t="n">
        <v>141</v>
      </c>
      <c r="C162" s="47" t="str">
        <f aca="false">IFERROR(INDEX(DATABASE!$B$4:$B$2003,MATCH($B162,DATABASE!$AA$4:$AA$2003,0))&amp;"","")</f>
        <v/>
      </c>
      <c r="D162" s="48" t="str">
        <f aca="false">IFERROR(INDEX(DATABASE!$C$4:$C$2003,MATCH($B162,DATABASE!$AA$4:$AA$2003,0))&amp;"","")</f>
        <v/>
      </c>
      <c r="E162" s="46" t="str">
        <f aca="false">IFERROR(INDEX(DATABASE!$F$4:$F$2003,MATCH($B162,DATABASE!$AA$4:$AA$2003,0))&amp;"","")</f>
        <v/>
      </c>
      <c r="F162" s="48" t="str">
        <f aca="false">IFERROR(INDEX(DATABASE!$G$4:$G$2003,MATCH($B162,DATABASE!$AA$4:$AA$2003,0))&amp;"","")</f>
        <v/>
      </c>
      <c r="G162" s="77" t="str">
        <f aca="false">IFERROR(INDEX(DATABASE!$Y$4:$Y$2003,MATCH($B162,DATABASE!$AA$4:$AA$2003,0))&amp;"","")</f>
        <v/>
      </c>
      <c r="H162" s="46" t="str">
        <f aca="false">IFERROR(INDEX(DATABASE!$O$4:$O$2003,MATCH($B162,DATABASE!$AA$4:$AA$2003,0))&amp;"","")</f>
        <v/>
      </c>
    </row>
    <row r="163" customFormat="false" ht="15" hidden="false" customHeight="false" outlineLevel="0" collapsed="false">
      <c r="B163" s="49" t="n">
        <v>142</v>
      </c>
      <c r="C163" s="50" t="str">
        <f aca="false">IFERROR(INDEX(DATABASE!$B$4:$B$2003,MATCH($B163,DATABASE!$AA$4:$AA$2003,0))&amp;"","")</f>
        <v/>
      </c>
      <c r="D163" s="51" t="str">
        <f aca="false">IFERROR(INDEX(DATABASE!$C$4:$C$2003,MATCH($B163,DATABASE!$AA$4:$AA$2003,0))&amp;"","")</f>
        <v/>
      </c>
      <c r="E163" s="49" t="str">
        <f aca="false">IFERROR(INDEX(DATABASE!$F$4:$F$2003,MATCH($B163,DATABASE!$AA$4:$AA$2003,0))&amp;"","")</f>
        <v/>
      </c>
      <c r="F163" s="51" t="str">
        <f aca="false">IFERROR(INDEX(DATABASE!$G$4:$G$2003,MATCH($B163,DATABASE!$AA$4:$AA$2003,0))&amp;"","")</f>
        <v/>
      </c>
      <c r="G163" s="78" t="str">
        <f aca="false">IFERROR(INDEX(DATABASE!$Y$4:$Y$2003,MATCH($B163,DATABASE!$AA$4:$AA$2003,0))&amp;"","")</f>
        <v/>
      </c>
      <c r="H163" s="49" t="str">
        <f aca="false">IFERROR(INDEX(DATABASE!$O$4:$O$2003,MATCH($B163,DATABASE!$AA$4:$AA$2003,0))&amp;"","")</f>
        <v/>
      </c>
    </row>
    <row r="164" customFormat="false" ht="15" hidden="false" customHeight="false" outlineLevel="0" collapsed="false">
      <c r="B164" s="46" t="n">
        <v>143</v>
      </c>
      <c r="C164" s="47" t="str">
        <f aca="false">IFERROR(INDEX(DATABASE!$B$4:$B$2003,MATCH($B164,DATABASE!$AA$4:$AA$2003,0))&amp;"","")</f>
        <v/>
      </c>
      <c r="D164" s="48" t="str">
        <f aca="false">IFERROR(INDEX(DATABASE!$C$4:$C$2003,MATCH($B164,DATABASE!$AA$4:$AA$2003,0))&amp;"","")</f>
        <v/>
      </c>
      <c r="E164" s="46" t="str">
        <f aca="false">IFERROR(INDEX(DATABASE!$F$4:$F$2003,MATCH($B164,DATABASE!$AA$4:$AA$2003,0))&amp;"","")</f>
        <v/>
      </c>
      <c r="F164" s="48" t="str">
        <f aca="false">IFERROR(INDEX(DATABASE!$G$4:$G$2003,MATCH($B164,DATABASE!$AA$4:$AA$2003,0))&amp;"","")</f>
        <v/>
      </c>
      <c r="G164" s="77" t="str">
        <f aca="false">IFERROR(INDEX(DATABASE!$Y$4:$Y$2003,MATCH($B164,DATABASE!$AA$4:$AA$2003,0))&amp;"","")</f>
        <v/>
      </c>
      <c r="H164" s="46" t="str">
        <f aca="false">IFERROR(INDEX(DATABASE!$O$4:$O$2003,MATCH($B164,DATABASE!$AA$4:$AA$2003,0))&amp;"","")</f>
        <v/>
      </c>
    </row>
    <row r="165" customFormat="false" ht="15" hidden="false" customHeight="false" outlineLevel="0" collapsed="false">
      <c r="B165" s="49" t="n">
        <v>144</v>
      </c>
      <c r="C165" s="50" t="str">
        <f aca="false">IFERROR(INDEX(DATABASE!$B$4:$B$2003,MATCH($B165,DATABASE!$AA$4:$AA$2003,0))&amp;"","")</f>
        <v/>
      </c>
      <c r="D165" s="51" t="str">
        <f aca="false">IFERROR(INDEX(DATABASE!$C$4:$C$2003,MATCH($B165,DATABASE!$AA$4:$AA$2003,0))&amp;"","")</f>
        <v/>
      </c>
      <c r="E165" s="49" t="str">
        <f aca="false">IFERROR(INDEX(DATABASE!$F$4:$F$2003,MATCH($B165,DATABASE!$AA$4:$AA$2003,0))&amp;"","")</f>
        <v/>
      </c>
      <c r="F165" s="51" t="str">
        <f aca="false">IFERROR(INDEX(DATABASE!$G$4:$G$2003,MATCH($B165,DATABASE!$AA$4:$AA$2003,0))&amp;"","")</f>
        <v/>
      </c>
      <c r="G165" s="78" t="str">
        <f aca="false">IFERROR(INDEX(DATABASE!$Y$4:$Y$2003,MATCH($B165,DATABASE!$AA$4:$AA$2003,0))&amp;"","")</f>
        <v/>
      </c>
      <c r="H165" s="49" t="str">
        <f aca="false">IFERROR(INDEX(DATABASE!$O$4:$O$2003,MATCH($B165,DATABASE!$AA$4:$AA$2003,0))&amp;"","")</f>
        <v/>
      </c>
    </row>
    <row r="166" customFormat="false" ht="15" hidden="false" customHeight="false" outlineLevel="0" collapsed="false">
      <c r="B166" s="46" t="n">
        <v>145</v>
      </c>
      <c r="C166" s="47" t="str">
        <f aca="false">IFERROR(INDEX(DATABASE!$B$4:$B$2003,MATCH($B166,DATABASE!$AA$4:$AA$2003,0))&amp;"","")</f>
        <v/>
      </c>
      <c r="D166" s="48" t="str">
        <f aca="false">IFERROR(INDEX(DATABASE!$C$4:$C$2003,MATCH($B166,DATABASE!$AA$4:$AA$2003,0))&amp;"","")</f>
        <v/>
      </c>
      <c r="E166" s="46" t="str">
        <f aca="false">IFERROR(INDEX(DATABASE!$F$4:$F$2003,MATCH($B166,DATABASE!$AA$4:$AA$2003,0))&amp;"","")</f>
        <v/>
      </c>
      <c r="F166" s="48" t="str">
        <f aca="false">IFERROR(INDEX(DATABASE!$G$4:$G$2003,MATCH($B166,DATABASE!$AA$4:$AA$2003,0))&amp;"","")</f>
        <v/>
      </c>
      <c r="G166" s="77" t="str">
        <f aca="false">IFERROR(INDEX(DATABASE!$Y$4:$Y$2003,MATCH($B166,DATABASE!$AA$4:$AA$2003,0))&amp;"","")</f>
        <v/>
      </c>
      <c r="H166" s="46" t="str">
        <f aca="false">IFERROR(INDEX(DATABASE!$O$4:$O$2003,MATCH($B166,DATABASE!$AA$4:$AA$2003,0))&amp;"","")</f>
        <v/>
      </c>
    </row>
    <row r="167" customFormat="false" ht="15" hidden="false" customHeight="false" outlineLevel="0" collapsed="false">
      <c r="B167" s="49" t="n">
        <v>146</v>
      </c>
      <c r="C167" s="50" t="str">
        <f aca="false">IFERROR(INDEX(DATABASE!$B$4:$B$2003,MATCH($B167,DATABASE!$AA$4:$AA$2003,0))&amp;"","")</f>
        <v/>
      </c>
      <c r="D167" s="51" t="str">
        <f aca="false">IFERROR(INDEX(DATABASE!$C$4:$C$2003,MATCH($B167,DATABASE!$AA$4:$AA$2003,0))&amp;"","")</f>
        <v/>
      </c>
      <c r="E167" s="49" t="str">
        <f aca="false">IFERROR(INDEX(DATABASE!$F$4:$F$2003,MATCH($B167,DATABASE!$AA$4:$AA$2003,0))&amp;"","")</f>
        <v/>
      </c>
      <c r="F167" s="51" t="str">
        <f aca="false">IFERROR(INDEX(DATABASE!$G$4:$G$2003,MATCH($B167,DATABASE!$AA$4:$AA$2003,0))&amp;"","")</f>
        <v/>
      </c>
      <c r="G167" s="78" t="str">
        <f aca="false">IFERROR(INDEX(DATABASE!$Y$4:$Y$2003,MATCH($B167,DATABASE!$AA$4:$AA$2003,0))&amp;"","")</f>
        <v/>
      </c>
      <c r="H167" s="49" t="str">
        <f aca="false">IFERROR(INDEX(DATABASE!$O$4:$O$2003,MATCH($B167,DATABASE!$AA$4:$AA$2003,0))&amp;"","")</f>
        <v/>
      </c>
    </row>
    <row r="168" customFormat="false" ht="15" hidden="false" customHeight="false" outlineLevel="0" collapsed="false">
      <c r="B168" s="46" t="n">
        <v>147</v>
      </c>
      <c r="C168" s="47" t="str">
        <f aca="false">IFERROR(INDEX(DATABASE!$B$4:$B$2003,MATCH($B168,DATABASE!$AA$4:$AA$2003,0))&amp;"","")</f>
        <v/>
      </c>
      <c r="D168" s="48" t="str">
        <f aca="false">IFERROR(INDEX(DATABASE!$C$4:$C$2003,MATCH($B168,DATABASE!$AA$4:$AA$2003,0))&amp;"","")</f>
        <v/>
      </c>
      <c r="E168" s="46" t="str">
        <f aca="false">IFERROR(INDEX(DATABASE!$F$4:$F$2003,MATCH($B168,DATABASE!$AA$4:$AA$2003,0))&amp;"","")</f>
        <v/>
      </c>
      <c r="F168" s="48" t="str">
        <f aca="false">IFERROR(INDEX(DATABASE!$G$4:$G$2003,MATCH($B168,DATABASE!$AA$4:$AA$2003,0))&amp;"","")</f>
        <v/>
      </c>
      <c r="G168" s="77" t="str">
        <f aca="false">IFERROR(INDEX(DATABASE!$Y$4:$Y$2003,MATCH($B168,DATABASE!$AA$4:$AA$2003,0))&amp;"","")</f>
        <v/>
      </c>
      <c r="H168" s="46" t="str">
        <f aca="false">IFERROR(INDEX(DATABASE!$O$4:$O$2003,MATCH($B168,DATABASE!$AA$4:$AA$2003,0))&amp;"","")</f>
        <v/>
      </c>
    </row>
    <row r="169" customFormat="false" ht="15" hidden="false" customHeight="false" outlineLevel="0" collapsed="false">
      <c r="B169" s="49" t="n">
        <v>148</v>
      </c>
      <c r="C169" s="50" t="str">
        <f aca="false">IFERROR(INDEX(DATABASE!$B$4:$B$2003,MATCH($B169,DATABASE!$AA$4:$AA$2003,0))&amp;"","")</f>
        <v/>
      </c>
      <c r="D169" s="51" t="str">
        <f aca="false">IFERROR(INDEX(DATABASE!$C$4:$C$2003,MATCH($B169,DATABASE!$AA$4:$AA$2003,0))&amp;"","")</f>
        <v/>
      </c>
      <c r="E169" s="49" t="str">
        <f aca="false">IFERROR(INDEX(DATABASE!$F$4:$F$2003,MATCH($B169,DATABASE!$AA$4:$AA$2003,0))&amp;"","")</f>
        <v/>
      </c>
      <c r="F169" s="51" t="str">
        <f aca="false">IFERROR(INDEX(DATABASE!$G$4:$G$2003,MATCH($B169,DATABASE!$AA$4:$AA$2003,0))&amp;"","")</f>
        <v/>
      </c>
      <c r="G169" s="78" t="str">
        <f aca="false">IFERROR(INDEX(DATABASE!$Y$4:$Y$2003,MATCH($B169,DATABASE!$AA$4:$AA$2003,0))&amp;"","")</f>
        <v/>
      </c>
      <c r="H169" s="49" t="str">
        <f aca="false">IFERROR(INDEX(DATABASE!$O$4:$O$2003,MATCH($B169,DATABASE!$AA$4:$AA$2003,0))&amp;"","")</f>
        <v/>
      </c>
    </row>
    <row r="170" customFormat="false" ht="15" hidden="false" customHeight="false" outlineLevel="0" collapsed="false">
      <c r="B170" s="46" t="n">
        <v>149</v>
      </c>
      <c r="C170" s="47" t="str">
        <f aca="false">IFERROR(INDEX(DATABASE!$B$4:$B$2003,MATCH($B170,DATABASE!$AA$4:$AA$2003,0))&amp;"","")</f>
        <v/>
      </c>
      <c r="D170" s="48" t="str">
        <f aca="false">IFERROR(INDEX(DATABASE!$C$4:$C$2003,MATCH($B170,DATABASE!$AA$4:$AA$2003,0))&amp;"","")</f>
        <v/>
      </c>
      <c r="E170" s="46" t="str">
        <f aca="false">IFERROR(INDEX(DATABASE!$F$4:$F$2003,MATCH($B170,DATABASE!$AA$4:$AA$2003,0))&amp;"","")</f>
        <v/>
      </c>
      <c r="F170" s="48" t="str">
        <f aca="false">IFERROR(INDEX(DATABASE!$G$4:$G$2003,MATCH($B170,DATABASE!$AA$4:$AA$2003,0))&amp;"","")</f>
        <v/>
      </c>
      <c r="G170" s="77" t="str">
        <f aca="false">IFERROR(INDEX(DATABASE!$Y$4:$Y$2003,MATCH($B170,DATABASE!$AA$4:$AA$2003,0))&amp;"","")</f>
        <v/>
      </c>
      <c r="H170" s="46" t="str">
        <f aca="false">IFERROR(INDEX(DATABASE!$O$4:$O$2003,MATCH($B170,DATABASE!$AA$4:$AA$2003,0))&amp;"","")</f>
        <v/>
      </c>
    </row>
    <row r="171" customFormat="false" ht="15" hidden="false" customHeight="false" outlineLevel="0" collapsed="false">
      <c r="B171" s="49" t="n">
        <v>150</v>
      </c>
      <c r="C171" s="50" t="str">
        <f aca="false">IFERROR(INDEX(DATABASE!$B$4:$B$2003,MATCH($B171,DATABASE!$AA$4:$AA$2003,0))&amp;"","")</f>
        <v/>
      </c>
      <c r="D171" s="51" t="str">
        <f aca="false">IFERROR(INDEX(DATABASE!$C$4:$C$2003,MATCH($B171,DATABASE!$AA$4:$AA$2003,0))&amp;"","")</f>
        <v/>
      </c>
      <c r="E171" s="49" t="str">
        <f aca="false">IFERROR(INDEX(DATABASE!$F$4:$F$2003,MATCH($B171,DATABASE!$AA$4:$AA$2003,0))&amp;"","")</f>
        <v/>
      </c>
      <c r="F171" s="51" t="str">
        <f aca="false">IFERROR(INDEX(DATABASE!$G$4:$G$2003,MATCH($B171,DATABASE!$AA$4:$AA$2003,0))&amp;"","")</f>
        <v/>
      </c>
      <c r="G171" s="78" t="str">
        <f aca="false">IFERROR(INDEX(DATABASE!$Y$4:$Y$2003,MATCH($B171,DATABASE!$AA$4:$AA$2003,0))&amp;"","")</f>
        <v/>
      </c>
      <c r="H171" s="49" t="str">
        <f aca="false">IFERROR(INDEX(DATABASE!$O$4:$O$2003,MATCH($B171,DATABASE!$AA$4:$AA$2003,0))&amp;"","")</f>
        <v/>
      </c>
    </row>
  </sheetData>
  <sheetProtection sheet="true" formatCells="false" formatColumns="false" formatRows="false" sort="false" autoFilter="false"/>
  <mergeCells count="17">
    <mergeCell ref="A1:H1"/>
    <mergeCell ref="B4:H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9:H19"/>
    <mergeCell ref="B20:H20"/>
  </mergeCells>
  <conditionalFormatting sqref="E6">
    <cfRule type="cellIs" priority="2" operator="greaterThan" aboveAverage="0" equalAverage="0" bottom="0" percent="0" rank="0" text="" dxfId="0">
      <formula>0</formula>
    </cfRule>
  </conditionalFormatting>
  <conditionalFormatting sqref="E7">
    <cfRule type="cellIs" priority="3" operator="greaterThan" aboveAverage="0" equalAverage="0" bottom="0" percent="0" rank="0" text="" dxfId="0">
      <formula>0</formula>
    </cfRule>
  </conditionalFormatting>
  <conditionalFormatting sqref="E8">
    <cfRule type="cellIs" priority="4" operator="greaterThan" aboveAverage="0" equalAverage="0" bottom="0" percent="0" rank="0" text="" dxfId="0">
      <formula>0</formula>
    </cfRule>
  </conditionalFormatting>
  <conditionalFormatting sqref="E9">
    <cfRule type="cellIs" priority="5" operator="greaterThan" aboveAverage="0" equalAverage="0" bottom="0" percent="0" rank="0" text="" dxfId="0">
      <formula>0</formula>
    </cfRule>
  </conditionalFormatting>
  <conditionalFormatting sqref="E10">
    <cfRule type="cellIs" priority="6" operator="greaterThan" aboveAverage="0" equalAverage="0" bottom="0" percent="0" rank="0" text="" dxfId="0">
      <formula>0</formula>
    </cfRule>
  </conditionalFormatting>
  <conditionalFormatting sqref="E11">
    <cfRule type="cellIs" priority="7" operator="greaterThan" aboveAverage="0" equalAverage="0" bottom="0" percent="0" rank="0" text="" dxfId="0">
      <formula>0</formula>
    </cfRule>
  </conditionalFormatting>
  <conditionalFormatting sqref="E12">
    <cfRule type="cellIs" priority="8" operator="greaterThan" aboveAverage="0" equalAverage="0" bottom="0" percent="0" rank="0" text="" dxfId="0">
      <formula>0</formula>
    </cfRule>
  </conditionalFormatting>
  <conditionalFormatting sqref="E13">
    <cfRule type="cellIs" priority="9" operator="greaterThan" aboveAverage="0" equalAverage="0" bottom="0" percent="0" rank="0" text="" dxfId="0">
      <formula>0</formula>
    </cfRule>
  </conditionalFormatting>
  <conditionalFormatting sqref="E14">
    <cfRule type="cellIs" priority="10" operator="greaterThan" aboveAverage="0" equalAverage="0" bottom="0" percent="0" rank="0" text="" dxfId="0">
      <formula>0</formula>
    </cfRule>
  </conditionalFormatting>
  <conditionalFormatting sqref="E15">
    <cfRule type="cellIs" priority="11" operator="greaterThan" aboveAverage="0" equalAverage="0" bottom="0" percent="0" rank="0" text="" dxfId="0">
      <formula>0</formula>
    </cfRule>
  </conditionalFormatting>
  <hyperlinks>
    <hyperlink ref="A2" location="MENU!A1" display="◀  MENU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A8A"/>
    <pageSetUpPr fitToPage="true"/>
  </sheetPr>
  <dimension ref="A2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24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19"/>
    <col collapsed="false" customWidth="true" hidden="false" outlineLevel="0" max="11" min="11" style="0" width="17"/>
    <col collapsed="false" customWidth="true" hidden="false" outlineLevel="0" max="12" min="12" style="0" width="3"/>
    <col collapsed="false" customWidth="true" hidden="true" outlineLevel="0" max="13" min="13" style="0" width="9"/>
  </cols>
  <sheetData>
    <row r="2" customFormat="false" ht="19.7" hidden="false" customHeight="false" outlineLevel="0" collapsed="false">
      <c r="A2" s="79" t="str">
        <f aca="false">id_team</f>
        <v>TEAM PEMENANGAN JF JILID 3</v>
      </c>
      <c r="B2" s="79"/>
      <c r="C2" s="79"/>
      <c r="D2" s="79"/>
      <c r="E2" s="79"/>
      <c r="F2" s="79"/>
      <c r="G2" s="79"/>
      <c r="H2" s="79"/>
    </row>
    <row r="3" customFormat="false" ht="17.35" hidden="false" customHeight="false" outlineLevel="0" collapsed="false">
      <c r="A3" s="80" t="str">
        <f aca="false">id_calon</f>
        <v>JONI FAHAMSYAH</v>
      </c>
      <c r="B3" s="80"/>
      <c r="C3" s="80"/>
      <c r="D3" s="80"/>
      <c r="E3" s="80"/>
      <c r="F3" s="80"/>
      <c r="G3" s="80"/>
      <c r="H3" s="80"/>
    </row>
    <row r="4" customFormat="false" ht="15" hidden="false" customHeight="false" outlineLevel="0" collapsed="false">
      <c r="A4" s="81" t="str">
        <f aca="false">id_periode</f>
        <v>PERIODE 2026 S/D 2034</v>
      </c>
      <c r="B4" s="81"/>
      <c r="C4" s="81"/>
      <c r="D4" s="81"/>
      <c r="E4" s="81"/>
      <c r="F4" s="81"/>
      <c r="G4" s="81"/>
      <c r="H4" s="81"/>
    </row>
    <row r="5" customFormat="false" ht="15" hidden="false" customHeight="false" outlineLevel="0" collapsed="false">
      <c r="A5" s="82" t="str">
        <f aca="false">"DESA "&amp;id_desa&amp;IF(id_kecamatan="-",""," • KECAMATAN "&amp;id_kecamatan)&amp;IF(id_kabupaten="-",""," • KABUPATEN "&amp;id_kabupaten)</f>
        <v>DESA SUKAKARYA</v>
      </c>
      <c r="B5" s="82"/>
      <c r="C5" s="82"/>
      <c r="D5" s="82"/>
      <c r="E5" s="82"/>
      <c r="F5" s="82"/>
      <c r="G5" s="82"/>
      <c r="H5" s="82"/>
    </row>
    <row r="6" customFormat="false" ht="15" hidden="false" customHeight="false" outlineLevel="0" collapsed="false">
      <c r="A6" s="83"/>
      <c r="B6" s="83"/>
      <c r="C6" s="83"/>
      <c r="D6" s="83"/>
      <c r="E6" s="83"/>
      <c r="F6" s="83"/>
      <c r="G6" s="83"/>
      <c r="H6" s="83"/>
    </row>
    <row r="8" customFormat="false" ht="15" hidden="false" customHeight="false" outlineLevel="0" collapsed="false">
      <c r="A8" s="84" t="s">
        <v>266</v>
      </c>
      <c r="B8" s="84"/>
      <c r="C8" s="84"/>
      <c r="D8" s="84"/>
      <c r="E8" s="84"/>
      <c r="F8" s="84"/>
      <c r="G8" s="84"/>
      <c r="H8" s="84"/>
    </row>
    <row r="9" customFormat="false" ht="15" hidden="false" customHeight="false" outlineLevel="0" collapsed="false">
      <c r="I9" s="85" t="s">
        <v>267</v>
      </c>
      <c r="J9" s="85"/>
    </row>
    <row r="10" customFormat="false" ht="15" hidden="false" customHeight="false" outlineLevel="0" collapsed="false">
      <c r="A10" s="86" t="s">
        <v>268</v>
      </c>
      <c r="C10" s="87" t="s">
        <v>269</v>
      </c>
      <c r="D10" s="88" t="str">
        <f aca="false">IF(COUNTA($J$10:$J$14)=0,"SELURUH ANGGOTA",MID(IF($J$10="",""," • "&amp;$J$10)&amp;IF($J$11="",""," • RT "&amp;$J$11)&amp;IF($J$12="",""," • TPS "&amp;$J$12)&amp;IF($J$13="",""," • "&amp;$J$13)&amp;IF($J$14="",""," • "&amp;$J$14),4,200))</f>
        <v>SELURUH ANGGOTA</v>
      </c>
      <c r="E10" s="88"/>
      <c r="F10" s="88"/>
      <c r="G10" s="88"/>
      <c r="H10" s="88"/>
      <c r="I10" s="42" t="s">
        <v>270</v>
      </c>
      <c r="J10" s="67"/>
    </row>
    <row r="11" customFormat="false" ht="15" hidden="false" customHeight="false" outlineLevel="0" collapsed="false">
      <c r="A11" s="86" t="s">
        <v>25</v>
      </c>
      <c r="C11" s="87" t="s">
        <v>269</v>
      </c>
      <c r="D11" s="89" t="str">
        <f aca="false">$J$16&amp;" orang"&amp;IF($J$17&gt;1,"     (halaman "&amp;$J$15&amp;" dari "&amp;$J$17&amp;")","")</f>
        <v>52 orang     (halaman 1 dari 3)</v>
      </c>
      <c r="E11" s="89"/>
      <c r="F11" s="89"/>
      <c r="G11" s="89"/>
      <c r="H11" s="89"/>
      <c r="I11" s="42" t="s">
        <v>271</v>
      </c>
      <c r="J11" s="67"/>
    </row>
    <row r="12" customFormat="false" ht="15" hidden="false" customHeight="false" outlineLevel="0" collapsed="false">
      <c r="I12" s="42" t="s">
        <v>272</v>
      </c>
      <c r="J12" s="67"/>
    </row>
    <row r="13" customFormat="false" ht="21.75" hidden="false" customHeight="true" outlineLevel="0" collapsed="false">
      <c r="A13" s="17" t="s">
        <v>38</v>
      </c>
      <c r="B13" s="17" t="s">
        <v>39</v>
      </c>
      <c r="C13" s="17" t="s">
        <v>273</v>
      </c>
      <c r="D13" s="17" t="s">
        <v>274</v>
      </c>
      <c r="E13" s="17" t="s">
        <v>45</v>
      </c>
      <c r="F13" s="17" t="s">
        <v>50</v>
      </c>
      <c r="G13" s="17" t="s">
        <v>51</v>
      </c>
      <c r="H13" s="17" t="s">
        <v>275</v>
      </c>
      <c r="I13" s="42" t="s">
        <v>276</v>
      </c>
      <c r="J13" s="67"/>
    </row>
    <row r="14" customFormat="false" ht="21.75" hidden="false" customHeight="true" outlineLevel="0" collapsed="false">
      <c r="A14" s="90" t="n">
        <f aca="false">IF($M14="","",(($J$15-1)*25+1))</f>
        <v>1</v>
      </c>
      <c r="B14" s="36" t="str">
        <f aca="false">IF($M14="","",INDEX(DATABASE!$B$4:$B$2003,$M14)&amp;"")</f>
        <v>GURU BADRI</v>
      </c>
      <c r="C14" s="39" t="str">
        <f aca="false">IF($M14="","",INDEX(DATABASE!$C$4:$C$2003,$M14)&amp;"")</f>
        <v/>
      </c>
      <c r="D14" s="39" t="str">
        <f aca="false">IF($M14="","",INDEX(DATABASE!$D$4:$D$2003,$M14)&amp;"")</f>
        <v/>
      </c>
      <c r="E14" s="36" t="str">
        <f aca="false">IF($M14="","",INDEX(DATABASE!$M$4:$M$2003,$M14)&amp;"")</f>
        <v>Kp. Tenjolaut - RT 001/001</v>
      </c>
      <c r="F14" s="36" t="str">
        <f aca="false">IF($M14="","",INDEX(DATABASE!$N$4:$N$2003,$M14)&amp;"")</f>
        <v>Anggota</v>
      </c>
      <c r="G14" s="39" t="str">
        <f aca="false">IF($M14="","",INDEX(DATABASE!$O$4:$O$2003,$M14)&amp;"")</f>
        <v/>
      </c>
      <c r="H14" s="91" t="str">
        <f aca="false">IF($M14="","",$A14&amp;".")</f>
        <v>1.</v>
      </c>
      <c r="I14" s="42" t="s">
        <v>277</v>
      </c>
      <c r="J14" s="67"/>
      <c r="M14" s="52" t="n">
        <f aca="false">IFERROR(MATCH((($J$15-1)*25+1),DATABASE!$AC$4:$AC$2003,0),"")</f>
        <v>1</v>
      </c>
    </row>
    <row r="15" customFormat="false" ht="21.75" hidden="false" customHeight="true" outlineLevel="0" collapsed="false">
      <c r="A15" s="90" t="n">
        <f aca="false">IF($M15="","",(($J$15-1)*25+2))</f>
        <v>2</v>
      </c>
      <c r="B15" s="36" t="str">
        <f aca="false">IF($M15="","",INDEX(DATABASE!$B$4:$B$2003,$M15)&amp;"")</f>
        <v>IDRUS KAMSENO</v>
      </c>
      <c r="C15" s="39" t="str">
        <f aca="false">IF($M15="","",INDEX(DATABASE!$C$4:$C$2003,$M15)&amp;"")</f>
        <v/>
      </c>
      <c r="D15" s="39" t="str">
        <f aca="false">IF($M15="","",INDEX(DATABASE!$D$4:$D$2003,$M15)&amp;"")</f>
        <v/>
      </c>
      <c r="E15" s="36" t="str">
        <f aca="false">IF($M15="","",INDEX(DATABASE!$M$4:$M$2003,$M15)&amp;"")</f>
        <v>Kp. Gamprit</v>
      </c>
      <c r="F15" s="36" t="str">
        <f aca="false">IF($M15="","",INDEX(DATABASE!$N$4:$N$2003,$M15)&amp;"")</f>
        <v>Ketua Team</v>
      </c>
      <c r="G15" s="39" t="str">
        <f aca="false">IF($M15="","",INDEX(DATABASE!$O$4:$O$2003,$M15)&amp;"")</f>
        <v/>
      </c>
      <c r="H15" s="91" t="str">
        <f aca="false">IF($M15="","",$A15&amp;".")</f>
        <v>2.</v>
      </c>
      <c r="I15" s="42" t="s">
        <v>278</v>
      </c>
      <c r="J15" s="92" t="n">
        <v>1</v>
      </c>
      <c r="M15" s="52" t="n">
        <f aca="false">IFERROR(MATCH((($J$15-1)*25+2),DATABASE!$AC$4:$AC$2003,0),"")</f>
        <v>2</v>
      </c>
    </row>
    <row r="16" customFormat="false" ht="21.75" hidden="false" customHeight="true" outlineLevel="0" collapsed="false">
      <c r="A16" s="90" t="n">
        <f aca="false">IF($M16="","",(($J$15-1)*25+3))</f>
        <v>3</v>
      </c>
      <c r="B16" s="36" t="str">
        <f aca="false">IF($M16="","",INDEX(DATABASE!$B$4:$B$2003,$M16)&amp;"")</f>
        <v>ALI IBRO MALISI</v>
      </c>
      <c r="C16" s="39" t="str">
        <f aca="false">IF($M16="","",INDEX(DATABASE!$C$4:$C$2003,$M16)&amp;"")</f>
        <v/>
      </c>
      <c r="D16" s="39" t="str">
        <f aca="false">IF($M16="","",INDEX(DATABASE!$D$4:$D$2003,$M16)&amp;"")</f>
        <v/>
      </c>
      <c r="E16" s="36" t="str">
        <f aca="false">IF($M16="","",INDEX(DATABASE!$M$4:$M$2003,$M16)&amp;"")</f>
        <v>Kp. Tenjolaut</v>
      </c>
      <c r="F16" s="36" t="str">
        <f aca="false">IF($M16="","",INDEX(DATABASE!$N$4:$N$2003,$M16)&amp;"")</f>
        <v>Anggota</v>
      </c>
      <c r="G16" s="39" t="str">
        <f aca="false">IF($M16="","",INDEX(DATABASE!$O$4:$O$2003,$M16)&amp;"")</f>
        <v/>
      </c>
      <c r="H16" s="91" t="str">
        <f aca="false">IF($M16="","",$A16&amp;".")</f>
        <v>3.</v>
      </c>
      <c r="I16" s="42" t="s">
        <v>279</v>
      </c>
      <c r="J16" s="68" t="n">
        <f aca="false">COUNT(DATABASE!$AC$4:$AC$2003)</f>
        <v>52</v>
      </c>
      <c r="M16" s="52" t="n">
        <f aca="false">IFERROR(MATCH((($J$15-1)*25+3),DATABASE!$AC$4:$AC$2003,0),"")</f>
        <v>3</v>
      </c>
    </row>
    <row r="17" customFormat="false" ht="21.75" hidden="false" customHeight="true" outlineLevel="0" collapsed="false">
      <c r="A17" s="90" t="n">
        <f aca="false">IF($M17="","",(($J$15-1)*25+4))</f>
        <v>4</v>
      </c>
      <c r="B17" s="36" t="str">
        <f aca="false">IF($M17="","",INDEX(DATABASE!$B$4:$B$2003,$M17)&amp;"")</f>
        <v>MURDIN (BENGKUNG)</v>
      </c>
      <c r="C17" s="39" t="str">
        <f aca="false">IF($M17="","",INDEX(DATABASE!$C$4:$C$2003,$M17)&amp;"")</f>
        <v/>
      </c>
      <c r="D17" s="39" t="str">
        <f aca="false">IF($M17="","",INDEX(DATABASE!$D$4:$D$2003,$M17)&amp;"")</f>
        <v/>
      </c>
      <c r="E17" s="36" t="str">
        <f aca="false">IF($M17="","",INDEX(DATABASE!$M$4:$M$2003,$M17)&amp;"")</f>
        <v>Kp. Gamprit</v>
      </c>
      <c r="F17" s="36" t="str">
        <f aca="false">IF($M17="","",INDEX(DATABASE!$N$4:$N$2003,$M17)&amp;"")</f>
        <v>Anggota</v>
      </c>
      <c r="G17" s="39" t="str">
        <f aca="false">IF($M17="","",INDEX(DATABASE!$O$4:$O$2003,$M17)&amp;"")</f>
        <v/>
      </c>
      <c r="H17" s="91" t="str">
        <f aca="false">IF($M17="","",$A17&amp;".")</f>
        <v>4.</v>
      </c>
      <c r="I17" s="42" t="s">
        <v>280</v>
      </c>
      <c r="J17" s="93" t="n">
        <f aca="false">MAX(1,ROUNDUP($J$16/25,0))</f>
        <v>3</v>
      </c>
      <c r="M17" s="52" t="n">
        <f aca="false">IFERROR(MATCH((($J$15-1)*25+4),DATABASE!$AC$4:$AC$2003,0),"")</f>
        <v>4</v>
      </c>
    </row>
    <row r="18" customFormat="false" ht="21.75" hidden="false" customHeight="true" outlineLevel="0" collapsed="false">
      <c r="A18" s="90" t="n">
        <f aca="false">IF($M18="","",(($J$15-1)*25+5))</f>
        <v>5</v>
      </c>
      <c r="B18" s="36" t="str">
        <f aca="false">IF($M18="","",INDEX(DATABASE!$B$4:$B$2003,$M18)&amp;"")</f>
        <v>RUSTADI</v>
      </c>
      <c r="C18" s="39" t="str">
        <f aca="false">IF($M18="","",INDEX(DATABASE!$C$4:$C$2003,$M18)&amp;"")</f>
        <v/>
      </c>
      <c r="D18" s="39" t="str">
        <f aca="false">IF($M18="","",INDEX(DATABASE!$D$4:$D$2003,$M18)&amp;"")</f>
        <v/>
      </c>
      <c r="E18" s="36" t="str">
        <f aca="false">IF($M18="","",INDEX(DATABASE!$M$4:$M$2003,$M18)&amp;"")</f>
        <v>Kp. Wangkal</v>
      </c>
      <c r="F18" s="36" t="str">
        <f aca="false">IF($M18="","",INDEX(DATABASE!$N$4:$N$2003,$M18)&amp;"")</f>
        <v>Anggota</v>
      </c>
      <c r="G18" s="39" t="str">
        <f aca="false">IF($M18="","",INDEX(DATABASE!$O$4:$O$2003,$M18)&amp;"")</f>
        <v/>
      </c>
      <c r="H18" s="91" t="str">
        <f aca="false">IF($M18="","",$A18&amp;".")</f>
        <v>5.</v>
      </c>
      <c r="M18" s="52" t="n">
        <f aca="false">IFERROR(MATCH((($J$15-1)*25+5),DATABASE!$AC$4:$AC$2003,0),"")</f>
        <v>5</v>
      </c>
    </row>
    <row r="19" customFormat="false" ht="21.75" hidden="false" customHeight="true" outlineLevel="0" collapsed="false">
      <c r="A19" s="90" t="n">
        <f aca="false">IF($M19="","",(($J$15-1)*25+6))</f>
        <v>6</v>
      </c>
      <c r="B19" s="36" t="str">
        <f aca="false">IF($M19="","",INDEX(DATABASE!$B$4:$B$2003,$M19)&amp;"")</f>
        <v>ABDUL MANAN</v>
      </c>
      <c r="C19" s="39" t="str">
        <f aca="false">IF($M19="","",INDEX(DATABASE!$C$4:$C$2003,$M19)&amp;"")</f>
        <v/>
      </c>
      <c r="D19" s="39" t="str">
        <f aca="false">IF($M19="","",INDEX(DATABASE!$D$4:$D$2003,$M19)&amp;"")</f>
        <v/>
      </c>
      <c r="E19" s="36" t="str">
        <f aca="false">IF($M19="","",INDEX(DATABASE!$M$4:$M$2003,$M19)&amp;"")</f>
        <v>Kp. Kuda Kuda</v>
      </c>
      <c r="F19" s="36" t="str">
        <f aca="false">IF($M19="","",INDEX(DATABASE!$N$4:$N$2003,$M19)&amp;"")</f>
        <v>Anggota</v>
      </c>
      <c r="G19" s="39" t="str">
        <f aca="false">IF($M19="","",INDEX(DATABASE!$O$4:$O$2003,$M19)&amp;"")</f>
        <v/>
      </c>
      <c r="H19" s="91" t="str">
        <f aca="false">IF($M19="","",$A19&amp;".")</f>
        <v>6.</v>
      </c>
      <c r="I19" s="30" t="s">
        <v>34</v>
      </c>
      <c r="M19" s="52" t="n">
        <f aca="false">IFERROR(MATCH((($J$15-1)*25+6),DATABASE!$AC$4:$AC$2003,0),"")</f>
        <v>6</v>
      </c>
    </row>
    <row r="20" customFormat="false" ht="21.75" hidden="false" customHeight="true" outlineLevel="0" collapsed="false">
      <c r="A20" s="90" t="n">
        <f aca="false">IF($M20="","",(($J$15-1)*25+7))</f>
        <v>7</v>
      </c>
      <c r="B20" s="36" t="str">
        <f aca="false">IF($M20="","",INDEX(DATABASE!$B$4:$B$2003,$M20)&amp;"")</f>
        <v>IJAH</v>
      </c>
      <c r="C20" s="39" t="str">
        <f aca="false">IF($M20="","",INDEX(DATABASE!$C$4:$C$2003,$M20)&amp;"")</f>
        <v/>
      </c>
      <c r="D20" s="39" t="str">
        <f aca="false">IF($M20="","",INDEX(DATABASE!$D$4:$D$2003,$M20)&amp;"")</f>
        <v/>
      </c>
      <c r="E20" s="36" t="str">
        <f aca="false">IF($M20="","",INDEX(DATABASE!$M$4:$M$2003,$M20)&amp;"")</f>
        <v>Kp. Putri Melintang</v>
      </c>
      <c r="F20" s="36" t="str">
        <f aca="false">IF($M20="","",INDEX(DATABASE!$N$4:$N$2003,$M20)&amp;"")</f>
        <v>Anggota</v>
      </c>
      <c r="G20" s="39" t="str">
        <f aca="false">IF($M20="","",INDEX(DATABASE!$O$4:$O$2003,$M20)&amp;"")</f>
        <v/>
      </c>
      <c r="H20" s="91" t="str">
        <f aca="false">IF($M20="","",$A20&amp;".")</f>
        <v>7.</v>
      </c>
      <c r="I20" s="31" t="s">
        <v>281</v>
      </c>
      <c r="M20" s="52" t="n">
        <f aca="false">IFERROR(MATCH((($J$15-1)*25+7),DATABASE!$AC$4:$AC$2003,0),"")</f>
        <v>7</v>
      </c>
    </row>
    <row r="21" customFormat="false" ht="21.75" hidden="false" customHeight="true" outlineLevel="0" collapsed="false">
      <c r="A21" s="90" t="n">
        <f aca="false">IF($M21="","",(($J$15-1)*25+8))</f>
        <v>8</v>
      </c>
      <c r="B21" s="36" t="str">
        <f aca="false">IF($M21="","",INDEX(DATABASE!$B$4:$B$2003,$M21)&amp;"")</f>
        <v>JEBAG</v>
      </c>
      <c r="C21" s="39" t="str">
        <f aca="false">IF($M21="","",INDEX(DATABASE!$C$4:$C$2003,$M21)&amp;"")</f>
        <v/>
      </c>
      <c r="D21" s="39" t="str">
        <f aca="false">IF($M21="","",INDEX(DATABASE!$D$4:$D$2003,$M21)&amp;"")</f>
        <v/>
      </c>
      <c r="E21" s="36" t="str">
        <f aca="false">IF($M21="","",INDEX(DATABASE!$M$4:$M$2003,$M21)&amp;"")</f>
        <v>Kp. Kuda Kuda - RT 001/003</v>
      </c>
      <c r="F21" s="36" t="str">
        <f aca="false">IF($M21="","",INDEX(DATABASE!$N$4:$N$2003,$M21)&amp;"")</f>
        <v>Anggota</v>
      </c>
      <c r="G21" s="39" t="str">
        <f aca="false">IF($M21="","",INDEX(DATABASE!$O$4:$O$2003,$M21)&amp;"")</f>
        <v/>
      </c>
      <c r="H21" s="91" t="str">
        <f aca="false">IF($M21="","",$A21&amp;".")</f>
        <v>8.</v>
      </c>
      <c r="I21" s="31" t="s">
        <v>282</v>
      </c>
      <c r="M21" s="52" t="n">
        <f aca="false">IFERROR(MATCH((($J$15-1)*25+8),DATABASE!$AC$4:$AC$2003,0),"")</f>
        <v>8</v>
      </c>
    </row>
    <row r="22" customFormat="false" ht="21.75" hidden="false" customHeight="true" outlineLevel="0" collapsed="false">
      <c r="A22" s="90" t="n">
        <f aca="false">IF($M22="","",(($J$15-1)*25+9))</f>
        <v>9</v>
      </c>
      <c r="B22" s="36" t="str">
        <f aca="false">IF($M22="","",INDEX(DATABASE!$B$4:$B$2003,$M22)&amp;"")</f>
        <v>DONY</v>
      </c>
      <c r="C22" s="39" t="str">
        <f aca="false">IF($M22="","",INDEX(DATABASE!$C$4:$C$2003,$M22)&amp;"")</f>
        <v/>
      </c>
      <c r="D22" s="39" t="str">
        <f aca="false">IF($M22="","",INDEX(DATABASE!$D$4:$D$2003,$M22)&amp;"")</f>
        <v/>
      </c>
      <c r="E22" s="36" t="str">
        <f aca="false">IF($M22="","",INDEX(DATABASE!$M$4:$M$2003,$M22)&amp;"")</f>
        <v>Kp. Gamprit</v>
      </c>
      <c r="F22" s="36" t="str">
        <f aca="false">IF($M22="","",INDEX(DATABASE!$N$4:$N$2003,$M22)&amp;"")</f>
        <v>Anggota</v>
      </c>
      <c r="G22" s="39" t="str">
        <f aca="false">IF($M22="","",INDEX(DATABASE!$O$4:$O$2003,$M22)&amp;"")</f>
        <v/>
      </c>
      <c r="H22" s="91" t="str">
        <f aca="false">IF($M22="","",$A22&amp;".")</f>
        <v>9.</v>
      </c>
      <c r="I22" s="31" t="s">
        <v>283</v>
      </c>
      <c r="M22" s="52" t="n">
        <f aca="false">IFERROR(MATCH((($J$15-1)*25+9),DATABASE!$AC$4:$AC$2003,0),"")</f>
        <v>9</v>
      </c>
    </row>
    <row r="23" customFormat="false" ht="21.75" hidden="false" customHeight="true" outlineLevel="0" collapsed="false">
      <c r="A23" s="90" t="n">
        <f aca="false">IF($M23="","",(($J$15-1)*25+10))</f>
        <v>10</v>
      </c>
      <c r="B23" s="36" t="str">
        <f aca="false">IF($M23="","",INDEX(DATABASE!$B$4:$B$2003,$M23)&amp;"")</f>
        <v>WAWAN</v>
      </c>
      <c r="C23" s="39" t="str">
        <f aca="false">IF($M23="","",INDEX(DATABASE!$C$4:$C$2003,$M23)&amp;"")</f>
        <v/>
      </c>
      <c r="D23" s="39" t="str">
        <f aca="false">IF($M23="","",INDEX(DATABASE!$D$4:$D$2003,$M23)&amp;"")</f>
        <v/>
      </c>
      <c r="E23" s="36" t="str">
        <f aca="false">IF($M23="","",INDEX(DATABASE!$M$4:$M$2003,$M23)&amp;"")</f>
        <v>Kp. Kuda Kuda - RT 001/004</v>
      </c>
      <c r="F23" s="36" t="str">
        <f aca="false">IF($M23="","",INDEX(DATABASE!$N$4:$N$2003,$M23)&amp;"")</f>
        <v>Anggota</v>
      </c>
      <c r="G23" s="39" t="str">
        <f aca="false">IF($M23="","",INDEX(DATABASE!$O$4:$O$2003,$M23)&amp;"")</f>
        <v/>
      </c>
      <c r="H23" s="91" t="str">
        <f aca="false">IF($M23="","",$A23&amp;".")</f>
        <v>10.</v>
      </c>
      <c r="I23" s="31" t="s">
        <v>284</v>
      </c>
      <c r="M23" s="52" t="n">
        <f aca="false">IFERROR(MATCH((($J$15-1)*25+10),DATABASE!$AC$4:$AC$2003,0),"")</f>
        <v>10</v>
      </c>
    </row>
    <row r="24" customFormat="false" ht="21.75" hidden="false" customHeight="true" outlineLevel="0" collapsed="false">
      <c r="A24" s="90" t="n">
        <f aca="false">IF($M24="","",(($J$15-1)*25+11))</f>
        <v>11</v>
      </c>
      <c r="B24" s="36" t="str">
        <f aca="false">IF($M24="","",INDEX(DATABASE!$B$4:$B$2003,$M24)&amp;"")</f>
        <v>MAS DENI</v>
      </c>
      <c r="C24" s="39" t="str">
        <f aca="false">IF($M24="","",INDEX(DATABASE!$C$4:$C$2003,$M24)&amp;"")</f>
        <v/>
      </c>
      <c r="D24" s="39" t="str">
        <f aca="false">IF($M24="","",INDEX(DATABASE!$D$4:$D$2003,$M24)&amp;"")</f>
        <v/>
      </c>
      <c r="E24" s="36" t="str">
        <f aca="false">IF($M24="","",INDEX(DATABASE!$M$4:$M$2003,$M24)&amp;"")</f>
        <v/>
      </c>
      <c r="F24" s="36" t="str">
        <f aca="false">IF($M24="","",INDEX(DATABASE!$N$4:$N$2003,$M24)&amp;"")</f>
        <v>Anggota</v>
      </c>
      <c r="G24" s="39" t="str">
        <f aca="false">IF($M24="","",INDEX(DATABASE!$O$4:$O$2003,$M24)&amp;"")</f>
        <v/>
      </c>
      <c r="H24" s="91" t="str">
        <f aca="false">IF($M24="","",$A24&amp;".")</f>
        <v>11.</v>
      </c>
      <c r="I24" s="31" t="s">
        <v>285</v>
      </c>
      <c r="M24" s="52" t="n">
        <f aca="false">IFERROR(MATCH((($J$15-1)*25+11),DATABASE!$AC$4:$AC$2003,0),"")</f>
        <v>11</v>
      </c>
    </row>
    <row r="25" customFormat="false" ht="21.75" hidden="false" customHeight="true" outlineLevel="0" collapsed="false">
      <c r="A25" s="90" t="n">
        <f aca="false">IF($M25="","",(($J$15-1)*25+12))</f>
        <v>12</v>
      </c>
      <c r="B25" s="36" t="str">
        <f aca="false">IF($M25="","",INDEX(DATABASE!$B$4:$B$2003,$M25)&amp;"")</f>
        <v>HARIS</v>
      </c>
      <c r="C25" s="39" t="str">
        <f aca="false">IF($M25="","",INDEX(DATABASE!$C$4:$C$2003,$M25)&amp;"")</f>
        <v/>
      </c>
      <c r="D25" s="39" t="str">
        <f aca="false">IF($M25="","",INDEX(DATABASE!$D$4:$D$2003,$M25)&amp;"")</f>
        <v/>
      </c>
      <c r="E25" s="36" t="str">
        <f aca="false">IF($M25="","",INDEX(DATABASE!$M$4:$M$2003,$M25)&amp;"")</f>
        <v>Kp. Kuda Kuda - RT 003/001</v>
      </c>
      <c r="F25" s="36" t="str">
        <f aca="false">IF($M25="","",INDEX(DATABASE!$N$4:$N$2003,$M25)&amp;"")</f>
        <v>Anggota</v>
      </c>
      <c r="G25" s="39" t="str">
        <f aca="false">IF($M25="","",INDEX(DATABASE!$O$4:$O$2003,$M25)&amp;"")</f>
        <v/>
      </c>
      <c r="H25" s="91" t="str">
        <f aca="false">IF($M25="","",$A25&amp;".")</f>
        <v>12.</v>
      </c>
      <c r="I25" s="31" t="s">
        <v>286</v>
      </c>
      <c r="M25" s="52" t="n">
        <f aca="false">IFERROR(MATCH((($J$15-1)*25+12),DATABASE!$AC$4:$AC$2003,0),"")</f>
        <v>12</v>
      </c>
    </row>
    <row r="26" customFormat="false" ht="21.75" hidden="false" customHeight="true" outlineLevel="0" collapsed="false">
      <c r="A26" s="90" t="n">
        <f aca="false">IF($M26="","",(($J$15-1)*25+13))</f>
        <v>13</v>
      </c>
      <c r="B26" s="36" t="str">
        <f aca="false">IF($M26="","",INDEX(DATABASE!$B$4:$B$2003,$M26)&amp;"")</f>
        <v>NELIH</v>
      </c>
      <c r="C26" s="39" t="str">
        <f aca="false">IF($M26="","",INDEX(DATABASE!$C$4:$C$2003,$M26)&amp;"")</f>
        <v/>
      </c>
      <c r="D26" s="39" t="str">
        <f aca="false">IF($M26="","",INDEX(DATABASE!$D$4:$D$2003,$M26)&amp;"")</f>
        <v/>
      </c>
      <c r="E26" s="36" t="str">
        <f aca="false">IF($M26="","",INDEX(DATABASE!$M$4:$M$2003,$M26)&amp;"")</f>
        <v>Kp. Wangkal - RT 004/006</v>
      </c>
      <c r="F26" s="36" t="str">
        <f aca="false">IF($M26="","",INDEX(DATABASE!$N$4:$N$2003,$M26)&amp;"")</f>
        <v>Anggota</v>
      </c>
      <c r="G26" s="39" t="str">
        <f aca="false">IF($M26="","",INDEX(DATABASE!$O$4:$O$2003,$M26)&amp;"")</f>
        <v/>
      </c>
      <c r="H26" s="91" t="str">
        <f aca="false">IF($M26="","",$A26&amp;".")</f>
        <v>13.</v>
      </c>
      <c r="I26" s="31" t="s">
        <v>287</v>
      </c>
      <c r="M26" s="52" t="n">
        <f aca="false">IFERROR(MATCH((($J$15-1)*25+13),DATABASE!$AC$4:$AC$2003,0),"")</f>
        <v>13</v>
      </c>
    </row>
    <row r="27" customFormat="false" ht="21.75" hidden="false" customHeight="true" outlineLevel="0" collapsed="false">
      <c r="A27" s="90" t="n">
        <f aca="false">IF($M27="","",(($J$15-1)*25+14))</f>
        <v>14</v>
      </c>
      <c r="B27" s="36" t="str">
        <f aca="false">IF($M27="","",INDEX(DATABASE!$B$4:$B$2003,$M27)&amp;"")</f>
        <v>RUDI</v>
      </c>
      <c r="C27" s="39" t="str">
        <f aca="false">IF($M27="","",INDEX(DATABASE!$C$4:$C$2003,$M27)&amp;"")</f>
        <v/>
      </c>
      <c r="D27" s="39" t="str">
        <f aca="false">IF($M27="","",INDEX(DATABASE!$D$4:$D$2003,$M27)&amp;"")</f>
        <v/>
      </c>
      <c r="E27" s="36" t="str">
        <f aca="false">IF($M27="","",INDEX(DATABASE!$M$4:$M$2003,$M27)&amp;"")</f>
        <v>Kp. Gamprit - RT 003/006</v>
      </c>
      <c r="F27" s="36" t="str">
        <f aca="false">IF($M27="","",INDEX(DATABASE!$N$4:$N$2003,$M27)&amp;"")</f>
        <v>Anggota</v>
      </c>
      <c r="G27" s="39" t="str">
        <f aca="false">IF($M27="","",INDEX(DATABASE!$O$4:$O$2003,$M27)&amp;"")</f>
        <v/>
      </c>
      <c r="H27" s="91" t="str">
        <f aca="false">IF($M27="","",$A27&amp;".")</f>
        <v>14.</v>
      </c>
      <c r="M27" s="52" t="n">
        <f aca="false">IFERROR(MATCH((($J$15-1)*25+14),DATABASE!$AC$4:$AC$2003,0),"")</f>
        <v>14</v>
      </c>
    </row>
    <row r="28" customFormat="false" ht="21.75" hidden="false" customHeight="true" outlineLevel="0" collapsed="false">
      <c r="A28" s="90" t="n">
        <f aca="false">IF($M28="","",(($J$15-1)*25+15))</f>
        <v>15</v>
      </c>
      <c r="B28" s="36" t="str">
        <f aca="false">IF($M28="","",INDEX(DATABASE!$B$4:$B$2003,$M28)&amp;"")</f>
        <v>NIMAN</v>
      </c>
      <c r="C28" s="39" t="str">
        <f aca="false">IF($M28="","",INDEX(DATABASE!$C$4:$C$2003,$M28)&amp;"")</f>
        <v/>
      </c>
      <c r="D28" s="39" t="str">
        <f aca="false">IF($M28="","",INDEX(DATABASE!$D$4:$D$2003,$M28)&amp;"")</f>
        <v/>
      </c>
      <c r="E28" s="36" t="str">
        <f aca="false">IF($M28="","",INDEX(DATABASE!$M$4:$M$2003,$M28)&amp;"")</f>
        <v>Kp. Gamprit - RT 002/005</v>
      </c>
      <c r="F28" s="36" t="str">
        <f aca="false">IF($M28="","",INDEX(DATABASE!$N$4:$N$2003,$M28)&amp;"")</f>
        <v>Ketua RW</v>
      </c>
      <c r="G28" s="39" t="str">
        <f aca="false">IF($M28="","",INDEX(DATABASE!$O$4:$O$2003,$M28)&amp;"")</f>
        <v/>
      </c>
      <c r="H28" s="91" t="str">
        <f aca="false">IF($M28="","",$A28&amp;".")</f>
        <v>15.</v>
      </c>
      <c r="M28" s="52" t="n">
        <f aca="false">IFERROR(MATCH((($J$15-1)*25+15),DATABASE!$AC$4:$AC$2003,0),"")</f>
        <v>15</v>
      </c>
    </row>
    <row r="29" customFormat="false" ht="21.75" hidden="false" customHeight="true" outlineLevel="0" collapsed="false">
      <c r="A29" s="90" t="n">
        <f aca="false">IF($M29="","",(($J$15-1)*25+16))</f>
        <v>16</v>
      </c>
      <c r="B29" s="36" t="str">
        <f aca="false">IF($M29="","",INDEX(DATABASE!$B$4:$B$2003,$M29)&amp;"")</f>
        <v>RENALDI</v>
      </c>
      <c r="C29" s="39" t="str">
        <f aca="false">IF($M29="","",INDEX(DATABASE!$C$4:$C$2003,$M29)&amp;"")</f>
        <v/>
      </c>
      <c r="D29" s="39" t="str">
        <f aca="false">IF($M29="","",INDEX(DATABASE!$D$4:$D$2003,$M29)&amp;"")</f>
        <v/>
      </c>
      <c r="E29" s="36" t="str">
        <f aca="false">IF($M29="","",INDEX(DATABASE!$M$4:$M$2003,$M29)&amp;"")</f>
        <v>Kp. Gamprit - RT 003/006</v>
      </c>
      <c r="F29" s="36" t="str">
        <f aca="false">IF($M29="","",INDEX(DATABASE!$N$4:$N$2003,$M29)&amp;"")</f>
        <v>Anggota</v>
      </c>
      <c r="G29" s="39" t="str">
        <f aca="false">IF($M29="","",INDEX(DATABASE!$O$4:$O$2003,$M29)&amp;"")</f>
        <v/>
      </c>
      <c r="H29" s="91" t="str">
        <f aca="false">IF($M29="","",$A29&amp;".")</f>
        <v>16.</v>
      </c>
      <c r="M29" s="52" t="n">
        <f aca="false">IFERROR(MATCH((($J$15-1)*25+16),DATABASE!$AC$4:$AC$2003,0),"")</f>
        <v>16</v>
      </c>
    </row>
    <row r="30" customFormat="false" ht="21.75" hidden="false" customHeight="true" outlineLevel="0" collapsed="false">
      <c r="A30" s="90" t="n">
        <f aca="false">IF($M30="","",(($J$15-1)*25+17))</f>
        <v>17</v>
      </c>
      <c r="B30" s="36" t="str">
        <f aca="false">IF($M30="","",INDEX(DATABASE!$B$4:$B$2003,$M30)&amp;"")</f>
        <v>JAYA</v>
      </c>
      <c r="C30" s="39" t="str">
        <f aca="false">IF($M30="","",INDEX(DATABASE!$C$4:$C$2003,$M30)&amp;"")</f>
        <v/>
      </c>
      <c r="D30" s="39" t="str">
        <f aca="false">IF($M30="","",INDEX(DATABASE!$D$4:$D$2003,$M30)&amp;"")</f>
        <v/>
      </c>
      <c r="E30" s="36" t="str">
        <f aca="false">IF($M30="","",INDEX(DATABASE!$M$4:$M$2003,$M30)&amp;"")</f>
        <v>Kp. Wangkal - RT 004/006</v>
      </c>
      <c r="F30" s="36" t="str">
        <f aca="false">IF($M30="","",INDEX(DATABASE!$N$4:$N$2003,$M30)&amp;"")</f>
        <v>Anggota</v>
      </c>
      <c r="G30" s="39" t="str">
        <f aca="false">IF($M30="","",INDEX(DATABASE!$O$4:$O$2003,$M30)&amp;"")</f>
        <v/>
      </c>
      <c r="H30" s="91" t="str">
        <f aca="false">IF($M30="","",$A30&amp;".")</f>
        <v>17.</v>
      </c>
      <c r="M30" s="52" t="n">
        <f aca="false">IFERROR(MATCH((($J$15-1)*25+17),DATABASE!$AC$4:$AC$2003,0),"")</f>
        <v>17</v>
      </c>
    </row>
    <row r="31" customFormat="false" ht="21.75" hidden="false" customHeight="true" outlineLevel="0" collapsed="false">
      <c r="A31" s="90" t="n">
        <f aca="false">IF($M31="","",(($J$15-1)*25+18))</f>
        <v>18</v>
      </c>
      <c r="B31" s="36" t="str">
        <f aca="false">IF($M31="","",INDEX(DATABASE!$B$4:$B$2003,$M31)&amp;"")</f>
        <v>ADE RINO</v>
      </c>
      <c r="C31" s="39" t="str">
        <f aca="false">IF($M31="","",INDEX(DATABASE!$C$4:$C$2003,$M31)&amp;"")</f>
        <v/>
      </c>
      <c r="D31" s="39" t="str">
        <f aca="false">IF($M31="","",INDEX(DATABASE!$D$4:$D$2003,$M31)&amp;"")</f>
        <v/>
      </c>
      <c r="E31" s="36" t="str">
        <f aca="false">IF($M31="","",INDEX(DATABASE!$M$4:$M$2003,$M31)&amp;"")</f>
        <v>Kp. Gamprit - RT 003/006</v>
      </c>
      <c r="F31" s="36" t="str">
        <f aca="false">IF($M31="","",INDEX(DATABASE!$N$4:$N$2003,$M31)&amp;"")</f>
        <v>Anggota</v>
      </c>
      <c r="G31" s="39" t="str">
        <f aca="false">IF($M31="","",INDEX(DATABASE!$O$4:$O$2003,$M31)&amp;"")</f>
        <v/>
      </c>
      <c r="H31" s="91" t="str">
        <f aca="false">IF($M31="","",$A31&amp;".")</f>
        <v>18.</v>
      </c>
      <c r="M31" s="52" t="n">
        <f aca="false">IFERROR(MATCH((($J$15-1)*25+18),DATABASE!$AC$4:$AC$2003,0),"")</f>
        <v>18</v>
      </c>
    </row>
    <row r="32" customFormat="false" ht="21.75" hidden="false" customHeight="true" outlineLevel="0" collapsed="false">
      <c r="A32" s="90" t="n">
        <f aca="false">IF($M32="","",(($J$15-1)*25+19))</f>
        <v>19</v>
      </c>
      <c r="B32" s="36" t="str">
        <f aca="false">IF($M32="","",INDEX(DATABASE!$B$4:$B$2003,$M32)&amp;"")</f>
        <v>WINDA</v>
      </c>
      <c r="C32" s="39" t="str">
        <f aca="false">IF($M32="","",INDEX(DATABASE!$C$4:$C$2003,$M32)&amp;"")</f>
        <v/>
      </c>
      <c r="D32" s="39" t="str">
        <f aca="false">IF($M32="","",INDEX(DATABASE!$D$4:$D$2003,$M32)&amp;"")</f>
        <v/>
      </c>
      <c r="E32" s="36" t="str">
        <f aca="false">IF($M32="","",INDEX(DATABASE!$M$4:$M$2003,$M32)&amp;"")</f>
        <v>Kp. Kuda Kuda - RT 004</v>
      </c>
      <c r="F32" s="36" t="str">
        <f aca="false">IF($M32="","",INDEX(DATABASE!$N$4:$N$2003,$M32)&amp;"")</f>
        <v>Anggota</v>
      </c>
      <c r="G32" s="39" t="str">
        <f aca="false">IF($M32="","",INDEX(DATABASE!$O$4:$O$2003,$M32)&amp;"")</f>
        <v/>
      </c>
      <c r="H32" s="91" t="str">
        <f aca="false">IF($M32="","",$A32&amp;".")</f>
        <v>19.</v>
      </c>
      <c r="M32" s="52" t="n">
        <f aca="false">IFERROR(MATCH((($J$15-1)*25+19),DATABASE!$AC$4:$AC$2003,0),"")</f>
        <v>19</v>
      </c>
    </row>
    <row r="33" customFormat="false" ht="21.75" hidden="false" customHeight="true" outlineLevel="0" collapsed="false">
      <c r="A33" s="90" t="n">
        <f aca="false">IF($M33="","",(($J$15-1)*25+20))</f>
        <v>20</v>
      </c>
      <c r="B33" s="36" t="str">
        <f aca="false">IF($M33="","",INDEX(DATABASE!$B$4:$B$2003,$M33)&amp;"")</f>
        <v>HERMAN BOLON</v>
      </c>
      <c r="C33" s="39" t="str">
        <f aca="false">IF($M33="","",INDEX(DATABASE!$C$4:$C$2003,$M33)&amp;"")</f>
        <v/>
      </c>
      <c r="D33" s="39" t="str">
        <f aca="false">IF($M33="","",INDEX(DATABASE!$D$4:$D$2003,$M33)&amp;"")</f>
        <v/>
      </c>
      <c r="E33" s="36" t="str">
        <f aca="false">IF($M33="","",INDEX(DATABASE!$M$4:$M$2003,$M33)&amp;"")</f>
        <v>Kp. Gamprit - RT 003/006</v>
      </c>
      <c r="F33" s="36" t="str">
        <f aca="false">IF($M33="","",INDEX(DATABASE!$N$4:$N$2003,$M33)&amp;"")</f>
        <v>Anggota</v>
      </c>
      <c r="G33" s="39" t="str">
        <f aca="false">IF($M33="","",INDEX(DATABASE!$O$4:$O$2003,$M33)&amp;"")</f>
        <v/>
      </c>
      <c r="H33" s="91" t="str">
        <f aca="false">IF($M33="","",$A33&amp;".")</f>
        <v>20.</v>
      </c>
      <c r="M33" s="52" t="n">
        <f aca="false">IFERROR(MATCH((($J$15-1)*25+20),DATABASE!$AC$4:$AC$2003,0),"")</f>
        <v>20</v>
      </c>
    </row>
    <row r="34" customFormat="false" ht="21.75" hidden="false" customHeight="true" outlineLevel="0" collapsed="false">
      <c r="A34" s="90" t="n">
        <f aca="false">IF($M34="","",(($J$15-1)*25+21))</f>
        <v>21</v>
      </c>
      <c r="B34" s="36" t="str">
        <f aca="false">IF($M34="","",INDEX(DATABASE!$B$4:$B$2003,$M34)&amp;"")</f>
        <v>TASBIH (BODONG)</v>
      </c>
      <c r="C34" s="39" t="str">
        <f aca="false">IF($M34="","",INDEX(DATABASE!$C$4:$C$2003,$M34)&amp;"")</f>
        <v/>
      </c>
      <c r="D34" s="39" t="str">
        <f aca="false">IF($M34="","",INDEX(DATABASE!$D$4:$D$2003,$M34)&amp;"")</f>
        <v/>
      </c>
      <c r="E34" s="36" t="str">
        <f aca="false">IF($M34="","",INDEX(DATABASE!$M$4:$M$2003,$M34)&amp;"")</f>
        <v>Kp. Wangkal - RT 004/006</v>
      </c>
      <c r="F34" s="36" t="str">
        <f aca="false">IF($M34="","",INDEX(DATABASE!$N$4:$N$2003,$M34)&amp;"")</f>
        <v>Anggota</v>
      </c>
      <c r="G34" s="39" t="str">
        <f aca="false">IF($M34="","",INDEX(DATABASE!$O$4:$O$2003,$M34)&amp;"")</f>
        <v/>
      </c>
      <c r="H34" s="91" t="str">
        <f aca="false">IF($M34="","",$A34&amp;".")</f>
        <v>21.</v>
      </c>
      <c r="M34" s="52" t="n">
        <f aca="false">IFERROR(MATCH((($J$15-1)*25+21),DATABASE!$AC$4:$AC$2003,0),"")</f>
        <v>21</v>
      </c>
    </row>
    <row r="35" customFormat="false" ht="21.75" hidden="false" customHeight="true" outlineLevel="0" collapsed="false">
      <c r="A35" s="90" t="n">
        <f aca="false">IF($M35="","",(($J$15-1)*25+22))</f>
        <v>22</v>
      </c>
      <c r="B35" s="36" t="str">
        <f aca="false">IF($M35="","",INDEX(DATABASE!$B$4:$B$2003,$M35)&amp;"")</f>
        <v>MARDI</v>
      </c>
      <c r="C35" s="39" t="str">
        <f aca="false">IF($M35="","",INDEX(DATABASE!$C$4:$C$2003,$M35)&amp;"")</f>
        <v/>
      </c>
      <c r="D35" s="39" t="str">
        <f aca="false">IF($M35="","",INDEX(DATABASE!$D$4:$D$2003,$M35)&amp;"")</f>
        <v/>
      </c>
      <c r="E35" s="36" t="str">
        <f aca="false">IF($M35="","",INDEX(DATABASE!$M$4:$M$2003,$M35)&amp;"")</f>
        <v>Kp. Wangkal - RT 005/006</v>
      </c>
      <c r="F35" s="36" t="str">
        <f aca="false">IF($M35="","",INDEX(DATABASE!$N$4:$N$2003,$M35)&amp;"")</f>
        <v>Anggota</v>
      </c>
      <c r="G35" s="39" t="str">
        <f aca="false">IF($M35="","",INDEX(DATABASE!$O$4:$O$2003,$M35)&amp;"")</f>
        <v/>
      </c>
      <c r="H35" s="91" t="str">
        <f aca="false">IF($M35="","",$A35&amp;".")</f>
        <v>22.</v>
      </c>
      <c r="M35" s="52" t="n">
        <f aca="false">IFERROR(MATCH((($J$15-1)*25+22),DATABASE!$AC$4:$AC$2003,0),"")</f>
        <v>22</v>
      </c>
    </row>
    <row r="36" customFormat="false" ht="21.75" hidden="false" customHeight="true" outlineLevel="0" collapsed="false">
      <c r="A36" s="90" t="n">
        <f aca="false">IF($M36="","",(($J$15-1)*25+23))</f>
        <v>23</v>
      </c>
      <c r="B36" s="36" t="str">
        <f aca="false">IF($M36="","",INDEX(DATABASE!$B$4:$B$2003,$M36)&amp;"")</f>
        <v>OTIH (AAL)</v>
      </c>
      <c r="C36" s="39" t="str">
        <f aca="false">IF($M36="","",INDEX(DATABASE!$C$4:$C$2003,$M36)&amp;"")</f>
        <v/>
      </c>
      <c r="D36" s="39" t="str">
        <f aca="false">IF($M36="","",INDEX(DATABASE!$D$4:$D$2003,$M36)&amp;"")</f>
        <v/>
      </c>
      <c r="E36" s="36" t="str">
        <f aca="false">IF($M36="","",INDEX(DATABASE!$M$4:$M$2003,$M36)&amp;"")</f>
        <v>Kp. Gamprit - RT 003/006</v>
      </c>
      <c r="F36" s="36" t="str">
        <f aca="false">IF($M36="","",INDEX(DATABASE!$N$4:$N$2003,$M36)&amp;"")</f>
        <v>Anggota</v>
      </c>
      <c r="G36" s="39" t="str">
        <f aca="false">IF($M36="","",INDEX(DATABASE!$O$4:$O$2003,$M36)&amp;"")</f>
        <v/>
      </c>
      <c r="H36" s="91" t="str">
        <f aca="false">IF($M36="","",$A36&amp;".")</f>
        <v>23.</v>
      </c>
      <c r="M36" s="52" t="n">
        <f aca="false">IFERROR(MATCH((($J$15-1)*25+23),DATABASE!$AC$4:$AC$2003,0),"")</f>
        <v>23</v>
      </c>
    </row>
    <row r="37" customFormat="false" ht="21.75" hidden="false" customHeight="true" outlineLevel="0" collapsed="false">
      <c r="A37" s="90" t="n">
        <f aca="false">IF($M37="","",(($J$15-1)*25+24))</f>
        <v>24</v>
      </c>
      <c r="B37" s="36" t="str">
        <f aca="false">IF($M37="","",INDEX(DATABASE!$B$4:$B$2003,$M37)&amp;"")</f>
        <v>KANDI</v>
      </c>
      <c r="C37" s="39" t="str">
        <f aca="false">IF($M37="","",INDEX(DATABASE!$C$4:$C$2003,$M37)&amp;"")</f>
        <v/>
      </c>
      <c r="D37" s="39" t="str">
        <f aca="false">IF($M37="","",INDEX(DATABASE!$D$4:$D$2003,$M37)&amp;"")</f>
        <v/>
      </c>
      <c r="E37" s="36" t="str">
        <f aca="false">IF($M37="","",INDEX(DATABASE!$M$4:$M$2003,$M37)&amp;"")</f>
        <v>Kp. Gamprit - RT 003/006</v>
      </c>
      <c r="F37" s="36" t="str">
        <f aca="false">IF($M37="","",INDEX(DATABASE!$N$4:$N$2003,$M37)&amp;"")</f>
        <v>Anggota</v>
      </c>
      <c r="G37" s="39" t="str">
        <f aca="false">IF($M37="","",INDEX(DATABASE!$O$4:$O$2003,$M37)&amp;"")</f>
        <v/>
      </c>
      <c r="H37" s="91" t="str">
        <f aca="false">IF($M37="","",$A37&amp;".")</f>
        <v>24.</v>
      </c>
      <c r="M37" s="52" t="n">
        <f aca="false">IFERROR(MATCH((($J$15-1)*25+24),DATABASE!$AC$4:$AC$2003,0),"")</f>
        <v>24</v>
      </c>
    </row>
    <row r="38" customFormat="false" ht="21.75" hidden="false" customHeight="true" outlineLevel="0" collapsed="false">
      <c r="A38" s="90" t="n">
        <f aca="false">IF($M38="","",(($J$15-1)*25+25))</f>
        <v>25</v>
      </c>
      <c r="B38" s="36" t="str">
        <f aca="false">IF($M38="","",INDEX(DATABASE!$B$4:$B$2003,$M38)&amp;"")</f>
        <v>EMIN (KOJEK)</v>
      </c>
      <c r="C38" s="39" t="str">
        <f aca="false">IF($M38="","",INDEX(DATABASE!$C$4:$C$2003,$M38)&amp;"")</f>
        <v/>
      </c>
      <c r="D38" s="39" t="str">
        <f aca="false">IF($M38="","",INDEX(DATABASE!$D$4:$D$2003,$M38)&amp;"")</f>
        <v/>
      </c>
      <c r="E38" s="36" t="str">
        <f aca="false">IF($M38="","",INDEX(DATABASE!$M$4:$M$2003,$M38)&amp;"")</f>
        <v>Kp. Wangkal - RT 004/006</v>
      </c>
      <c r="F38" s="36" t="str">
        <f aca="false">IF($M38="","",INDEX(DATABASE!$N$4:$N$2003,$M38)&amp;"")</f>
        <v>Anggota</v>
      </c>
      <c r="G38" s="39" t="str">
        <f aca="false">IF($M38="","",INDEX(DATABASE!$O$4:$O$2003,$M38)&amp;"")</f>
        <v/>
      </c>
      <c r="H38" s="91" t="str">
        <f aca="false">IF($M38="","",$A38&amp;".")</f>
        <v>25.</v>
      </c>
      <c r="M38" s="52" t="n">
        <f aca="false">IFERROR(MATCH((($J$15-1)*25+25),DATABASE!$AC$4:$AC$2003,0),"")</f>
        <v>25</v>
      </c>
    </row>
    <row r="40" customFormat="false" ht="15" hidden="false" customHeight="false" outlineLevel="0" collapsed="false">
      <c r="F40" s="81" t="str">
        <f aca="false">id_desa&amp;", ......................... "&amp;id_tahun</f>
        <v>SUKAKARYA, ......................... 2026</v>
      </c>
      <c r="G40" s="81"/>
      <c r="H40" s="81"/>
    </row>
    <row r="41" customFormat="false" ht="15" hidden="false" customHeight="false" outlineLevel="0" collapsed="false">
      <c r="F41" s="81" t="str">
        <f aca="false">id_jabatan_ttd</f>
        <v>Ketua Team</v>
      </c>
      <c r="G41" s="81"/>
      <c r="H41" s="81"/>
    </row>
    <row r="45" customFormat="false" ht="15" hidden="false" customHeight="false" outlineLevel="0" collapsed="false">
      <c r="F45" s="94" t="str">
        <f aca="false">id_ketua</f>
        <v>IDRUS KAMSENO</v>
      </c>
      <c r="G45" s="94"/>
      <c r="H45" s="94"/>
    </row>
  </sheetData>
  <sheetProtection sheet="true" formatCells="false" formatColumns="false" formatRows="false" sort="false" autoFilter="false"/>
  <mergeCells count="11">
    <mergeCell ref="A2:H2"/>
    <mergeCell ref="A3:H3"/>
    <mergeCell ref="A4:H4"/>
    <mergeCell ref="A5:H5"/>
    <mergeCell ref="A8:H8"/>
    <mergeCell ref="I9:J9"/>
    <mergeCell ref="D10:H10"/>
    <mergeCell ref="D11:H11"/>
    <mergeCell ref="F40:H40"/>
    <mergeCell ref="F41:H41"/>
    <mergeCell ref="F45:H45"/>
  </mergeCells>
  <dataValidations count="6">
    <dataValidation allowBlank="true" errorStyle="stop" operator="between" showDropDown="false" showErrorMessage="false" showInputMessage="false" sqref="J10" type="list">
      <formula1>daftar_kampung</formula1>
      <formula2>0</formula2>
    </dataValidation>
    <dataValidation allowBlank="true" errorStyle="stop" operator="between" showDropDown="false" showErrorMessage="false" showInputMessage="false" sqref="J11" type="list">
      <formula1>daftar_rt</formula1>
      <formula2>0</formula2>
    </dataValidation>
    <dataValidation allowBlank="true" errorStyle="stop" operator="between" showDropDown="false" showErrorMessage="false" showInputMessage="false" sqref="J12" type="list">
      <formula1>daftar_tps</formula1>
      <formula2>0</formula2>
    </dataValidation>
    <dataValidation allowBlank="true" errorStyle="stop" operator="between" showDropDown="false" showErrorMessage="false" showInputMessage="false" sqref="J13" type="list">
      <formula1>daftar_jabatan</formula1>
      <formula2>0</formula2>
    </dataValidation>
    <dataValidation allowBlank="true" errorStyle="stop" operator="between" showDropDown="false" showErrorMessage="false" showInputMessage="false" sqref="J14" type="list">
      <formula1>daftar_status</formula1>
      <formula2>0</formula2>
    </dataValidation>
    <dataValidation allowBlank="false" error="Isi angka 1 atau lebih." errorStyle="warning" errorTitle="Halaman" operator="greaterThanOrEqual" showDropDown="false" showErrorMessage="true" showInputMessage="false" sqref="J15" type="whole">
      <formula1>1</formula1>
      <formula2>0</formula2>
    </dataValidation>
  </dataValidations>
  <hyperlinks>
    <hyperlink ref="I19" location="MENU!A1" display="◀  MENU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B8A"/>
    <pageSetUpPr fitToPage="tru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3"/>
    <col collapsed="false" customWidth="true" hidden="false" outlineLevel="0" max="11" min="10" style="0" width="20"/>
  </cols>
  <sheetData>
    <row r="1" customFormat="false" ht="25.5" hidden="false" customHeight="true" outlineLevel="0" collapsed="false">
      <c r="A1" s="29" t="s">
        <v>288</v>
      </c>
      <c r="B1" s="29"/>
      <c r="C1" s="29"/>
      <c r="D1" s="29"/>
      <c r="E1" s="29"/>
      <c r="F1" s="29"/>
      <c r="G1" s="29"/>
      <c r="H1" s="29"/>
    </row>
    <row r="2" customFormat="false" ht="15" hidden="false" customHeight="false" outlineLevel="0" collapsed="false">
      <c r="A2" s="30" t="s">
        <v>34</v>
      </c>
      <c r="C2" s="31" t="s">
        <v>289</v>
      </c>
    </row>
    <row r="4" customFormat="false" ht="19.5" hidden="false" customHeight="true" outlineLevel="0" collapsed="false">
      <c r="B4" s="69" t="str">
        <f aca="false">id_team&amp;" — "&amp;id_calon</f>
        <v>TEAM PEMENANGAN JF JILID 3 — JONI FAHAMSYAH</v>
      </c>
      <c r="C4" s="69"/>
      <c r="D4" s="69"/>
      <c r="F4" s="69" t="str">
        <f aca="false">id_team&amp;" — "&amp;id_calon</f>
        <v>TEAM PEMENANGAN JF JILID 3 — JONI FAHAMSYAH</v>
      </c>
      <c r="G4" s="69"/>
      <c r="H4" s="69"/>
      <c r="J4" s="85" t="s">
        <v>290</v>
      </c>
      <c r="K4" s="85"/>
    </row>
    <row r="5" customFormat="false" ht="16.5" hidden="false" customHeight="true" outlineLevel="0" collapsed="false">
      <c r="B5" s="95"/>
      <c r="C5" s="96" t="s">
        <v>291</v>
      </c>
      <c r="D5" s="97" t="str">
        <f aca="false">IFERROR(INDEX(DATABASE!$B$4:$B$2003,MATCH(($K$5+0),DATABASE!$AE$4:$AE$2003,0))&amp;"","")</f>
        <v>GURU BADRI</v>
      </c>
      <c r="F5" s="95"/>
      <c r="G5" s="96" t="s">
        <v>291</v>
      </c>
      <c r="H5" s="97" t="str">
        <f aca="false">IFERROR(INDEX(DATABASE!$B$4:$B$2003,MATCH(($K$5+1),DATABASE!$AE$4:$AE$2003,0))&amp;"","")</f>
        <v>IDRUS KAMSENO</v>
      </c>
      <c r="J5" s="42" t="s">
        <v>292</v>
      </c>
      <c r="K5" s="92" t="n">
        <v>1</v>
      </c>
    </row>
    <row r="6" customFormat="false" ht="16.5" hidden="false" customHeight="true" outlineLevel="0" collapsed="false">
      <c r="B6" s="95"/>
      <c r="C6" s="96" t="s">
        <v>217</v>
      </c>
      <c r="D6" s="98" t="str">
        <f aca="false">IFERROR(INDEX(DATABASE!$C$4:$C$2003,MATCH(($K$5+0),DATABASE!$AE$4:$AE$2003,0))&amp;"","")</f>
        <v/>
      </c>
      <c r="F6" s="95"/>
      <c r="G6" s="96" t="s">
        <v>217</v>
      </c>
      <c r="H6" s="98" t="str">
        <f aca="false">IFERROR(INDEX(DATABASE!$C$4:$C$2003,MATCH(($K$5+1),DATABASE!$AE$4:$AE$2003,0))&amp;"","")</f>
        <v/>
      </c>
      <c r="J6" s="42" t="s">
        <v>293</v>
      </c>
      <c r="K6" s="67"/>
    </row>
    <row r="7" customFormat="false" ht="16.5" hidden="false" customHeight="true" outlineLevel="0" collapsed="false">
      <c r="B7" s="95"/>
      <c r="C7" s="96" t="s">
        <v>45</v>
      </c>
      <c r="D7" s="99" t="str">
        <f aca="false">IFERROR(INDEX(DATABASE!$M$4:$M$2003,MATCH(($K$5+0),DATABASE!$AE$4:$AE$2003,0))&amp;"","")</f>
        <v>Kp. Tenjolaut - RT 001/001</v>
      </c>
      <c r="F7" s="95"/>
      <c r="G7" s="96" t="s">
        <v>45</v>
      </c>
      <c r="H7" s="99" t="str">
        <f aca="false">IFERROR(INDEX(DATABASE!$M$4:$M$2003,MATCH(($K$5+1),DATABASE!$AE$4:$AE$2003,0))&amp;"","")</f>
        <v>Kp. Gamprit</v>
      </c>
      <c r="J7" s="42" t="s">
        <v>271</v>
      </c>
      <c r="K7" s="67"/>
    </row>
    <row r="8" customFormat="false" ht="16.5" hidden="false" customHeight="true" outlineLevel="0" collapsed="false">
      <c r="B8" s="95"/>
      <c r="C8" s="96" t="s">
        <v>50</v>
      </c>
      <c r="D8" s="99" t="str">
        <f aca="false">IFERROR(INDEX(DATABASE!$N$4:$N$2003,MATCH(($K$5+0),DATABASE!$AE$4:$AE$2003,0))&amp;"","")</f>
        <v>Anggota</v>
      </c>
      <c r="F8" s="95"/>
      <c r="G8" s="96" t="s">
        <v>50</v>
      </c>
      <c r="H8" s="99" t="str">
        <f aca="false">IFERROR(INDEX(DATABASE!$N$4:$N$2003,MATCH(($K$5+1),DATABASE!$AE$4:$AE$2003,0))&amp;"","")</f>
        <v>Ketua Team</v>
      </c>
      <c r="J8" s="42" t="s">
        <v>272</v>
      </c>
      <c r="K8" s="67"/>
    </row>
    <row r="9" customFormat="false" ht="16.5" hidden="false" customHeight="true" outlineLevel="0" collapsed="false">
      <c r="B9" s="95"/>
      <c r="C9" s="96" t="s">
        <v>51</v>
      </c>
      <c r="D9" s="98" t="str">
        <f aca="false">IFERROR(INDEX(DATABASE!$O$4:$O$2003,MATCH(($K$5+0),DATABASE!$AE$4:$AE$2003,0))&amp;"","")</f>
        <v/>
      </c>
      <c r="F9" s="95"/>
      <c r="G9" s="96" t="s">
        <v>51</v>
      </c>
      <c r="H9" s="98" t="str">
        <f aca="false">IFERROR(INDEX(DATABASE!$O$4:$O$2003,MATCH(($K$5+1),DATABASE!$AE$4:$AE$2003,0))&amp;"","")</f>
        <v/>
      </c>
      <c r="J9" s="42" t="s">
        <v>294</v>
      </c>
      <c r="K9" s="68" t="n">
        <f aca="false">COUNT(DATABASE!$AE$4:$AE$2003)</f>
        <v>52</v>
      </c>
    </row>
    <row r="10" customFormat="false" ht="15" hidden="false" customHeight="false" outlineLevel="0" collapsed="false">
      <c r="B10" s="100" t="str">
        <f aca="false">"No. "&amp;($K$5+0)</f>
        <v>No. 1</v>
      </c>
      <c r="C10" s="100"/>
      <c r="D10" s="101" t="str">
        <f aca="false">id_periode</f>
        <v>PERIODE 2026 S/D 2034</v>
      </c>
      <c r="F10" s="100" t="str">
        <f aca="false">"No. "&amp;($K$5+1)</f>
        <v>No. 2</v>
      </c>
      <c r="G10" s="100"/>
      <c r="H10" s="101" t="str">
        <f aca="false">id_periode</f>
        <v>PERIODE 2026 S/D 2034</v>
      </c>
      <c r="J10" s="42" t="s">
        <v>295</v>
      </c>
      <c r="K10" s="102" t="str">
        <f aca="false">IF($K$5+8&gt;$K$9,"— sudah halaman terakhir —","isi "&amp;($K$5+8)&amp;" untuk 8 kartu berikutnya")</f>
        <v>isi 9 untuk 8 kartu berikutnya</v>
      </c>
    </row>
    <row r="12" customFormat="false" ht="19.5" hidden="false" customHeight="true" outlineLevel="0" collapsed="false">
      <c r="B12" s="69" t="str">
        <f aca="false">id_team&amp;" — "&amp;id_calon</f>
        <v>TEAM PEMENANGAN JF JILID 3 — JONI FAHAMSYAH</v>
      </c>
      <c r="C12" s="69"/>
      <c r="D12" s="69"/>
      <c r="F12" s="69" t="str">
        <f aca="false">id_team&amp;" — "&amp;id_calon</f>
        <v>TEAM PEMENANGAN JF JILID 3 — JONI FAHAMSYAH</v>
      </c>
      <c r="G12" s="69"/>
      <c r="H12" s="69"/>
      <c r="J12" s="30" t="s">
        <v>34</v>
      </c>
    </row>
    <row r="13" customFormat="false" ht="16.5" hidden="false" customHeight="true" outlineLevel="0" collapsed="false">
      <c r="B13" s="95"/>
      <c r="C13" s="96" t="s">
        <v>291</v>
      </c>
      <c r="D13" s="97" t="str">
        <f aca="false">IFERROR(INDEX(DATABASE!$B$4:$B$2003,MATCH(($K$5+2),DATABASE!$AE$4:$AE$2003,0))&amp;"","")</f>
        <v>ALI IBRO MALISI</v>
      </c>
      <c r="F13" s="95"/>
      <c r="G13" s="96" t="s">
        <v>291</v>
      </c>
      <c r="H13" s="97" t="str">
        <f aca="false">IFERROR(INDEX(DATABASE!$B$4:$B$2003,MATCH(($K$5+3),DATABASE!$AE$4:$AE$2003,0))&amp;"","")</f>
        <v>MURDIN (BENGKUNG)</v>
      </c>
      <c r="J13" s="31" t="s">
        <v>296</v>
      </c>
    </row>
    <row r="14" customFormat="false" ht="16.5" hidden="false" customHeight="true" outlineLevel="0" collapsed="false">
      <c r="B14" s="95"/>
      <c r="C14" s="96" t="s">
        <v>217</v>
      </c>
      <c r="D14" s="98" t="str">
        <f aca="false">IFERROR(INDEX(DATABASE!$C$4:$C$2003,MATCH(($K$5+2),DATABASE!$AE$4:$AE$2003,0))&amp;"","")</f>
        <v/>
      </c>
      <c r="F14" s="95"/>
      <c r="G14" s="96" t="s">
        <v>217</v>
      </c>
      <c r="H14" s="98" t="str">
        <f aca="false">IFERROR(INDEX(DATABASE!$C$4:$C$2003,MATCH(($K$5+3),DATABASE!$AE$4:$AE$2003,0))&amp;"","")</f>
        <v/>
      </c>
    </row>
    <row r="15" customFormat="false" ht="16.5" hidden="false" customHeight="true" outlineLevel="0" collapsed="false">
      <c r="B15" s="95"/>
      <c r="C15" s="96" t="s">
        <v>45</v>
      </c>
      <c r="D15" s="99" t="str">
        <f aca="false">IFERROR(INDEX(DATABASE!$M$4:$M$2003,MATCH(($K$5+2),DATABASE!$AE$4:$AE$2003,0))&amp;"","")</f>
        <v>Kp. Tenjolaut</v>
      </c>
      <c r="F15" s="95"/>
      <c r="G15" s="96" t="s">
        <v>45</v>
      </c>
      <c r="H15" s="99" t="str">
        <f aca="false">IFERROR(INDEX(DATABASE!$M$4:$M$2003,MATCH(($K$5+3),DATABASE!$AE$4:$AE$2003,0))&amp;"","")</f>
        <v>Kp. Gamprit</v>
      </c>
    </row>
    <row r="16" customFormat="false" ht="16.5" hidden="false" customHeight="true" outlineLevel="0" collapsed="false">
      <c r="B16" s="95"/>
      <c r="C16" s="96" t="s">
        <v>50</v>
      </c>
      <c r="D16" s="99" t="str">
        <f aca="false">IFERROR(INDEX(DATABASE!$N$4:$N$2003,MATCH(($K$5+2),DATABASE!$AE$4:$AE$2003,0))&amp;"","")</f>
        <v>Anggota</v>
      </c>
      <c r="F16" s="95"/>
      <c r="G16" s="96" t="s">
        <v>50</v>
      </c>
      <c r="H16" s="99" t="str">
        <f aca="false">IFERROR(INDEX(DATABASE!$N$4:$N$2003,MATCH(($K$5+3),DATABASE!$AE$4:$AE$2003,0))&amp;"","")</f>
        <v>Anggota</v>
      </c>
    </row>
    <row r="17" customFormat="false" ht="16.5" hidden="false" customHeight="true" outlineLevel="0" collapsed="false">
      <c r="B17" s="95"/>
      <c r="C17" s="96" t="s">
        <v>51</v>
      </c>
      <c r="D17" s="98" t="str">
        <f aca="false">IFERROR(INDEX(DATABASE!$O$4:$O$2003,MATCH(($K$5+2),DATABASE!$AE$4:$AE$2003,0))&amp;"","")</f>
        <v/>
      </c>
      <c r="F17" s="95"/>
      <c r="G17" s="96" t="s">
        <v>51</v>
      </c>
      <c r="H17" s="98" t="str">
        <f aca="false">IFERROR(INDEX(DATABASE!$O$4:$O$2003,MATCH(($K$5+3),DATABASE!$AE$4:$AE$2003,0))&amp;"","")</f>
        <v/>
      </c>
    </row>
    <row r="18" customFormat="false" ht="15" hidden="false" customHeight="false" outlineLevel="0" collapsed="false">
      <c r="B18" s="100" t="str">
        <f aca="false">"No. "&amp;($K$5+2)</f>
        <v>No. 3</v>
      </c>
      <c r="C18" s="100"/>
      <c r="D18" s="101" t="str">
        <f aca="false">id_periode</f>
        <v>PERIODE 2026 S/D 2034</v>
      </c>
      <c r="F18" s="100" t="str">
        <f aca="false">"No. "&amp;($K$5+3)</f>
        <v>No. 4</v>
      </c>
      <c r="G18" s="100"/>
      <c r="H18" s="101" t="str">
        <f aca="false">id_periode</f>
        <v>PERIODE 2026 S/D 2034</v>
      </c>
    </row>
    <row r="20" customFormat="false" ht="19.5" hidden="false" customHeight="true" outlineLevel="0" collapsed="false">
      <c r="B20" s="69" t="str">
        <f aca="false">id_team&amp;" — "&amp;id_calon</f>
        <v>TEAM PEMENANGAN JF JILID 3 — JONI FAHAMSYAH</v>
      </c>
      <c r="C20" s="69"/>
      <c r="D20" s="69"/>
      <c r="F20" s="69" t="str">
        <f aca="false">id_team&amp;" — "&amp;id_calon</f>
        <v>TEAM PEMENANGAN JF JILID 3 — JONI FAHAMSYAH</v>
      </c>
      <c r="G20" s="69"/>
      <c r="H20" s="69"/>
    </row>
    <row r="21" customFormat="false" ht="16.5" hidden="false" customHeight="true" outlineLevel="0" collapsed="false">
      <c r="B21" s="95"/>
      <c r="C21" s="96" t="s">
        <v>291</v>
      </c>
      <c r="D21" s="97" t="str">
        <f aca="false">IFERROR(INDEX(DATABASE!$B$4:$B$2003,MATCH(($K$5+4),DATABASE!$AE$4:$AE$2003,0))&amp;"","")</f>
        <v>RUSTADI</v>
      </c>
      <c r="F21" s="95"/>
      <c r="G21" s="96" t="s">
        <v>291</v>
      </c>
      <c r="H21" s="97" t="str">
        <f aca="false">IFERROR(INDEX(DATABASE!$B$4:$B$2003,MATCH(($K$5+5),DATABASE!$AE$4:$AE$2003,0))&amp;"","")</f>
        <v>ABDUL MANAN</v>
      </c>
    </row>
    <row r="22" customFormat="false" ht="16.5" hidden="false" customHeight="true" outlineLevel="0" collapsed="false">
      <c r="B22" s="95"/>
      <c r="C22" s="96" t="s">
        <v>217</v>
      </c>
      <c r="D22" s="98" t="str">
        <f aca="false">IFERROR(INDEX(DATABASE!$C$4:$C$2003,MATCH(($K$5+4),DATABASE!$AE$4:$AE$2003,0))&amp;"","")</f>
        <v/>
      </c>
      <c r="F22" s="95"/>
      <c r="G22" s="96" t="s">
        <v>217</v>
      </c>
      <c r="H22" s="98" t="str">
        <f aca="false">IFERROR(INDEX(DATABASE!$C$4:$C$2003,MATCH(($K$5+5),DATABASE!$AE$4:$AE$2003,0))&amp;"","")</f>
        <v/>
      </c>
    </row>
    <row r="23" customFormat="false" ht="16.5" hidden="false" customHeight="true" outlineLevel="0" collapsed="false">
      <c r="B23" s="95"/>
      <c r="C23" s="96" t="s">
        <v>45</v>
      </c>
      <c r="D23" s="99" t="str">
        <f aca="false">IFERROR(INDEX(DATABASE!$M$4:$M$2003,MATCH(($K$5+4),DATABASE!$AE$4:$AE$2003,0))&amp;"","")</f>
        <v>Kp. Wangkal</v>
      </c>
      <c r="F23" s="95"/>
      <c r="G23" s="96" t="s">
        <v>45</v>
      </c>
      <c r="H23" s="99" t="str">
        <f aca="false">IFERROR(INDEX(DATABASE!$M$4:$M$2003,MATCH(($K$5+5),DATABASE!$AE$4:$AE$2003,0))&amp;"","")</f>
        <v>Kp. Kuda Kuda</v>
      </c>
    </row>
    <row r="24" customFormat="false" ht="16.5" hidden="false" customHeight="true" outlineLevel="0" collapsed="false">
      <c r="B24" s="95"/>
      <c r="C24" s="96" t="s">
        <v>50</v>
      </c>
      <c r="D24" s="99" t="str">
        <f aca="false">IFERROR(INDEX(DATABASE!$N$4:$N$2003,MATCH(($K$5+4),DATABASE!$AE$4:$AE$2003,0))&amp;"","")</f>
        <v>Anggota</v>
      </c>
      <c r="F24" s="95"/>
      <c r="G24" s="96" t="s">
        <v>50</v>
      </c>
      <c r="H24" s="99" t="str">
        <f aca="false">IFERROR(INDEX(DATABASE!$N$4:$N$2003,MATCH(($K$5+5),DATABASE!$AE$4:$AE$2003,0))&amp;"","")</f>
        <v>Anggota</v>
      </c>
    </row>
    <row r="25" customFormat="false" ht="16.5" hidden="false" customHeight="true" outlineLevel="0" collapsed="false">
      <c r="B25" s="95"/>
      <c r="C25" s="96" t="s">
        <v>51</v>
      </c>
      <c r="D25" s="98" t="str">
        <f aca="false">IFERROR(INDEX(DATABASE!$O$4:$O$2003,MATCH(($K$5+4),DATABASE!$AE$4:$AE$2003,0))&amp;"","")</f>
        <v/>
      </c>
      <c r="F25" s="95"/>
      <c r="G25" s="96" t="s">
        <v>51</v>
      </c>
      <c r="H25" s="98" t="str">
        <f aca="false">IFERROR(INDEX(DATABASE!$O$4:$O$2003,MATCH(($K$5+5),DATABASE!$AE$4:$AE$2003,0))&amp;"","")</f>
        <v/>
      </c>
    </row>
    <row r="26" customFormat="false" ht="15" hidden="false" customHeight="false" outlineLevel="0" collapsed="false">
      <c r="B26" s="100" t="str">
        <f aca="false">"No. "&amp;($K$5+4)</f>
        <v>No. 5</v>
      </c>
      <c r="C26" s="100"/>
      <c r="D26" s="101" t="str">
        <f aca="false">id_periode</f>
        <v>PERIODE 2026 S/D 2034</v>
      </c>
      <c r="F26" s="100" t="str">
        <f aca="false">"No. "&amp;($K$5+5)</f>
        <v>No. 6</v>
      </c>
      <c r="G26" s="100"/>
      <c r="H26" s="101" t="str">
        <f aca="false">id_periode</f>
        <v>PERIODE 2026 S/D 2034</v>
      </c>
    </row>
    <row r="28" customFormat="false" ht="19.5" hidden="false" customHeight="true" outlineLevel="0" collapsed="false">
      <c r="B28" s="69" t="str">
        <f aca="false">id_team&amp;" — "&amp;id_calon</f>
        <v>TEAM PEMENANGAN JF JILID 3 — JONI FAHAMSYAH</v>
      </c>
      <c r="C28" s="69"/>
      <c r="D28" s="69"/>
      <c r="F28" s="69" t="str">
        <f aca="false">id_team&amp;" — "&amp;id_calon</f>
        <v>TEAM PEMENANGAN JF JILID 3 — JONI FAHAMSYAH</v>
      </c>
      <c r="G28" s="69"/>
      <c r="H28" s="69"/>
    </row>
    <row r="29" customFormat="false" ht="16.5" hidden="false" customHeight="true" outlineLevel="0" collapsed="false">
      <c r="B29" s="95"/>
      <c r="C29" s="96" t="s">
        <v>291</v>
      </c>
      <c r="D29" s="97" t="str">
        <f aca="false">IFERROR(INDEX(DATABASE!$B$4:$B$2003,MATCH(($K$5+6),DATABASE!$AE$4:$AE$2003,0))&amp;"","")</f>
        <v>IJAH</v>
      </c>
      <c r="F29" s="95"/>
      <c r="G29" s="96" t="s">
        <v>291</v>
      </c>
      <c r="H29" s="97" t="str">
        <f aca="false">IFERROR(INDEX(DATABASE!$B$4:$B$2003,MATCH(($K$5+7),DATABASE!$AE$4:$AE$2003,0))&amp;"","")</f>
        <v>JEBAG</v>
      </c>
    </row>
    <row r="30" customFormat="false" ht="16.5" hidden="false" customHeight="true" outlineLevel="0" collapsed="false">
      <c r="B30" s="95"/>
      <c r="C30" s="96" t="s">
        <v>217</v>
      </c>
      <c r="D30" s="98" t="str">
        <f aca="false">IFERROR(INDEX(DATABASE!$C$4:$C$2003,MATCH(($K$5+6),DATABASE!$AE$4:$AE$2003,0))&amp;"","")</f>
        <v/>
      </c>
      <c r="F30" s="95"/>
      <c r="G30" s="96" t="s">
        <v>217</v>
      </c>
      <c r="H30" s="98" t="str">
        <f aca="false">IFERROR(INDEX(DATABASE!$C$4:$C$2003,MATCH(($K$5+7),DATABASE!$AE$4:$AE$2003,0))&amp;"","")</f>
        <v/>
      </c>
    </row>
    <row r="31" customFormat="false" ht="16.5" hidden="false" customHeight="true" outlineLevel="0" collapsed="false">
      <c r="B31" s="95"/>
      <c r="C31" s="96" t="s">
        <v>45</v>
      </c>
      <c r="D31" s="99" t="str">
        <f aca="false">IFERROR(INDEX(DATABASE!$M$4:$M$2003,MATCH(($K$5+6),DATABASE!$AE$4:$AE$2003,0))&amp;"","")</f>
        <v>Kp. Putri Melintang</v>
      </c>
      <c r="F31" s="95"/>
      <c r="G31" s="96" t="s">
        <v>45</v>
      </c>
      <c r="H31" s="99" t="str">
        <f aca="false">IFERROR(INDEX(DATABASE!$M$4:$M$2003,MATCH(($K$5+7),DATABASE!$AE$4:$AE$2003,0))&amp;"","")</f>
        <v>Kp. Kuda Kuda - RT 001/003</v>
      </c>
    </row>
    <row r="32" customFormat="false" ht="16.5" hidden="false" customHeight="true" outlineLevel="0" collapsed="false">
      <c r="B32" s="95"/>
      <c r="C32" s="96" t="s">
        <v>50</v>
      </c>
      <c r="D32" s="99" t="str">
        <f aca="false">IFERROR(INDEX(DATABASE!$N$4:$N$2003,MATCH(($K$5+6),DATABASE!$AE$4:$AE$2003,0))&amp;"","")</f>
        <v>Anggota</v>
      </c>
      <c r="F32" s="95"/>
      <c r="G32" s="96" t="s">
        <v>50</v>
      </c>
      <c r="H32" s="99" t="str">
        <f aca="false">IFERROR(INDEX(DATABASE!$N$4:$N$2003,MATCH(($K$5+7),DATABASE!$AE$4:$AE$2003,0))&amp;"","")</f>
        <v>Anggota</v>
      </c>
    </row>
    <row r="33" customFormat="false" ht="16.5" hidden="false" customHeight="true" outlineLevel="0" collapsed="false">
      <c r="B33" s="95"/>
      <c r="C33" s="96" t="s">
        <v>51</v>
      </c>
      <c r="D33" s="98" t="str">
        <f aca="false">IFERROR(INDEX(DATABASE!$O$4:$O$2003,MATCH(($K$5+6),DATABASE!$AE$4:$AE$2003,0))&amp;"","")</f>
        <v/>
      </c>
      <c r="F33" s="95"/>
      <c r="G33" s="96" t="s">
        <v>51</v>
      </c>
      <c r="H33" s="98" t="str">
        <f aca="false">IFERROR(INDEX(DATABASE!$O$4:$O$2003,MATCH(($K$5+7),DATABASE!$AE$4:$AE$2003,0))&amp;"","")</f>
        <v/>
      </c>
    </row>
    <row r="34" customFormat="false" ht="15" hidden="false" customHeight="false" outlineLevel="0" collapsed="false">
      <c r="B34" s="100" t="str">
        <f aca="false">"No. "&amp;($K$5+6)</f>
        <v>No. 7</v>
      </c>
      <c r="C34" s="100"/>
      <c r="D34" s="101" t="str">
        <f aca="false">id_periode</f>
        <v>PERIODE 2026 S/D 2034</v>
      </c>
      <c r="F34" s="100" t="str">
        <f aca="false">"No. "&amp;($K$5+7)</f>
        <v>No. 8</v>
      </c>
      <c r="G34" s="100"/>
      <c r="H34" s="101" t="str">
        <f aca="false">id_periode</f>
        <v>PERIODE 2026 S/D 2034</v>
      </c>
    </row>
    <row r="36" customFormat="false" ht="15" hidden="false" customHeight="false" outlineLevel="0" collapsed="false">
      <c r="B36" s="27" t="s">
        <v>297</v>
      </c>
      <c r="C36" s="27"/>
      <c r="D36" s="27"/>
      <c r="E36" s="27"/>
      <c r="F36" s="27"/>
      <c r="G36" s="27"/>
      <c r="H36" s="27"/>
    </row>
  </sheetData>
  <sheetProtection sheet="true" formatCells="false" formatColumns="false" formatRows="false" sort="false" autoFilter="false"/>
  <mergeCells count="27">
    <mergeCell ref="A1:H1"/>
    <mergeCell ref="B4:D4"/>
    <mergeCell ref="F4:H4"/>
    <mergeCell ref="J4:K4"/>
    <mergeCell ref="B5:B9"/>
    <mergeCell ref="F5:F9"/>
    <mergeCell ref="B10:C10"/>
    <mergeCell ref="F10:G10"/>
    <mergeCell ref="B12:D12"/>
    <mergeCell ref="F12:H12"/>
    <mergeCell ref="B13:B17"/>
    <mergeCell ref="F13:F17"/>
    <mergeCell ref="B18:C18"/>
    <mergeCell ref="F18:G18"/>
    <mergeCell ref="B20:D20"/>
    <mergeCell ref="F20:H20"/>
    <mergeCell ref="B21:B25"/>
    <mergeCell ref="F21:F25"/>
    <mergeCell ref="B26:C26"/>
    <mergeCell ref="F26:G26"/>
    <mergeCell ref="B28:D28"/>
    <mergeCell ref="F28:H28"/>
    <mergeCell ref="B29:B33"/>
    <mergeCell ref="F29:F33"/>
    <mergeCell ref="B34:C34"/>
    <mergeCell ref="F34:G34"/>
    <mergeCell ref="B36:H36"/>
  </mergeCells>
  <dataValidations count="4">
    <dataValidation allowBlank="true" errorStyle="stop" operator="between" showDropDown="false" showErrorMessage="false" showInputMessage="false" sqref="K6" type="list">
      <formula1>daftar_kampung</formula1>
      <formula2>0</formula2>
    </dataValidation>
    <dataValidation allowBlank="true" errorStyle="stop" operator="between" showDropDown="false" showErrorMessage="false" showInputMessage="false" sqref="K7" type="list">
      <formula1>daftar_rt</formula1>
      <formula2>0</formula2>
    </dataValidation>
    <dataValidation allowBlank="true" errorStyle="stop" operator="between" showDropDown="false" showErrorMessage="false" showInputMessage="false" sqref="K8" type="list">
      <formula1>daftar_tps</formula1>
      <formula2>0</formula2>
    </dataValidation>
    <dataValidation allowBlank="false" error="Isi angka 1 atau lebih." errorStyle="warning" errorTitle="Nomor awal" operator="greaterThanOrEqual" showDropDown="false" showErrorMessage="true" showInputMessage="false" sqref="K5" type="whole">
      <formula1>1</formula1>
      <formula2>0</formula2>
    </dataValidation>
  </dataValidations>
  <hyperlinks>
    <hyperlink ref="A2" location="MENU!A1" display="◀  MENU"/>
    <hyperlink ref="J12" location="MENU!A1" display="◀  MENU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B7A"/>
    <pageSetUpPr fitToPage="true"/>
  </sheetPr>
  <dimension ref="A2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3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true" outlineLevel="0" max="10" min="10" style="0" width="3"/>
  </cols>
  <sheetData>
    <row r="2" customFormat="false" ht="19.7" hidden="false" customHeight="false" outlineLevel="0" collapsed="false">
      <c r="A2" s="79" t="s">
        <v>298</v>
      </c>
      <c r="B2" s="79"/>
      <c r="C2" s="79"/>
      <c r="D2" s="79"/>
      <c r="E2" s="79"/>
    </row>
    <row r="3" customFormat="false" ht="15" hidden="false" customHeight="false" outlineLevel="0" collapsed="false">
      <c r="A3" s="84" t="str">
        <f aca="false">id_team&amp;"  —  "&amp;id_calon</f>
        <v>TEAM PEMENANGAN JF JILID 3  —  JONI FAHAMSYAH</v>
      </c>
      <c r="B3" s="84"/>
      <c r="C3" s="84"/>
      <c r="D3" s="84"/>
      <c r="E3" s="84"/>
    </row>
    <row r="4" customFormat="false" ht="15" hidden="false" customHeight="false" outlineLevel="0" collapsed="false">
      <c r="A4" s="82" t="str">
        <f aca="false">"DESA "&amp;id_desa</f>
        <v>DESA SUKAKARYA</v>
      </c>
      <c r="B4" s="82"/>
      <c r="C4" s="82"/>
      <c r="D4" s="82"/>
      <c r="E4" s="82"/>
    </row>
    <row r="5" customFormat="false" ht="15" hidden="false" customHeight="false" outlineLevel="0" collapsed="false">
      <c r="A5" s="83"/>
      <c r="B5" s="83"/>
      <c r="C5" s="83"/>
      <c r="D5" s="83"/>
      <c r="E5" s="83"/>
    </row>
    <row r="6" customFormat="false" ht="15" hidden="false" customHeight="false" outlineLevel="0" collapsed="false">
      <c r="G6" s="85" t="s">
        <v>290</v>
      </c>
      <c r="H6" s="85"/>
    </row>
    <row r="7" customFormat="false" ht="15" hidden="false" customHeight="false" outlineLevel="0" collapsed="false">
      <c r="A7" s="103" t="s">
        <v>299</v>
      </c>
      <c r="B7" s="103"/>
      <c r="C7" s="104" t="s">
        <v>269</v>
      </c>
      <c r="D7" s="28" t="str">
        <f aca="false">IF($H$7="","......................................",$H$7)</f>
        <v>......................................</v>
      </c>
      <c r="E7" s="28"/>
      <c r="G7" s="42" t="s">
        <v>300</v>
      </c>
      <c r="H7" s="105"/>
    </row>
    <row r="8" customFormat="false" ht="15" hidden="false" customHeight="false" outlineLevel="0" collapsed="false">
      <c r="A8" s="103" t="s">
        <v>301</v>
      </c>
      <c r="B8" s="103"/>
      <c r="C8" s="104" t="s">
        <v>269</v>
      </c>
      <c r="D8" s="28" t="str">
        <f aca="false">IF($H$8="","......................................",$H$8)</f>
        <v>......................................</v>
      </c>
      <c r="E8" s="28"/>
      <c r="G8" s="42" t="s">
        <v>302</v>
      </c>
      <c r="H8" s="105"/>
    </row>
    <row r="9" customFormat="false" ht="15" hidden="false" customHeight="false" outlineLevel="0" collapsed="false">
      <c r="A9" s="103" t="s">
        <v>303</v>
      </c>
      <c r="B9" s="103"/>
      <c r="C9" s="104" t="s">
        <v>269</v>
      </c>
      <c r="D9" s="28" t="str">
        <f aca="false">IF($H$9="","......................................",$H$9)</f>
        <v>......................................</v>
      </c>
      <c r="E9" s="28"/>
      <c r="G9" s="42" t="s">
        <v>304</v>
      </c>
      <c r="H9" s="105"/>
    </row>
    <row r="10" customFormat="false" ht="15" hidden="false" customHeight="false" outlineLevel="0" collapsed="false">
      <c r="A10" s="103" t="s">
        <v>268</v>
      </c>
      <c r="B10" s="103"/>
      <c r="C10" s="104" t="s">
        <v>269</v>
      </c>
      <c r="D10" s="28" t="str">
        <f aca="false">IF(COUNTA($H$10:$H$12)=0,"SELURUH ANGGOTA",MID(IF($H$10="",""," • "&amp;$H$10)&amp;IF($H$11="",""," • RT "&amp;$H$11)&amp;IF($H$12="",""," • TPS "&amp;$H$12),4,200))</f>
        <v>SELURUH ANGGOTA</v>
      </c>
      <c r="E10" s="28"/>
      <c r="G10" s="42" t="s">
        <v>293</v>
      </c>
      <c r="H10" s="105"/>
    </row>
    <row r="11" customFormat="false" ht="15" hidden="false" customHeight="false" outlineLevel="0" collapsed="false">
      <c r="A11" s="103" t="s">
        <v>25</v>
      </c>
      <c r="B11" s="103"/>
      <c r="C11" s="104" t="s">
        <v>269</v>
      </c>
      <c r="D11" s="28" t="str">
        <f aca="false">$H$14&amp;" orang"&amp;IF($H$15&gt;1,"     (halaman "&amp;$H$13&amp;" dari "&amp;$H$15&amp;")","")</f>
        <v>52 orang     (halaman 1 dari 3)</v>
      </c>
      <c r="E11" s="28"/>
      <c r="G11" s="42" t="s">
        <v>271</v>
      </c>
      <c r="H11" s="105"/>
    </row>
    <row r="12" customFormat="false" ht="15" hidden="false" customHeight="false" outlineLevel="0" collapsed="false">
      <c r="G12" s="42" t="s">
        <v>272</v>
      </c>
      <c r="H12" s="105"/>
    </row>
    <row r="13" customFormat="false" ht="21.75" hidden="false" customHeight="true" outlineLevel="0" collapsed="false">
      <c r="A13" s="17" t="s">
        <v>38</v>
      </c>
      <c r="B13" s="17" t="s">
        <v>39</v>
      </c>
      <c r="C13" s="17" t="s">
        <v>50</v>
      </c>
      <c r="D13" s="17" t="s">
        <v>51</v>
      </c>
      <c r="E13" s="17" t="s">
        <v>275</v>
      </c>
      <c r="G13" s="42" t="s">
        <v>278</v>
      </c>
      <c r="H13" s="92" t="n">
        <v>1</v>
      </c>
    </row>
    <row r="14" customFormat="false" ht="21.75" hidden="false" customHeight="true" outlineLevel="0" collapsed="false">
      <c r="A14" s="90" t="n">
        <f aca="false">IF($J14="","",(($H$13-1)*25+1))</f>
        <v>1</v>
      </c>
      <c r="B14" s="36" t="str">
        <f aca="false">IF($J14="","",INDEX(DATABASE!$B$4:$B$2003,$J14)&amp;"")</f>
        <v>GURU BADRI</v>
      </c>
      <c r="C14" s="36" t="str">
        <f aca="false">IF($J14="","",INDEX(DATABASE!$N$4:$N$2003,$J14)&amp;"")</f>
        <v>Anggota</v>
      </c>
      <c r="D14" s="39" t="str">
        <f aca="false">IF($J14="","",INDEX(DATABASE!$O$4:$O$2003,$J14)&amp;"")</f>
        <v/>
      </c>
      <c r="E14" s="91" t="str">
        <f aca="false">IF($J14="","",$A14&amp;".")</f>
        <v>1.</v>
      </c>
      <c r="G14" s="42" t="s">
        <v>305</v>
      </c>
      <c r="H14" s="68" t="n">
        <f aca="false">COUNT(DATABASE!$AD$4:$AD$2003)</f>
        <v>52</v>
      </c>
      <c r="J14" s="52" t="n">
        <f aca="false">IFERROR(MATCH((($H$13-1)*25+1),DATABASE!$AD$4:$AD$2003,0),"")</f>
        <v>1</v>
      </c>
    </row>
    <row r="15" customFormat="false" ht="21.75" hidden="false" customHeight="true" outlineLevel="0" collapsed="false">
      <c r="A15" s="90" t="n">
        <f aca="false">IF($J15="","",(($H$13-1)*25+2))</f>
        <v>2</v>
      </c>
      <c r="B15" s="36" t="str">
        <f aca="false">IF($J15="","",INDEX(DATABASE!$B$4:$B$2003,$J15)&amp;"")</f>
        <v>IDRUS KAMSENO</v>
      </c>
      <c r="C15" s="36" t="str">
        <f aca="false">IF($J15="","",INDEX(DATABASE!$N$4:$N$2003,$J15)&amp;"")</f>
        <v>Ketua Team</v>
      </c>
      <c r="D15" s="39" t="str">
        <f aca="false">IF($J15="","",INDEX(DATABASE!$O$4:$O$2003,$J15)&amp;"")</f>
        <v/>
      </c>
      <c r="E15" s="91" t="str">
        <f aca="false">IF($J15="","",$A15&amp;".")</f>
        <v>2.</v>
      </c>
      <c r="G15" s="42" t="s">
        <v>280</v>
      </c>
      <c r="H15" s="93" t="n">
        <f aca="false">MAX(1,ROUNDUP($H$14/25,0))</f>
        <v>3</v>
      </c>
      <c r="J15" s="52" t="n">
        <f aca="false">IFERROR(MATCH((($H$13-1)*25+2),DATABASE!$AD$4:$AD$2003,0),"")</f>
        <v>2</v>
      </c>
    </row>
    <row r="16" customFormat="false" ht="21.75" hidden="false" customHeight="true" outlineLevel="0" collapsed="false">
      <c r="A16" s="90" t="n">
        <f aca="false">IF($J16="","",(($H$13-1)*25+3))</f>
        <v>3</v>
      </c>
      <c r="B16" s="36" t="str">
        <f aca="false">IF($J16="","",INDEX(DATABASE!$B$4:$B$2003,$J16)&amp;"")</f>
        <v>ALI IBRO MALISI</v>
      </c>
      <c r="C16" s="36" t="str">
        <f aca="false">IF($J16="","",INDEX(DATABASE!$N$4:$N$2003,$J16)&amp;"")</f>
        <v>Anggota</v>
      </c>
      <c r="D16" s="39" t="str">
        <f aca="false">IF($J16="","",INDEX(DATABASE!$O$4:$O$2003,$J16)&amp;"")</f>
        <v/>
      </c>
      <c r="E16" s="91" t="str">
        <f aca="false">IF($J16="","",$A16&amp;".")</f>
        <v>3.</v>
      </c>
      <c r="J16" s="52" t="n">
        <f aca="false">IFERROR(MATCH((($H$13-1)*25+3),DATABASE!$AD$4:$AD$2003,0),"")</f>
        <v>3</v>
      </c>
    </row>
    <row r="17" customFormat="false" ht="21.75" hidden="false" customHeight="true" outlineLevel="0" collapsed="false">
      <c r="A17" s="90" t="n">
        <f aca="false">IF($J17="","",(($H$13-1)*25+4))</f>
        <v>4</v>
      </c>
      <c r="B17" s="36" t="str">
        <f aca="false">IF($J17="","",INDEX(DATABASE!$B$4:$B$2003,$J17)&amp;"")</f>
        <v>MURDIN (BENGKUNG)</v>
      </c>
      <c r="C17" s="36" t="str">
        <f aca="false">IF($J17="","",INDEX(DATABASE!$N$4:$N$2003,$J17)&amp;"")</f>
        <v>Anggota</v>
      </c>
      <c r="D17" s="39" t="str">
        <f aca="false">IF($J17="","",INDEX(DATABASE!$O$4:$O$2003,$J17)&amp;"")</f>
        <v/>
      </c>
      <c r="E17" s="91" t="str">
        <f aca="false">IF($J17="","",$A17&amp;".")</f>
        <v>4.</v>
      </c>
      <c r="G17" s="30" t="s">
        <v>34</v>
      </c>
      <c r="J17" s="52" t="n">
        <f aca="false">IFERROR(MATCH((($H$13-1)*25+4),DATABASE!$AD$4:$AD$2003,0),"")</f>
        <v>4</v>
      </c>
    </row>
    <row r="18" customFormat="false" ht="21.75" hidden="false" customHeight="true" outlineLevel="0" collapsed="false">
      <c r="A18" s="90" t="n">
        <f aca="false">IF($J18="","",(($H$13-1)*25+5))</f>
        <v>5</v>
      </c>
      <c r="B18" s="36" t="str">
        <f aca="false">IF($J18="","",INDEX(DATABASE!$B$4:$B$2003,$J18)&amp;"")</f>
        <v>RUSTADI</v>
      </c>
      <c r="C18" s="36" t="str">
        <f aca="false">IF($J18="","",INDEX(DATABASE!$N$4:$N$2003,$J18)&amp;"")</f>
        <v>Anggota</v>
      </c>
      <c r="D18" s="39" t="str">
        <f aca="false">IF($J18="","",INDEX(DATABASE!$O$4:$O$2003,$J18)&amp;"")</f>
        <v/>
      </c>
      <c r="E18" s="91" t="str">
        <f aca="false">IF($J18="","",$A18&amp;".")</f>
        <v>5.</v>
      </c>
      <c r="G18" s="31" t="s">
        <v>306</v>
      </c>
      <c r="J18" s="52" t="n">
        <f aca="false">IFERROR(MATCH((($H$13-1)*25+5),DATABASE!$AD$4:$AD$2003,0),"")</f>
        <v>5</v>
      </c>
    </row>
    <row r="19" customFormat="false" ht="21.75" hidden="false" customHeight="true" outlineLevel="0" collapsed="false">
      <c r="A19" s="90" t="n">
        <f aca="false">IF($J19="","",(($H$13-1)*25+6))</f>
        <v>6</v>
      </c>
      <c r="B19" s="36" t="str">
        <f aca="false">IF($J19="","",INDEX(DATABASE!$B$4:$B$2003,$J19)&amp;"")</f>
        <v>ABDUL MANAN</v>
      </c>
      <c r="C19" s="36" t="str">
        <f aca="false">IF($J19="","",INDEX(DATABASE!$N$4:$N$2003,$J19)&amp;"")</f>
        <v>Anggota</v>
      </c>
      <c r="D19" s="39" t="str">
        <f aca="false">IF($J19="","",INDEX(DATABASE!$O$4:$O$2003,$J19)&amp;"")</f>
        <v/>
      </c>
      <c r="E19" s="91" t="str">
        <f aca="false">IF($J19="","",$A19&amp;".")</f>
        <v>6.</v>
      </c>
      <c r="G19" s="31" t="s">
        <v>307</v>
      </c>
      <c r="J19" s="52" t="n">
        <f aca="false">IFERROR(MATCH((($H$13-1)*25+6),DATABASE!$AD$4:$AD$2003,0),"")</f>
        <v>6</v>
      </c>
    </row>
    <row r="20" customFormat="false" ht="21.75" hidden="false" customHeight="true" outlineLevel="0" collapsed="false">
      <c r="A20" s="90" t="n">
        <f aca="false">IF($J20="","",(($H$13-1)*25+7))</f>
        <v>7</v>
      </c>
      <c r="B20" s="36" t="str">
        <f aca="false">IF($J20="","",INDEX(DATABASE!$B$4:$B$2003,$J20)&amp;"")</f>
        <v>IJAH</v>
      </c>
      <c r="C20" s="36" t="str">
        <f aca="false">IF($J20="","",INDEX(DATABASE!$N$4:$N$2003,$J20)&amp;"")</f>
        <v>Anggota</v>
      </c>
      <c r="D20" s="39" t="str">
        <f aca="false">IF($J20="","",INDEX(DATABASE!$O$4:$O$2003,$J20)&amp;"")</f>
        <v/>
      </c>
      <c r="E20" s="91" t="str">
        <f aca="false">IF($J20="","",$A20&amp;".")</f>
        <v>7.</v>
      </c>
      <c r="G20" s="31" t="s">
        <v>308</v>
      </c>
      <c r="J20" s="52" t="n">
        <f aca="false">IFERROR(MATCH((($H$13-1)*25+7),DATABASE!$AD$4:$AD$2003,0),"")</f>
        <v>7</v>
      </c>
    </row>
    <row r="21" customFormat="false" ht="21.75" hidden="false" customHeight="true" outlineLevel="0" collapsed="false">
      <c r="A21" s="90" t="n">
        <f aca="false">IF($J21="","",(($H$13-1)*25+8))</f>
        <v>8</v>
      </c>
      <c r="B21" s="36" t="str">
        <f aca="false">IF($J21="","",INDEX(DATABASE!$B$4:$B$2003,$J21)&amp;"")</f>
        <v>JEBAG</v>
      </c>
      <c r="C21" s="36" t="str">
        <f aca="false">IF($J21="","",INDEX(DATABASE!$N$4:$N$2003,$J21)&amp;"")</f>
        <v>Anggota</v>
      </c>
      <c r="D21" s="39" t="str">
        <f aca="false">IF($J21="","",INDEX(DATABASE!$O$4:$O$2003,$J21)&amp;"")</f>
        <v/>
      </c>
      <c r="E21" s="91" t="str">
        <f aca="false">IF($J21="","",$A21&amp;".")</f>
        <v>8.</v>
      </c>
      <c r="G21" s="31" t="s">
        <v>309</v>
      </c>
      <c r="J21" s="52" t="n">
        <f aca="false">IFERROR(MATCH((($H$13-1)*25+8),DATABASE!$AD$4:$AD$2003,0),"")</f>
        <v>8</v>
      </c>
    </row>
    <row r="22" customFormat="false" ht="21.75" hidden="false" customHeight="true" outlineLevel="0" collapsed="false">
      <c r="A22" s="90" t="n">
        <f aca="false">IF($J22="","",(($H$13-1)*25+9))</f>
        <v>9</v>
      </c>
      <c r="B22" s="36" t="str">
        <f aca="false">IF($J22="","",INDEX(DATABASE!$B$4:$B$2003,$J22)&amp;"")</f>
        <v>DONY</v>
      </c>
      <c r="C22" s="36" t="str">
        <f aca="false">IF($J22="","",INDEX(DATABASE!$N$4:$N$2003,$J22)&amp;"")</f>
        <v>Anggota</v>
      </c>
      <c r="D22" s="39" t="str">
        <f aca="false">IF($J22="","",INDEX(DATABASE!$O$4:$O$2003,$J22)&amp;"")</f>
        <v/>
      </c>
      <c r="E22" s="91" t="str">
        <f aca="false">IF($J22="","",$A22&amp;".")</f>
        <v>9.</v>
      </c>
      <c r="J22" s="52" t="n">
        <f aca="false">IFERROR(MATCH((($H$13-1)*25+9),DATABASE!$AD$4:$AD$2003,0),"")</f>
        <v>9</v>
      </c>
    </row>
    <row r="23" customFormat="false" ht="21.75" hidden="false" customHeight="true" outlineLevel="0" collapsed="false">
      <c r="A23" s="90" t="n">
        <f aca="false">IF($J23="","",(($H$13-1)*25+10))</f>
        <v>10</v>
      </c>
      <c r="B23" s="36" t="str">
        <f aca="false">IF($J23="","",INDEX(DATABASE!$B$4:$B$2003,$J23)&amp;"")</f>
        <v>WAWAN</v>
      </c>
      <c r="C23" s="36" t="str">
        <f aca="false">IF($J23="","",INDEX(DATABASE!$N$4:$N$2003,$J23)&amp;"")</f>
        <v>Anggota</v>
      </c>
      <c r="D23" s="39" t="str">
        <f aca="false">IF($J23="","",INDEX(DATABASE!$O$4:$O$2003,$J23)&amp;"")</f>
        <v/>
      </c>
      <c r="E23" s="91" t="str">
        <f aca="false">IF($J23="","",$A23&amp;".")</f>
        <v>10.</v>
      </c>
      <c r="J23" s="52" t="n">
        <f aca="false">IFERROR(MATCH((($H$13-1)*25+10),DATABASE!$AD$4:$AD$2003,0),"")</f>
        <v>10</v>
      </c>
    </row>
    <row r="24" customFormat="false" ht="21.75" hidden="false" customHeight="true" outlineLevel="0" collapsed="false">
      <c r="A24" s="90" t="n">
        <f aca="false">IF($J24="","",(($H$13-1)*25+11))</f>
        <v>11</v>
      </c>
      <c r="B24" s="36" t="str">
        <f aca="false">IF($J24="","",INDEX(DATABASE!$B$4:$B$2003,$J24)&amp;"")</f>
        <v>MAS DENI</v>
      </c>
      <c r="C24" s="36" t="str">
        <f aca="false">IF($J24="","",INDEX(DATABASE!$N$4:$N$2003,$J24)&amp;"")</f>
        <v>Anggota</v>
      </c>
      <c r="D24" s="39" t="str">
        <f aca="false">IF($J24="","",INDEX(DATABASE!$O$4:$O$2003,$J24)&amp;"")</f>
        <v/>
      </c>
      <c r="E24" s="91" t="str">
        <f aca="false">IF($J24="","",$A24&amp;".")</f>
        <v>11.</v>
      </c>
      <c r="J24" s="52" t="n">
        <f aca="false">IFERROR(MATCH((($H$13-1)*25+11),DATABASE!$AD$4:$AD$2003,0),"")</f>
        <v>11</v>
      </c>
    </row>
    <row r="25" customFormat="false" ht="21.75" hidden="false" customHeight="true" outlineLevel="0" collapsed="false">
      <c r="A25" s="90" t="n">
        <f aca="false">IF($J25="","",(($H$13-1)*25+12))</f>
        <v>12</v>
      </c>
      <c r="B25" s="36" t="str">
        <f aca="false">IF($J25="","",INDEX(DATABASE!$B$4:$B$2003,$J25)&amp;"")</f>
        <v>HARIS</v>
      </c>
      <c r="C25" s="36" t="str">
        <f aca="false">IF($J25="","",INDEX(DATABASE!$N$4:$N$2003,$J25)&amp;"")</f>
        <v>Anggota</v>
      </c>
      <c r="D25" s="39" t="str">
        <f aca="false">IF($J25="","",INDEX(DATABASE!$O$4:$O$2003,$J25)&amp;"")</f>
        <v/>
      </c>
      <c r="E25" s="91" t="str">
        <f aca="false">IF($J25="","",$A25&amp;".")</f>
        <v>12.</v>
      </c>
      <c r="J25" s="52" t="n">
        <f aca="false">IFERROR(MATCH((($H$13-1)*25+12),DATABASE!$AD$4:$AD$2003,0),"")</f>
        <v>12</v>
      </c>
    </row>
    <row r="26" customFormat="false" ht="21.75" hidden="false" customHeight="true" outlineLevel="0" collapsed="false">
      <c r="A26" s="90" t="n">
        <f aca="false">IF($J26="","",(($H$13-1)*25+13))</f>
        <v>13</v>
      </c>
      <c r="B26" s="36" t="str">
        <f aca="false">IF($J26="","",INDEX(DATABASE!$B$4:$B$2003,$J26)&amp;"")</f>
        <v>NELIH</v>
      </c>
      <c r="C26" s="36" t="str">
        <f aca="false">IF($J26="","",INDEX(DATABASE!$N$4:$N$2003,$J26)&amp;"")</f>
        <v>Anggota</v>
      </c>
      <c r="D26" s="39" t="str">
        <f aca="false">IF($J26="","",INDEX(DATABASE!$O$4:$O$2003,$J26)&amp;"")</f>
        <v/>
      </c>
      <c r="E26" s="91" t="str">
        <f aca="false">IF($J26="","",$A26&amp;".")</f>
        <v>13.</v>
      </c>
      <c r="J26" s="52" t="n">
        <f aca="false">IFERROR(MATCH((($H$13-1)*25+13),DATABASE!$AD$4:$AD$2003,0),"")</f>
        <v>13</v>
      </c>
    </row>
    <row r="27" customFormat="false" ht="21.75" hidden="false" customHeight="true" outlineLevel="0" collapsed="false">
      <c r="A27" s="90" t="n">
        <f aca="false">IF($J27="","",(($H$13-1)*25+14))</f>
        <v>14</v>
      </c>
      <c r="B27" s="36" t="str">
        <f aca="false">IF($J27="","",INDEX(DATABASE!$B$4:$B$2003,$J27)&amp;"")</f>
        <v>RUDI</v>
      </c>
      <c r="C27" s="36" t="str">
        <f aca="false">IF($J27="","",INDEX(DATABASE!$N$4:$N$2003,$J27)&amp;"")</f>
        <v>Anggota</v>
      </c>
      <c r="D27" s="39" t="str">
        <f aca="false">IF($J27="","",INDEX(DATABASE!$O$4:$O$2003,$J27)&amp;"")</f>
        <v/>
      </c>
      <c r="E27" s="91" t="str">
        <f aca="false">IF($J27="","",$A27&amp;".")</f>
        <v>14.</v>
      </c>
      <c r="J27" s="52" t="n">
        <f aca="false">IFERROR(MATCH((($H$13-1)*25+14),DATABASE!$AD$4:$AD$2003,0),"")</f>
        <v>14</v>
      </c>
    </row>
    <row r="28" customFormat="false" ht="21.75" hidden="false" customHeight="true" outlineLevel="0" collapsed="false">
      <c r="A28" s="90" t="n">
        <f aca="false">IF($J28="","",(($H$13-1)*25+15))</f>
        <v>15</v>
      </c>
      <c r="B28" s="36" t="str">
        <f aca="false">IF($J28="","",INDEX(DATABASE!$B$4:$B$2003,$J28)&amp;"")</f>
        <v>NIMAN</v>
      </c>
      <c r="C28" s="36" t="str">
        <f aca="false">IF($J28="","",INDEX(DATABASE!$N$4:$N$2003,$J28)&amp;"")</f>
        <v>Ketua RW</v>
      </c>
      <c r="D28" s="39" t="str">
        <f aca="false">IF($J28="","",INDEX(DATABASE!$O$4:$O$2003,$J28)&amp;"")</f>
        <v/>
      </c>
      <c r="E28" s="91" t="str">
        <f aca="false">IF($J28="","",$A28&amp;".")</f>
        <v>15.</v>
      </c>
      <c r="J28" s="52" t="n">
        <f aca="false">IFERROR(MATCH((($H$13-1)*25+15),DATABASE!$AD$4:$AD$2003,0),"")</f>
        <v>15</v>
      </c>
    </row>
    <row r="29" customFormat="false" ht="21.75" hidden="false" customHeight="true" outlineLevel="0" collapsed="false">
      <c r="A29" s="90" t="n">
        <f aca="false">IF($J29="","",(($H$13-1)*25+16))</f>
        <v>16</v>
      </c>
      <c r="B29" s="36" t="str">
        <f aca="false">IF($J29="","",INDEX(DATABASE!$B$4:$B$2003,$J29)&amp;"")</f>
        <v>RENALDI</v>
      </c>
      <c r="C29" s="36" t="str">
        <f aca="false">IF($J29="","",INDEX(DATABASE!$N$4:$N$2003,$J29)&amp;"")</f>
        <v>Anggota</v>
      </c>
      <c r="D29" s="39" t="str">
        <f aca="false">IF($J29="","",INDEX(DATABASE!$O$4:$O$2003,$J29)&amp;"")</f>
        <v/>
      </c>
      <c r="E29" s="91" t="str">
        <f aca="false">IF($J29="","",$A29&amp;".")</f>
        <v>16.</v>
      </c>
      <c r="J29" s="52" t="n">
        <f aca="false">IFERROR(MATCH((($H$13-1)*25+16),DATABASE!$AD$4:$AD$2003,0),"")</f>
        <v>16</v>
      </c>
    </row>
    <row r="30" customFormat="false" ht="21.75" hidden="false" customHeight="true" outlineLevel="0" collapsed="false">
      <c r="A30" s="90" t="n">
        <f aca="false">IF($J30="","",(($H$13-1)*25+17))</f>
        <v>17</v>
      </c>
      <c r="B30" s="36" t="str">
        <f aca="false">IF($J30="","",INDEX(DATABASE!$B$4:$B$2003,$J30)&amp;"")</f>
        <v>JAYA</v>
      </c>
      <c r="C30" s="36" t="str">
        <f aca="false">IF($J30="","",INDEX(DATABASE!$N$4:$N$2003,$J30)&amp;"")</f>
        <v>Anggota</v>
      </c>
      <c r="D30" s="39" t="str">
        <f aca="false">IF($J30="","",INDEX(DATABASE!$O$4:$O$2003,$J30)&amp;"")</f>
        <v/>
      </c>
      <c r="E30" s="91" t="str">
        <f aca="false">IF($J30="","",$A30&amp;".")</f>
        <v>17.</v>
      </c>
      <c r="J30" s="52" t="n">
        <f aca="false">IFERROR(MATCH((($H$13-1)*25+17),DATABASE!$AD$4:$AD$2003,0),"")</f>
        <v>17</v>
      </c>
    </row>
    <row r="31" customFormat="false" ht="21.75" hidden="false" customHeight="true" outlineLevel="0" collapsed="false">
      <c r="A31" s="90" t="n">
        <f aca="false">IF($J31="","",(($H$13-1)*25+18))</f>
        <v>18</v>
      </c>
      <c r="B31" s="36" t="str">
        <f aca="false">IF($J31="","",INDEX(DATABASE!$B$4:$B$2003,$J31)&amp;"")</f>
        <v>ADE RINO</v>
      </c>
      <c r="C31" s="36" t="str">
        <f aca="false">IF($J31="","",INDEX(DATABASE!$N$4:$N$2003,$J31)&amp;"")</f>
        <v>Anggota</v>
      </c>
      <c r="D31" s="39" t="str">
        <f aca="false">IF($J31="","",INDEX(DATABASE!$O$4:$O$2003,$J31)&amp;"")</f>
        <v/>
      </c>
      <c r="E31" s="91" t="str">
        <f aca="false">IF($J31="","",$A31&amp;".")</f>
        <v>18.</v>
      </c>
      <c r="J31" s="52" t="n">
        <f aca="false">IFERROR(MATCH((($H$13-1)*25+18),DATABASE!$AD$4:$AD$2003,0),"")</f>
        <v>18</v>
      </c>
    </row>
    <row r="32" customFormat="false" ht="21.75" hidden="false" customHeight="true" outlineLevel="0" collapsed="false">
      <c r="A32" s="90" t="n">
        <f aca="false">IF($J32="","",(($H$13-1)*25+19))</f>
        <v>19</v>
      </c>
      <c r="B32" s="36" t="str">
        <f aca="false">IF($J32="","",INDEX(DATABASE!$B$4:$B$2003,$J32)&amp;"")</f>
        <v>WINDA</v>
      </c>
      <c r="C32" s="36" t="str">
        <f aca="false">IF($J32="","",INDEX(DATABASE!$N$4:$N$2003,$J32)&amp;"")</f>
        <v>Anggota</v>
      </c>
      <c r="D32" s="39" t="str">
        <f aca="false">IF($J32="","",INDEX(DATABASE!$O$4:$O$2003,$J32)&amp;"")</f>
        <v/>
      </c>
      <c r="E32" s="91" t="str">
        <f aca="false">IF($J32="","",$A32&amp;".")</f>
        <v>19.</v>
      </c>
      <c r="J32" s="52" t="n">
        <f aca="false">IFERROR(MATCH((($H$13-1)*25+19),DATABASE!$AD$4:$AD$2003,0),"")</f>
        <v>19</v>
      </c>
    </row>
    <row r="33" customFormat="false" ht="21.75" hidden="false" customHeight="true" outlineLevel="0" collapsed="false">
      <c r="A33" s="90" t="n">
        <f aca="false">IF($J33="","",(($H$13-1)*25+20))</f>
        <v>20</v>
      </c>
      <c r="B33" s="36" t="str">
        <f aca="false">IF($J33="","",INDEX(DATABASE!$B$4:$B$2003,$J33)&amp;"")</f>
        <v>HERMAN BOLON</v>
      </c>
      <c r="C33" s="36" t="str">
        <f aca="false">IF($J33="","",INDEX(DATABASE!$N$4:$N$2003,$J33)&amp;"")</f>
        <v>Anggota</v>
      </c>
      <c r="D33" s="39" t="str">
        <f aca="false">IF($J33="","",INDEX(DATABASE!$O$4:$O$2003,$J33)&amp;"")</f>
        <v/>
      </c>
      <c r="E33" s="91" t="str">
        <f aca="false">IF($J33="","",$A33&amp;".")</f>
        <v>20.</v>
      </c>
      <c r="J33" s="52" t="n">
        <f aca="false">IFERROR(MATCH((($H$13-1)*25+20),DATABASE!$AD$4:$AD$2003,0),"")</f>
        <v>20</v>
      </c>
    </row>
    <row r="34" customFormat="false" ht="21.75" hidden="false" customHeight="true" outlineLevel="0" collapsed="false">
      <c r="A34" s="90" t="n">
        <f aca="false">IF($J34="","",(($H$13-1)*25+21))</f>
        <v>21</v>
      </c>
      <c r="B34" s="36" t="str">
        <f aca="false">IF($J34="","",INDEX(DATABASE!$B$4:$B$2003,$J34)&amp;"")</f>
        <v>TASBIH (BODONG)</v>
      </c>
      <c r="C34" s="36" t="str">
        <f aca="false">IF($J34="","",INDEX(DATABASE!$N$4:$N$2003,$J34)&amp;"")</f>
        <v>Anggota</v>
      </c>
      <c r="D34" s="39" t="str">
        <f aca="false">IF($J34="","",INDEX(DATABASE!$O$4:$O$2003,$J34)&amp;"")</f>
        <v/>
      </c>
      <c r="E34" s="91" t="str">
        <f aca="false">IF($J34="","",$A34&amp;".")</f>
        <v>21.</v>
      </c>
      <c r="J34" s="52" t="n">
        <f aca="false">IFERROR(MATCH((($H$13-1)*25+21),DATABASE!$AD$4:$AD$2003,0),"")</f>
        <v>21</v>
      </c>
    </row>
    <row r="35" customFormat="false" ht="21.75" hidden="false" customHeight="true" outlineLevel="0" collapsed="false">
      <c r="A35" s="90" t="n">
        <f aca="false">IF($J35="","",(($H$13-1)*25+22))</f>
        <v>22</v>
      </c>
      <c r="B35" s="36" t="str">
        <f aca="false">IF($J35="","",INDEX(DATABASE!$B$4:$B$2003,$J35)&amp;"")</f>
        <v>MARDI</v>
      </c>
      <c r="C35" s="36" t="str">
        <f aca="false">IF($J35="","",INDEX(DATABASE!$N$4:$N$2003,$J35)&amp;"")</f>
        <v>Anggota</v>
      </c>
      <c r="D35" s="39" t="str">
        <f aca="false">IF($J35="","",INDEX(DATABASE!$O$4:$O$2003,$J35)&amp;"")</f>
        <v/>
      </c>
      <c r="E35" s="91" t="str">
        <f aca="false">IF($J35="","",$A35&amp;".")</f>
        <v>22.</v>
      </c>
      <c r="J35" s="52" t="n">
        <f aca="false">IFERROR(MATCH((($H$13-1)*25+22),DATABASE!$AD$4:$AD$2003,0),"")</f>
        <v>22</v>
      </c>
    </row>
    <row r="36" customFormat="false" ht="21.75" hidden="false" customHeight="true" outlineLevel="0" collapsed="false">
      <c r="A36" s="90" t="n">
        <f aca="false">IF($J36="","",(($H$13-1)*25+23))</f>
        <v>23</v>
      </c>
      <c r="B36" s="36" t="str">
        <f aca="false">IF($J36="","",INDEX(DATABASE!$B$4:$B$2003,$J36)&amp;"")</f>
        <v>OTIH (AAL)</v>
      </c>
      <c r="C36" s="36" t="str">
        <f aca="false">IF($J36="","",INDEX(DATABASE!$N$4:$N$2003,$J36)&amp;"")</f>
        <v>Anggota</v>
      </c>
      <c r="D36" s="39" t="str">
        <f aca="false">IF($J36="","",INDEX(DATABASE!$O$4:$O$2003,$J36)&amp;"")</f>
        <v/>
      </c>
      <c r="E36" s="91" t="str">
        <f aca="false">IF($J36="","",$A36&amp;".")</f>
        <v>23.</v>
      </c>
      <c r="J36" s="52" t="n">
        <f aca="false">IFERROR(MATCH((($H$13-1)*25+23),DATABASE!$AD$4:$AD$2003,0),"")</f>
        <v>23</v>
      </c>
    </row>
    <row r="37" customFormat="false" ht="21.75" hidden="false" customHeight="true" outlineLevel="0" collapsed="false">
      <c r="A37" s="90" t="n">
        <f aca="false">IF($J37="","",(($H$13-1)*25+24))</f>
        <v>24</v>
      </c>
      <c r="B37" s="36" t="str">
        <f aca="false">IF($J37="","",INDEX(DATABASE!$B$4:$B$2003,$J37)&amp;"")</f>
        <v>KANDI</v>
      </c>
      <c r="C37" s="36" t="str">
        <f aca="false">IF($J37="","",INDEX(DATABASE!$N$4:$N$2003,$J37)&amp;"")</f>
        <v>Anggota</v>
      </c>
      <c r="D37" s="39" t="str">
        <f aca="false">IF($J37="","",INDEX(DATABASE!$O$4:$O$2003,$J37)&amp;"")</f>
        <v/>
      </c>
      <c r="E37" s="91" t="str">
        <f aca="false">IF($J37="","",$A37&amp;".")</f>
        <v>24.</v>
      </c>
      <c r="J37" s="52" t="n">
        <f aca="false">IFERROR(MATCH((($H$13-1)*25+24),DATABASE!$AD$4:$AD$2003,0),"")</f>
        <v>24</v>
      </c>
    </row>
    <row r="38" customFormat="false" ht="21.75" hidden="false" customHeight="true" outlineLevel="0" collapsed="false">
      <c r="A38" s="90" t="n">
        <f aca="false">IF($J38="","",(($H$13-1)*25+25))</f>
        <v>25</v>
      </c>
      <c r="B38" s="36" t="str">
        <f aca="false">IF($J38="","",INDEX(DATABASE!$B$4:$B$2003,$J38)&amp;"")</f>
        <v>EMIN (KOJEK)</v>
      </c>
      <c r="C38" s="36" t="str">
        <f aca="false">IF($J38="","",INDEX(DATABASE!$N$4:$N$2003,$J38)&amp;"")</f>
        <v>Anggota</v>
      </c>
      <c r="D38" s="39" t="str">
        <f aca="false">IF($J38="","",INDEX(DATABASE!$O$4:$O$2003,$J38)&amp;"")</f>
        <v/>
      </c>
      <c r="E38" s="91" t="str">
        <f aca="false">IF($J38="","",$A38&amp;".")</f>
        <v>25.</v>
      </c>
      <c r="J38" s="52" t="n">
        <f aca="false">IFERROR(MATCH((($H$13-1)*25+25),DATABASE!$AD$4:$AD$2003,0),"")</f>
        <v>25</v>
      </c>
    </row>
    <row r="40" customFormat="false" ht="15" hidden="false" customHeight="false" outlineLevel="0" collapsed="false">
      <c r="D40" s="81" t="str">
        <f aca="false">id_desa&amp;", ......................... "&amp;id_tahun</f>
        <v>SUKAKARYA, ......................... 2026</v>
      </c>
      <c r="E40" s="81"/>
    </row>
    <row r="41" customFormat="false" ht="15" hidden="false" customHeight="false" outlineLevel="0" collapsed="false">
      <c r="D41" s="81" t="str">
        <f aca="false">id_jabatan_ttd</f>
        <v>Ketua Team</v>
      </c>
      <c r="E41" s="81"/>
    </row>
    <row r="45" customFormat="false" ht="15" hidden="false" customHeight="false" outlineLevel="0" collapsed="false">
      <c r="D45" s="94" t="str">
        <f aca="false">id_ketua</f>
        <v>IDRUS KAMSENO</v>
      </c>
      <c r="E45" s="94"/>
    </row>
  </sheetData>
  <sheetProtection sheet="true" formatCells="false" formatColumns="false" formatRows="false" sort="false" autoFilter="false"/>
  <mergeCells count="17">
    <mergeCell ref="A2:E2"/>
    <mergeCell ref="A3:E3"/>
    <mergeCell ref="A4:E4"/>
    <mergeCell ref="G6:H6"/>
    <mergeCell ref="A7:B7"/>
    <mergeCell ref="D7:E7"/>
    <mergeCell ref="A8:B8"/>
    <mergeCell ref="D8:E8"/>
    <mergeCell ref="A9:B9"/>
    <mergeCell ref="D9:E9"/>
    <mergeCell ref="A10:B10"/>
    <mergeCell ref="D10:E10"/>
    <mergeCell ref="A11:B11"/>
    <mergeCell ref="D11:E11"/>
    <mergeCell ref="D40:E40"/>
    <mergeCell ref="D41:E41"/>
    <mergeCell ref="D45:E45"/>
  </mergeCells>
  <dataValidations count="4">
    <dataValidation allowBlank="false" error="Isi angka 1 atau lebih." errorStyle="warning" errorTitle="Halaman" operator="greaterThanOrEqual" showDropDown="false" showErrorMessage="true" showInputMessage="false" sqref="H13" type="whole">
      <formula1>1</formula1>
      <formula2>0</formula2>
    </dataValidation>
    <dataValidation allowBlank="true" errorStyle="stop" operator="between" showDropDown="false" showErrorMessage="false" showInputMessage="false" sqref="H10" type="list">
      <formula1>daftar_kampung</formula1>
      <formula2>0</formula2>
    </dataValidation>
    <dataValidation allowBlank="true" errorStyle="stop" operator="between" showDropDown="false" showErrorMessage="false" showInputMessage="false" sqref="H11" type="list">
      <formula1>daftar_rt</formula1>
      <formula2>0</formula2>
    </dataValidation>
    <dataValidation allowBlank="true" errorStyle="stop" operator="between" showDropDown="false" showErrorMessage="false" showInputMessage="false" sqref="H12" type="list">
      <formula1>daftar_tps</formula1>
      <formula2>0</formula2>
    </dataValidation>
  </dataValidations>
  <hyperlinks>
    <hyperlink ref="G17" location="MENU!A1" display="◀  MENU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4A"/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6" min="2" style="0" width="12"/>
    <col collapsed="false" customWidth="true" hidden="false" outlineLevel="0" max="7" min="7" style="0" width="4"/>
    <col collapsed="false" customWidth="true" hidden="false" outlineLevel="0" max="8" min="8" style="0" width="34"/>
    <col collapsed="false" customWidth="true" hidden="false" outlineLevel="0" max="9" min="9" style="0" width="3"/>
  </cols>
  <sheetData>
    <row r="1" customFormat="false" ht="25.5" hidden="false" customHeight="true" outlineLevel="0" collapsed="false">
      <c r="A1" s="29" t="s">
        <v>310</v>
      </c>
      <c r="B1" s="29"/>
      <c r="C1" s="29"/>
      <c r="D1" s="29"/>
      <c r="E1" s="29"/>
      <c r="F1" s="29"/>
      <c r="G1" s="29"/>
      <c r="H1" s="29"/>
    </row>
    <row r="2" customFormat="false" ht="15" hidden="false" customHeight="false" outlineLevel="0" collapsed="false">
      <c r="A2" s="30" t="s">
        <v>34</v>
      </c>
      <c r="C2" s="31" t="s">
        <v>311</v>
      </c>
    </row>
    <row r="4" customFormat="false" ht="19.5" hidden="false" customHeight="true" outlineLevel="0" collapsed="false">
      <c r="B4" s="6" t="s">
        <v>312</v>
      </c>
      <c r="C4" s="6"/>
      <c r="D4" s="6"/>
      <c r="E4" s="6"/>
      <c r="F4" s="6"/>
      <c r="H4" s="106" t="s">
        <v>313</v>
      </c>
    </row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>
      <c r="H16" s="107" t="s">
        <v>314</v>
      </c>
    </row>
    <row r="17" customFormat="false" ht="15" hidden="false" customHeight="true" outlineLevel="0" collapsed="false">
      <c r="H17" s="107"/>
    </row>
    <row r="18" customFormat="false" ht="15" hidden="false" customHeight="true" outlineLevel="0" collapsed="false">
      <c r="H18" s="107"/>
    </row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>
      <c r="H31" s="107" t="s">
        <v>315</v>
      </c>
    </row>
    <row r="32" customFormat="false" ht="15" hidden="false" customHeight="true" outlineLevel="0" collapsed="false">
      <c r="H32" s="107"/>
    </row>
    <row r="33" customFormat="false" ht="15" hidden="false" customHeight="true" outlineLevel="0" collapsed="false">
      <c r="H33" s="107"/>
    </row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>
      <c r="H36" s="108" t="s">
        <v>316</v>
      </c>
    </row>
    <row r="37" customFormat="false" ht="15" hidden="false" customHeight="true" outlineLevel="0" collapsed="false">
      <c r="H37" s="108"/>
    </row>
    <row r="38" customFormat="false" ht="15" hidden="false" customHeight="true" outlineLevel="0" collapsed="false">
      <c r="H38" s="108"/>
    </row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9" customFormat="false" ht="15" hidden="false" customHeight="true" outlineLevel="0" collapsed="false">
      <c r="B49" s="109" t="s">
        <v>317</v>
      </c>
      <c r="C49" s="109"/>
      <c r="D49" s="109"/>
      <c r="E49" s="109"/>
      <c r="F49" s="109"/>
    </row>
    <row r="50" customFormat="false" ht="15" hidden="false" customHeight="false" outlineLevel="0" collapsed="false">
      <c r="B50" s="109"/>
      <c r="C50" s="109"/>
      <c r="D50" s="109"/>
      <c r="E50" s="109"/>
      <c r="F50" s="109"/>
    </row>
    <row r="51" customFormat="false" ht="15" hidden="false" customHeight="false" outlineLevel="0" collapsed="false">
      <c r="B51" s="109"/>
      <c r="C51" s="109"/>
      <c r="D51" s="109"/>
      <c r="E51" s="109"/>
      <c r="F51" s="109"/>
    </row>
  </sheetData>
  <sheetProtection sheet="true" formatCells="false" formatColumns="false" formatRows="false" sort="false" autoFilter="false"/>
  <mergeCells count="6">
    <mergeCell ref="A1:H1"/>
    <mergeCell ref="B4:F4"/>
    <mergeCell ref="H16:H18"/>
    <mergeCell ref="H31:H33"/>
    <mergeCell ref="H36:H38"/>
    <mergeCell ref="B49:F51"/>
  </mergeCells>
  <hyperlinks>
    <hyperlink ref="A2" location="MENU!A1" display="◀  MENU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6B6B"/>
    <pageSetUpPr fitToPage="false"/>
  </sheetPr>
  <dimension ref="A1:S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24"/>
    <col collapsed="false" customWidth="true" hidden="false" outlineLevel="0" max="7" min="7" style="0" width="3"/>
    <col collapsed="false" customWidth="true" hidden="false" outlineLevel="0" max="8" min="8" style="0" width="10"/>
    <col collapsed="false" customWidth="true" hidden="false" outlineLevel="0" max="9" min="9" style="0" width="3"/>
    <col collapsed="false" customWidth="true" hidden="false" outlineLevel="0" max="10" min="10" style="0" width="12"/>
    <col collapsed="false" customWidth="true" hidden="false" outlineLevel="0" max="11" min="11" style="0" width="3"/>
    <col collapsed="false" customWidth="true" hidden="false" outlineLevel="0" max="12" min="12" style="0" width="20"/>
    <col collapsed="false" customWidth="true" hidden="false" outlineLevel="0" max="13" min="13" style="0" width="8"/>
    <col collapsed="false" customWidth="true" hidden="false" outlineLevel="0" max="14" min="14" style="0" width="3"/>
    <col collapsed="false" customWidth="true" hidden="false" outlineLevel="0" max="17" min="15" style="0" width="14"/>
    <col collapsed="false" customWidth="true" hidden="false" outlineLevel="0" max="18" min="18" style="0" width="3"/>
    <col collapsed="false" customWidth="true" hidden="false" outlineLevel="0" max="19" min="19" style="0" width="46"/>
  </cols>
  <sheetData>
    <row r="1" customFormat="false" ht="25.5" hidden="false" customHeight="true" outlineLevel="0" collapsed="false">
      <c r="A1" s="29" t="s">
        <v>318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customFormat="false" ht="15" hidden="false" customHeight="false" outlineLevel="0" collapsed="false">
      <c r="A2" s="30" t="s">
        <v>34</v>
      </c>
      <c r="C2" s="31" t="s">
        <v>319</v>
      </c>
    </row>
    <row r="5" customFormat="false" ht="15" hidden="false" customHeight="false" outlineLevel="0" collapsed="false">
      <c r="B5" s="17" t="s">
        <v>320</v>
      </c>
      <c r="C5" s="17" t="s">
        <v>26</v>
      </c>
      <c r="D5" s="17" t="s">
        <v>321</v>
      </c>
      <c r="E5" s="17" t="s">
        <v>322</v>
      </c>
      <c r="F5" s="17" t="s">
        <v>323</v>
      </c>
      <c r="H5" s="17" t="s">
        <v>324</v>
      </c>
      <c r="J5" s="17" t="s">
        <v>325</v>
      </c>
      <c r="L5" s="17" t="s">
        <v>55</v>
      </c>
      <c r="M5" s="17" t="s">
        <v>326</v>
      </c>
      <c r="O5" s="17" t="s">
        <v>46</v>
      </c>
      <c r="P5" s="17" t="s">
        <v>47</v>
      </c>
      <c r="Q5" s="17" t="s">
        <v>48</v>
      </c>
      <c r="S5" s="110" t="s">
        <v>327</v>
      </c>
    </row>
    <row r="6" customFormat="false" ht="15" hidden="false" customHeight="false" outlineLevel="0" collapsed="false">
      <c r="B6" s="111" t="s">
        <v>77</v>
      </c>
      <c r="C6" s="111" t="n">
        <v>0</v>
      </c>
      <c r="D6" s="112" t="s">
        <v>70</v>
      </c>
      <c r="E6" s="112" t="s">
        <v>70</v>
      </c>
      <c r="F6" s="111" t="s">
        <v>78</v>
      </c>
      <c r="H6" s="112" t="s">
        <v>328</v>
      </c>
      <c r="J6" s="111" t="s">
        <v>74</v>
      </c>
      <c r="L6" s="111" t="s">
        <v>329</v>
      </c>
      <c r="M6" s="113" t="n">
        <v>0</v>
      </c>
      <c r="O6" s="111" t="s">
        <v>330</v>
      </c>
      <c r="P6" s="111" t="s">
        <v>71</v>
      </c>
      <c r="Q6" s="111" t="s">
        <v>72</v>
      </c>
      <c r="S6" s="114" t="s">
        <v>331</v>
      </c>
    </row>
    <row r="7" customFormat="false" ht="15" hidden="false" customHeight="false" outlineLevel="0" collapsed="false">
      <c r="B7" s="111" t="s">
        <v>88</v>
      </c>
      <c r="C7" s="111" t="n">
        <v>0</v>
      </c>
      <c r="D7" s="112" t="s">
        <v>118</v>
      </c>
      <c r="E7" s="112" t="s">
        <v>118</v>
      </c>
      <c r="F7" s="111" t="s">
        <v>332</v>
      </c>
      <c r="H7" s="112" t="s">
        <v>333</v>
      </c>
      <c r="J7" s="111" t="s">
        <v>334</v>
      </c>
      <c r="L7" s="111" t="s">
        <v>335</v>
      </c>
      <c r="M7" s="113" t="n">
        <v>17</v>
      </c>
      <c r="O7" s="111" t="s">
        <v>336</v>
      </c>
      <c r="P7" s="111" t="s">
        <v>150</v>
      </c>
      <c r="Q7" s="111" t="s">
        <v>96</v>
      </c>
      <c r="S7" s="114" t="s">
        <v>337</v>
      </c>
    </row>
    <row r="8" customFormat="false" ht="15" hidden="false" customHeight="false" outlineLevel="0" collapsed="false">
      <c r="B8" s="111" t="s">
        <v>85</v>
      </c>
      <c r="C8" s="111" t="n">
        <v>0</v>
      </c>
      <c r="D8" s="112" t="s">
        <v>94</v>
      </c>
      <c r="E8" s="112" t="s">
        <v>94</v>
      </c>
      <c r="F8" s="111" t="s">
        <v>338</v>
      </c>
      <c r="H8" s="112" t="s">
        <v>339</v>
      </c>
      <c r="J8" s="111" t="s">
        <v>340</v>
      </c>
      <c r="L8" s="111" t="s">
        <v>341</v>
      </c>
      <c r="M8" s="113" t="n">
        <v>23</v>
      </c>
      <c r="O8" s="111" t="s">
        <v>107</v>
      </c>
      <c r="P8" s="111" t="s">
        <v>95</v>
      </c>
      <c r="Q8" s="111" t="s">
        <v>112</v>
      </c>
      <c r="S8" s="114" t="s">
        <v>342</v>
      </c>
    </row>
    <row r="9" customFormat="false" ht="15" hidden="false" customHeight="false" outlineLevel="0" collapsed="false">
      <c r="B9" s="111" t="s">
        <v>69</v>
      </c>
      <c r="C9" s="111" t="n">
        <v>0</v>
      </c>
      <c r="D9" s="112" t="s">
        <v>101</v>
      </c>
      <c r="E9" s="112" t="s">
        <v>101</v>
      </c>
      <c r="F9" s="111" t="s">
        <v>343</v>
      </c>
      <c r="H9" s="112" t="s">
        <v>344</v>
      </c>
      <c r="J9" s="111"/>
      <c r="L9" s="111" t="s">
        <v>345</v>
      </c>
      <c r="M9" s="113" t="n">
        <v>36</v>
      </c>
      <c r="O9" s="111" t="s">
        <v>130</v>
      </c>
      <c r="P9" s="111" t="s">
        <v>102</v>
      </c>
      <c r="Q9" s="111"/>
      <c r="S9" s="114" t="s">
        <v>346</v>
      </c>
    </row>
    <row r="10" customFormat="false" ht="15" hidden="false" customHeight="false" outlineLevel="0" collapsed="false">
      <c r="B10" s="111" t="s">
        <v>91</v>
      </c>
      <c r="C10" s="111" t="n">
        <v>0</v>
      </c>
      <c r="D10" s="112" t="s">
        <v>119</v>
      </c>
      <c r="E10" s="112" t="s">
        <v>119</v>
      </c>
      <c r="F10" s="111" t="s">
        <v>159</v>
      </c>
      <c r="H10" s="112" t="s">
        <v>347</v>
      </c>
      <c r="J10" s="111"/>
      <c r="L10" s="111" t="s">
        <v>348</v>
      </c>
      <c r="M10" s="113" t="n">
        <v>51</v>
      </c>
      <c r="O10" s="111" t="s">
        <v>349</v>
      </c>
      <c r="P10" s="111" t="s">
        <v>185</v>
      </c>
      <c r="Q10" s="111"/>
      <c r="S10" s="114" t="s">
        <v>350</v>
      </c>
    </row>
    <row r="11" customFormat="false" ht="15" hidden="false" customHeight="false" outlineLevel="0" collapsed="false">
      <c r="B11" s="111"/>
      <c r="C11" s="111"/>
      <c r="D11" s="112" t="s">
        <v>110</v>
      </c>
      <c r="E11" s="112" t="s">
        <v>110</v>
      </c>
      <c r="F11" s="111" t="s">
        <v>121</v>
      </c>
      <c r="H11" s="112" t="s">
        <v>351</v>
      </c>
      <c r="L11" s="111" t="s">
        <v>352</v>
      </c>
      <c r="M11" s="113" t="n">
        <v>66</v>
      </c>
      <c r="O11" s="111" t="s">
        <v>353</v>
      </c>
      <c r="P11" s="111" t="s">
        <v>111</v>
      </c>
      <c r="Q11" s="111"/>
      <c r="S11" s="114" t="s">
        <v>354</v>
      </c>
    </row>
    <row r="12" customFormat="false" ht="15" hidden="false" customHeight="false" outlineLevel="0" collapsed="false">
      <c r="B12" s="111"/>
      <c r="C12" s="111"/>
      <c r="D12" s="112" t="s">
        <v>355</v>
      </c>
      <c r="E12" s="112"/>
      <c r="F12" s="111" t="s">
        <v>193</v>
      </c>
      <c r="H12" s="112" t="s">
        <v>356</v>
      </c>
      <c r="O12" s="111" t="s">
        <v>357</v>
      </c>
      <c r="P12" s="111"/>
      <c r="Q12" s="111"/>
      <c r="S12" s="114" t="s">
        <v>358</v>
      </c>
    </row>
    <row r="13" customFormat="false" ht="15" hidden="false" customHeight="false" outlineLevel="0" collapsed="false">
      <c r="B13" s="111"/>
      <c r="C13" s="111"/>
      <c r="D13" s="112" t="s">
        <v>359</v>
      </c>
      <c r="E13" s="112"/>
      <c r="F13" s="111" t="s">
        <v>360</v>
      </c>
      <c r="H13" s="112" t="s">
        <v>361</v>
      </c>
      <c r="O13" s="111" t="s">
        <v>362</v>
      </c>
      <c r="P13" s="111"/>
      <c r="Q13" s="111"/>
      <c r="S13" s="114" t="s">
        <v>363</v>
      </c>
    </row>
    <row r="14" customFormat="false" ht="15" hidden="false" customHeight="false" outlineLevel="0" collapsed="false">
      <c r="B14" s="111"/>
      <c r="C14" s="111"/>
      <c r="D14" s="112"/>
      <c r="E14" s="112"/>
      <c r="F14" s="111" t="s">
        <v>364</v>
      </c>
      <c r="H14" s="112" t="s">
        <v>365</v>
      </c>
      <c r="O14" s="111" t="s">
        <v>366</v>
      </c>
      <c r="P14" s="111"/>
      <c r="Q14" s="111"/>
      <c r="S14" s="114" t="s">
        <v>367</v>
      </c>
    </row>
    <row r="15" customFormat="false" ht="15" hidden="false" customHeight="false" outlineLevel="0" collapsed="false">
      <c r="B15" s="111"/>
      <c r="C15" s="111"/>
      <c r="D15" s="112"/>
      <c r="E15" s="112"/>
      <c r="F15" s="111" t="s">
        <v>73</v>
      </c>
      <c r="H15" s="112" t="s">
        <v>368</v>
      </c>
      <c r="O15" s="111" t="s">
        <v>369</v>
      </c>
      <c r="P15" s="111"/>
      <c r="Q15" s="111"/>
      <c r="S15" s="114" t="s">
        <v>370</v>
      </c>
    </row>
    <row r="16" customFormat="false" ht="15" hidden="false" customHeight="false" outlineLevel="0" collapsed="false">
      <c r="B16" s="111"/>
      <c r="C16" s="111"/>
      <c r="D16" s="112"/>
      <c r="E16" s="112"/>
      <c r="F16" s="111" t="s">
        <v>371</v>
      </c>
      <c r="H16" s="112" t="s">
        <v>372</v>
      </c>
      <c r="O16" s="111" t="s">
        <v>184</v>
      </c>
      <c r="P16" s="111"/>
      <c r="Q16" s="111"/>
      <c r="S16" s="114" t="s">
        <v>373</v>
      </c>
    </row>
    <row r="17" customFormat="false" ht="15" hidden="false" customHeight="false" outlineLevel="0" collapsed="false">
      <c r="B17" s="111"/>
      <c r="C17" s="111"/>
      <c r="D17" s="112"/>
      <c r="E17" s="112"/>
      <c r="F17" s="111"/>
      <c r="H17" s="112" t="s">
        <v>374</v>
      </c>
      <c r="O17" s="111" t="s">
        <v>115</v>
      </c>
      <c r="P17" s="111"/>
      <c r="Q17" s="111"/>
    </row>
    <row r="18" customFormat="false" ht="15" hidden="false" customHeight="false" outlineLevel="0" collapsed="false">
      <c r="B18" s="111"/>
      <c r="C18" s="111"/>
      <c r="D18" s="112"/>
      <c r="E18" s="112"/>
      <c r="F18" s="111"/>
      <c r="H18" s="112" t="s">
        <v>375</v>
      </c>
      <c r="O18" s="111" t="s">
        <v>135</v>
      </c>
      <c r="P18" s="111"/>
      <c r="Q18" s="111"/>
    </row>
    <row r="19" customFormat="false" ht="15" hidden="false" customHeight="false" outlineLevel="0" collapsed="false">
      <c r="B19" s="111"/>
      <c r="C19" s="111"/>
      <c r="D19" s="112"/>
      <c r="E19" s="112"/>
      <c r="F19" s="111"/>
      <c r="H19" s="112" t="s">
        <v>376</v>
      </c>
      <c r="O19" s="111" t="s">
        <v>377</v>
      </c>
      <c r="P19" s="111"/>
      <c r="Q19" s="111"/>
    </row>
    <row r="20" customFormat="false" ht="15" hidden="false" customHeight="false" outlineLevel="0" collapsed="false">
      <c r="B20" s="111"/>
      <c r="C20" s="111"/>
      <c r="D20" s="112"/>
      <c r="E20" s="112"/>
      <c r="F20" s="111"/>
      <c r="H20" s="112" t="s">
        <v>378</v>
      </c>
      <c r="O20" s="111" t="s">
        <v>379</v>
      </c>
      <c r="P20" s="111"/>
      <c r="Q20" s="111"/>
    </row>
    <row r="21" customFormat="false" ht="15" hidden="false" customHeight="false" outlineLevel="0" collapsed="false">
      <c r="B21" s="111"/>
      <c r="C21" s="111"/>
      <c r="D21" s="112"/>
      <c r="E21" s="112"/>
      <c r="F21" s="111"/>
      <c r="H21" s="112" t="s">
        <v>380</v>
      </c>
      <c r="O21" s="111"/>
      <c r="P21" s="111"/>
      <c r="Q21" s="111"/>
    </row>
    <row r="22" customFormat="false" ht="15" hidden="false" customHeight="false" outlineLevel="0" collapsed="false">
      <c r="B22" s="111"/>
      <c r="C22" s="111"/>
      <c r="D22" s="112"/>
      <c r="E22" s="112"/>
      <c r="F22" s="111"/>
      <c r="H22" s="112" t="s">
        <v>381</v>
      </c>
      <c r="O22" s="111"/>
      <c r="P22" s="111"/>
      <c r="Q22" s="111"/>
    </row>
    <row r="23" customFormat="false" ht="15" hidden="false" customHeight="false" outlineLevel="0" collapsed="false">
      <c r="B23" s="111"/>
      <c r="C23" s="111"/>
      <c r="D23" s="112"/>
      <c r="E23" s="112"/>
      <c r="F23" s="111"/>
      <c r="H23" s="112" t="s">
        <v>382</v>
      </c>
      <c r="O23" s="111"/>
      <c r="P23" s="111"/>
      <c r="Q23" s="111"/>
    </row>
    <row r="24" customFormat="false" ht="15" hidden="false" customHeight="false" outlineLevel="0" collapsed="false">
      <c r="B24" s="111"/>
      <c r="C24" s="111"/>
      <c r="D24" s="112"/>
      <c r="E24" s="112"/>
      <c r="F24" s="111"/>
      <c r="H24" s="112" t="s">
        <v>383</v>
      </c>
      <c r="O24" s="111"/>
      <c r="P24" s="111"/>
      <c r="Q24" s="111"/>
    </row>
    <row r="25" customFormat="false" ht="15" hidden="false" customHeight="false" outlineLevel="0" collapsed="false">
      <c r="B25" s="111"/>
      <c r="C25" s="111"/>
      <c r="D25" s="112"/>
      <c r="E25" s="112"/>
      <c r="F25" s="111"/>
      <c r="H25" s="112" t="s">
        <v>384</v>
      </c>
      <c r="O25" s="111"/>
      <c r="P25" s="111"/>
      <c r="Q25" s="111"/>
    </row>
    <row r="26" customFormat="false" ht="15" hidden="false" customHeight="false" outlineLevel="0" collapsed="false">
      <c r="B26" s="111"/>
      <c r="C26" s="111"/>
      <c r="D26" s="112"/>
      <c r="E26" s="112"/>
      <c r="F26" s="111"/>
      <c r="H26" s="112"/>
      <c r="O26" s="111"/>
      <c r="P26" s="111"/>
      <c r="Q26" s="111"/>
    </row>
    <row r="27" customFormat="false" ht="15" hidden="false" customHeight="false" outlineLevel="0" collapsed="false">
      <c r="B27" s="111"/>
      <c r="C27" s="111"/>
      <c r="D27" s="112"/>
      <c r="E27" s="112"/>
      <c r="F27" s="111"/>
      <c r="H27" s="112"/>
      <c r="O27" s="111"/>
      <c r="P27" s="111"/>
      <c r="Q27" s="111"/>
    </row>
    <row r="28" customFormat="false" ht="15" hidden="false" customHeight="false" outlineLevel="0" collapsed="false">
      <c r="B28" s="111"/>
      <c r="C28" s="111"/>
      <c r="D28" s="112"/>
      <c r="E28" s="112"/>
      <c r="F28" s="111"/>
      <c r="H28" s="112"/>
      <c r="O28" s="111"/>
      <c r="P28" s="111"/>
      <c r="Q28" s="111"/>
    </row>
    <row r="29" customFormat="false" ht="15" hidden="false" customHeight="false" outlineLevel="0" collapsed="false">
      <c r="B29" s="111"/>
      <c r="C29" s="111"/>
      <c r="D29" s="112"/>
      <c r="E29" s="112"/>
      <c r="F29" s="111"/>
      <c r="H29" s="112"/>
      <c r="O29" s="111"/>
      <c r="P29" s="111"/>
      <c r="Q29" s="111"/>
    </row>
    <row r="30" customFormat="false" ht="15" hidden="false" customHeight="false" outlineLevel="0" collapsed="false">
      <c r="B30" s="111"/>
      <c r="C30" s="111"/>
      <c r="D30" s="112"/>
      <c r="E30" s="112"/>
      <c r="F30" s="111"/>
      <c r="H30" s="112"/>
      <c r="O30" s="111"/>
      <c r="P30" s="111"/>
      <c r="Q30" s="111"/>
    </row>
    <row r="31" customFormat="false" ht="15" hidden="false" customHeight="false" outlineLevel="0" collapsed="false">
      <c r="B31" s="111"/>
      <c r="C31" s="111"/>
      <c r="D31" s="112"/>
      <c r="E31" s="112"/>
      <c r="F31" s="111"/>
      <c r="H31" s="112"/>
      <c r="O31" s="111"/>
      <c r="P31" s="111"/>
      <c r="Q31" s="111"/>
    </row>
    <row r="32" customFormat="false" ht="15" hidden="false" customHeight="false" outlineLevel="0" collapsed="false">
      <c r="B32" s="111"/>
      <c r="C32" s="111"/>
      <c r="D32" s="112"/>
      <c r="E32" s="112"/>
      <c r="F32" s="111"/>
      <c r="H32" s="112"/>
      <c r="O32" s="111"/>
      <c r="P32" s="111"/>
      <c r="Q32" s="111"/>
    </row>
    <row r="33" customFormat="false" ht="15" hidden="false" customHeight="false" outlineLevel="0" collapsed="false">
      <c r="B33" s="111"/>
      <c r="C33" s="111"/>
      <c r="D33" s="112"/>
      <c r="E33" s="112"/>
      <c r="F33" s="111"/>
      <c r="H33" s="112"/>
      <c r="O33" s="111"/>
      <c r="P33" s="111"/>
      <c r="Q33" s="111"/>
    </row>
    <row r="34" customFormat="false" ht="15" hidden="false" customHeight="false" outlineLevel="0" collapsed="false">
      <c r="B34" s="111"/>
      <c r="C34" s="111"/>
      <c r="D34" s="112"/>
      <c r="E34" s="112"/>
      <c r="F34" s="111"/>
      <c r="H34" s="112"/>
      <c r="O34" s="111"/>
      <c r="P34" s="111"/>
      <c r="Q34" s="111"/>
    </row>
    <row r="35" customFormat="false" ht="15" hidden="false" customHeight="false" outlineLevel="0" collapsed="false">
      <c r="B35" s="111"/>
      <c r="C35" s="111"/>
      <c r="D35" s="112"/>
      <c r="E35" s="112"/>
      <c r="F35" s="111"/>
      <c r="H35" s="112"/>
      <c r="O35" s="111"/>
      <c r="P35" s="111"/>
      <c r="Q35" s="111"/>
    </row>
    <row r="36" customFormat="false" ht="15" hidden="false" customHeight="false" outlineLevel="0" collapsed="false">
      <c r="B36" s="111"/>
      <c r="C36" s="111"/>
      <c r="D36" s="112"/>
      <c r="E36" s="112"/>
      <c r="F36" s="111"/>
      <c r="H36" s="112"/>
      <c r="O36" s="111"/>
      <c r="P36" s="111"/>
      <c r="Q36" s="111"/>
    </row>
    <row r="37" customFormat="false" ht="15" hidden="false" customHeight="false" outlineLevel="0" collapsed="false">
      <c r="B37" s="111"/>
      <c r="C37" s="111"/>
      <c r="D37" s="112"/>
      <c r="E37" s="112"/>
      <c r="F37" s="111"/>
      <c r="H37" s="112"/>
      <c r="O37" s="111"/>
      <c r="P37" s="111"/>
      <c r="Q37" s="111"/>
    </row>
    <row r="38" customFormat="false" ht="15" hidden="false" customHeight="false" outlineLevel="0" collapsed="false">
      <c r="B38" s="111"/>
      <c r="C38" s="111"/>
      <c r="D38" s="112"/>
      <c r="E38" s="112"/>
      <c r="F38" s="111"/>
      <c r="H38" s="112"/>
      <c r="O38" s="111"/>
      <c r="P38" s="111"/>
      <c r="Q38" s="111"/>
    </row>
    <row r="39" customFormat="false" ht="15" hidden="false" customHeight="false" outlineLevel="0" collapsed="false">
      <c r="B39" s="111"/>
      <c r="C39" s="111"/>
      <c r="D39" s="112"/>
      <c r="E39" s="112"/>
      <c r="F39" s="111"/>
      <c r="H39" s="112"/>
      <c r="O39" s="111"/>
      <c r="P39" s="111"/>
      <c r="Q39" s="111"/>
    </row>
    <row r="40" customFormat="false" ht="15" hidden="false" customHeight="false" outlineLevel="0" collapsed="false">
      <c r="B40" s="111"/>
      <c r="C40" s="111"/>
      <c r="D40" s="112"/>
      <c r="E40" s="112"/>
      <c r="F40" s="111"/>
      <c r="H40" s="112"/>
      <c r="O40" s="111"/>
      <c r="P40" s="111"/>
      <c r="Q40" s="111"/>
    </row>
    <row r="41" customFormat="false" ht="15" hidden="false" customHeight="false" outlineLevel="0" collapsed="false">
      <c r="B41" s="111"/>
      <c r="C41" s="111"/>
      <c r="D41" s="112"/>
      <c r="E41" s="112"/>
      <c r="F41" s="111"/>
      <c r="H41" s="112"/>
      <c r="O41" s="111"/>
      <c r="P41" s="111"/>
      <c r="Q41" s="111"/>
    </row>
    <row r="42" customFormat="false" ht="15" hidden="false" customHeight="false" outlineLevel="0" collapsed="false">
      <c r="B42" s="111"/>
      <c r="C42" s="111"/>
      <c r="D42" s="112"/>
      <c r="E42" s="112"/>
      <c r="F42" s="111"/>
      <c r="H42" s="112"/>
      <c r="O42" s="111"/>
      <c r="P42" s="111"/>
      <c r="Q42" s="111"/>
    </row>
    <row r="43" customFormat="false" ht="15" hidden="false" customHeight="false" outlineLevel="0" collapsed="false">
      <c r="B43" s="111"/>
      <c r="C43" s="111"/>
      <c r="D43" s="112"/>
      <c r="E43" s="112"/>
      <c r="F43" s="111"/>
      <c r="H43" s="112"/>
      <c r="O43" s="111"/>
      <c r="P43" s="111"/>
      <c r="Q43" s="111"/>
    </row>
    <row r="44" customFormat="false" ht="15" hidden="false" customHeight="false" outlineLevel="0" collapsed="false">
      <c r="B44" s="111"/>
      <c r="C44" s="111"/>
      <c r="D44" s="112"/>
      <c r="E44" s="112"/>
      <c r="F44" s="111"/>
      <c r="H44" s="112"/>
      <c r="O44" s="111"/>
      <c r="P44" s="111"/>
      <c r="Q44" s="111"/>
    </row>
    <row r="45" customFormat="false" ht="15" hidden="false" customHeight="false" outlineLevel="0" collapsed="false">
      <c r="B45" s="111"/>
      <c r="C45" s="111"/>
      <c r="D45" s="112"/>
      <c r="E45" s="112"/>
      <c r="F45" s="111"/>
      <c r="H45" s="112"/>
      <c r="O45" s="111"/>
      <c r="P45" s="111"/>
      <c r="Q45" s="111"/>
    </row>
    <row r="48" customFormat="false" ht="15" hidden="false" customHeight="false" outlineLevel="0" collapsed="false">
      <c r="B48" s="115" t="s">
        <v>385</v>
      </c>
      <c r="C48" s="115"/>
      <c r="D48" s="115"/>
      <c r="E48" s="115"/>
      <c r="F48" s="115"/>
    </row>
    <row r="49" customFormat="false" ht="15" hidden="false" customHeight="false" outlineLevel="0" collapsed="false">
      <c r="B49" s="42" t="s">
        <v>386</v>
      </c>
      <c r="C49" s="111" t="s">
        <v>387</v>
      </c>
      <c r="D49" s="111"/>
      <c r="E49" s="111"/>
      <c r="F49" s="111"/>
    </row>
    <row r="50" customFormat="false" ht="15" hidden="false" customHeight="false" outlineLevel="0" collapsed="false">
      <c r="B50" s="42" t="s">
        <v>388</v>
      </c>
      <c r="C50" s="111" t="s">
        <v>389</v>
      </c>
      <c r="D50" s="111"/>
      <c r="E50" s="111"/>
      <c r="F50" s="111"/>
    </row>
    <row r="51" customFormat="false" ht="15" hidden="false" customHeight="false" outlineLevel="0" collapsed="false">
      <c r="B51" s="42" t="s">
        <v>390</v>
      </c>
      <c r="C51" s="111" t="s">
        <v>391</v>
      </c>
      <c r="D51" s="111"/>
      <c r="E51" s="111"/>
      <c r="F51" s="111"/>
    </row>
    <row r="52" customFormat="false" ht="15" hidden="false" customHeight="false" outlineLevel="0" collapsed="false">
      <c r="B52" s="42" t="s">
        <v>392</v>
      </c>
      <c r="C52" s="111" t="s">
        <v>393</v>
      </c>
      <c r="D52" s="111"/>
      <c r="E52" s="111"/>
      <c r="F52" s="111"/>
    </row>
    <row r="53" customFormat="false" ht="15" hidden="false" customHeight="false" outlineLevel="0" collapsed="false">
      <c r="B53" s="42" t="s">
        <v>394</v>
      </c>
      <c r="C53" s="111" t="s">
        <v>395</v>
      </c>
      <c r="D53" s="111"/>
      <c r="E53" s="111"/>
      <c r="F53" s="111"/>
    </row>
    <row r="54" customFormat="false" ht="15" hidden="false" customHeight="false" outlineLevel="0" collapsed="false">
      <c r="B54" s="42" t="s">
        <v>396</v>
      </c>
      <c r="C54" s="111" t="s">
        <v>397</v>
      </c>
      <c r="D54" s="111"/>
      <c r="E54" s="111"/>
      <c r="F54" s="111"/>
    </row>
    <row r="55" customFormat="false" ht="15" hidden="false" customHeight="false" outlineLevel="0" collapsed="false">
      <c r="B55" s="42" t="s">
        <v>398</v>
      </c>
      <c r="C55" s="111" t="s">
        <v>397</v>
      </c>
      <c r="D55" s="111"/>
      <c r="E55" s="111"/>
      <c r="F55" s="111"/>
    </row>
    <row r="56" customFormat="false" ht="15" hidden="false" customHeight="false" outlineLevel="0" collapsed="false">
      <c r="B56" s="42" t="s">
        <v>399</v>
      </c>
      <c r="C56" s="111" t="s">
        <v>76</v>
      </c>
      <c r="D56" s="111"/>
      <c r="E56" s="111"/>
      <c r="F56" s="111"/>
    </row>
    <row r="57" customFormat="false" ht="15" hidden="false" customHeight="false" outlineLevel="0" collapsed="false">
      <c r="B57" s="42" t="s">
        <v>400</v>
      </c>
      <c r="C57" s="111" t="s">
        <v>78</v>
      </c>
      <c r="D57" s="111"/>
      <c r="E57" s="111"/>
      <c r="F57" s="111"/>
    </row>
    <row r="60" customFormat="false" ht="15" hidden="false" customHeight="false" outlineLevel="0" collapsed="false">
      <c r="B60" s="115" t="s">
        <v>401</v>
      </c>
      <c r="C60" s="115"/>
      <c r="D60" s="115"/>
      <c r="E60" s="115"/>
      <c r="F60" s="115"/>
    </row>
    <row r="61" customFormat="false" ht="15" hidden="false" customHeight="false" outlineLevel="0" collapsed="false">
      <c r="B61" s="42" t="s">
        <v>72</v>
      </c>
      <c r="C61" s="116" t="s">
        <v>159</v>
      </c>
      <c r="D61" s="117" t="s">
        <v>402</v>
      </c>
    </row>
    <row r="62" customFormat="false" ht="15" hidden="false" customHeight="false" outlineLevel="0" collapsed="false">
      <c r="C62" s="95" t="s">
        <v>403</v>
      </c>
      <c r="D62" s="36" t="s">
        <v>71</v>
      </c>
    </row>
    <row r="63" customFormat="false" ht="15" hidden="false" customHeight="false" outlineLevel="0" collapsed="false">
      <c r="C63" s="95" t="s">
        <v>404</v>
      </c>
      <c r="D63" s="36" t="s">
        <v>150</v>
      </c>
    </row>
    <row r="64" customFormat="false" ht="15" hidden="false" customHeight="false" outlineLevel="0" collapsed="false">
      <c r="C64" s="95" t="s">
        <v>405</v>
      </c>
      <c r="D64" s="36" t="s">
        <v>330</v>
      </c>
      <c r="E64" s="118" t="s">
        <v>69</v>
      </c>
      <c r="F64" s="119" t="s">
        <v>406</v>
      </c>
    </row>
    <row r="65" customFormat="false" ht="15" hidden="false" customHeight="false" outlineLevel="0" collapsed="false">
      <c r="C65" s="95" t="s">
        <v>407</v>
      </c>
      <c r="D65" s="36" t="s">
        <v>336</v>
      </c>
      <c r="E65" s="118" t="s">
        <v>69</v>
      </c>
      <c r="F65" s="119" t="s">
        <v>406</v>
      </c>
    </row>
    <row r="66" customFormat="false" ht="15" hidden="false" customHeight="false" outlineLevel="0" collapsed="false">
      <c r="C66" s="95" t="s">
        <v>408</v>
      </c>
      <c r="D66" s="36" t="s">
        <v>107</v>
      </c>
      <c r="E66" s="118" t="s">
        <v>88</v>
      </c>
      <c r="F66" s="119" t="s">
        <v>406</v>
      </c>
    </row>
    <row r="67" customFormat="false" ht="15" hidden="false" customHeight="false" outlineLevel="0" collapsed="false">
      <c r="C67" s="95" t="s">
        <v>409</v>
      </c>
      <c r="D67" s="36" t="s">
        <v>130</v>
      </c>
      <c r="E67" s="118" t="s">
        <v>88</v>
      </c>
      <c r="F67" s="119" t="s">
        <v>406</v>
      </c>
    </row>
    <row r="68" customFormat="false" ht="15" hidden="false" customHeight="false" outlineLevel="0" collapsed="false">
      <c r="C68" s="95" t="s">
        <v>410</v>
      </c>
      <c r="D68" s="36" t="s">
        <v>349</v>
      </c>
      <c r="E68" s="118" t="s">
        <v>88</v>
      </c>
      <c r="F68" s="119" t="s">
        <v>406</v>
      </c>
    </row>
    <row r="69" customFormat="false" ht="15" hidden="false" customHeight="false" outlineLevel="0" collapsed="false">
      <c r="C69" s="95" t="s">
        <v>411</v>
      </c>
      <c r="D69" s="36" t="s">
        <v>353</v>
      </c>
      <c r="E69" s="118" t="s">
        <v>88</v>
      </c>
      <c r="F69" s="119" t="s">
        <v>406</v>
      </c>
    </row>
    <row r="71" customFormat="false" ht="15" hidden="false" customHeight="false" outlineLevel="0" collapsed="false">
      <c r="B71" s="42" t="s">
        <v>96</v>
      </c>
      <c r="C71" s="116" t="s">
        <v>159</v>
      </c>
      <c r="D71" s="117" t="s">
        <v>402</v>
      </c>
    </row>
    <row r="72" customFormat="false" ht="15" hidden="false" customHeight="false" outlineLevel="0" collapsed="false">
      <c r="C72" s="95" t="s">
        <v>412</v>
      </c>
      <c r="D72" s="36" t="s">
        <v>95</v>
      </c>
    </row>
    <row r="73" customFormat="false" ht="15" hidden="false" customHeight="false" outlineLevel="0" collapsed="false">
      <c r="C73" s="95" t="s">
        <v>413</v>
      </c>
      <c r="D73" s="36" t="s">
        <v>102</v>
      </c>
    </row>
    <row r="74" customFormat="false" ht="15" hidden="false" customHeight="false" outlineLevel="0" collapsed="false">
      <c r="C74" s="95" t="s">
        <v>405</v>
      </c>
      <c r="D74" s="36" t="s">
        <v>357</v>
      </c>
      <c r="E74" s="118" t="s">
        <v>77</v>
      </c>
      <c r="F74" s="119" t="s">
        <v>406</v>
      </c>
    </row>
    <row r="75" customFormat="false" ht="15" hidden="false" customHeight="false" outlineLevel="0" collapsed="false">
      <c r="C75" s="95" t="s">
        <v>407</v>
      </c>
      <c r="D75" s="36" t="s">
        <v>362</v>
      </c>
      <c r="E75" s="118" t="s">
        <v>77</v>
      </c>
      <c r="F75" s="119" t="s">
        <v>406</v>
      </c>
    </row>
    <row r="76" customFormat="false" ht="15" hidden="false" customHeight="false" outlineLevel="0" collapsed="false">
      <c r="C76" s="95" t="s">
        <v>408</v>
      </c>
      <c r="D76" s="36" t="s">
        <v>366</v>
      </c>
      <c r="E76" s="118" t="s">
        <v>77</v>
      </c>
      <c r="F76" s="119" t="s">
        <v>406</v>
      </c>
    </row>
    <row r="77" customFormat="false" ht="15" hidden="false" customHeight="false" outlineLevel="0" collapsed="false">
      <c r="C77" s="95" t="s">
        <v>409</v>
      </c>
      <c r="D77" s="36" t="s">
        <v>369</v>
      </c>
      <c r="E77" s="118" t="s">
        <v>77</v>
      </c>
      <c r="F77" s="119" t="s">
        <v>406</v>
      </c>
    </row>
    <row r="79" customFormat="false" ht="15" hidden="false" customHeight="false" outlineLevel="0" collapsed="false">
      <c r="B79" s="42" t="s">
        <v>112</v>
      </c>
      <c r="C79" s="116" t="s">
        <v>159</v>
      </c>
      <c r="D79" s="42" t="s">
        <v>414</v>
      </c>
    </row>
    <row r="80" customFormat="false" ht="15" hidden="false" customHeight="false" outlineLevel="0" collapsed="false">
      <c r="C80" s="95" t="s">
        <v>415</v>
      </c>
      <c r="D80" s="36" t="s">
        <v>185</v>
      </c>
    </row>
    <row r="81" customFormat="false" ht="15" hidden="false" customHeight="false" outlineLevel="0" collapsed="false">
      <c r="C81" s="95" t="s">
        <v>416</v>
      </c>
      <c r="D81" s="36" t="s">
        <v>111</v>
      </c>
    </row>
    <row r="82" customFormat="false" ht="15" hidden="false" customHeight="false" outlineLevel="0" collapsed="false">
      <c r="C82" s="95" t="s">
        <v>405</v>
      </c>
      <c r="D82" s="36" t="s">
        <v>184</v>
      </c>
      <c r="E82" s="118" t="s">
        <v>77</v>
      </c>
      <c r="F82" s="118" t="s">
        <v>415</v>
      </c>
    </row>
    <row r="83" customFormat="false" ht="15" hidden="false" customHeight="false" outlineLevel="0" collapsed="false">
      <c r="C83" s="95" t="s">
        <v>407</v>
      </c>
      <c r="D83" s="119" t="s">
        <v>402</v>
      </c>
      <c r="E83" s="118" t="s">
        <v>77</v>
      </c>
      <c r="F83" s="118" t="s">
        <v>415</v>
      </c>
    </row>
    <row r="84" customFormat="false" ht="15" hidden="false" customHeight="false" outlineLevel="0" collapsed="false">
      <c r="C84" s="95" t="s">
        <v>408</v>
      </c>
      <c r="D84" s="36" t="s">
        <v>115</v>
      </c>
      <c r="E84" s="118" t="s">
        <v>77</v>
      </c>
      <c r="F84" s="118" t="s">
        <v>416</v>
      </c>
    </row>
    <row r="85" customFormat="false" ht="15" hidden="false" customHeight="false" outlineLevel="0" collapsed="false">
      <c r="C85" s="95" t="s">
        <v>409</v>
      </c>
      <c r="D85" s="36" t="s">
        <v>135</v>
      </c>
      <c r="E85" s="118" t="s">
        <v>85</v>
      </c>
      <c r="F85" s="118" t="s">
        <v>416</v>
      </c>
    </row>
    <row r="86" customFormat="false" ht="15" hidden="false" customHeight="false" outlineLevel="0" collapsed="false">
      <c r="C86" s="95" t="s">
        <v>410</v>
      </c>
      <c r="D86" s="36" t="s">
        <v>377</v>
      </c>
      <c r="E86" s="118" t="s">
        <v>85</v>
      </c>
      <c r="F86" s="118" t="s">
        <v>416</v>
      </c>
    </row>
    <row r="87" customFormat="false" ht="15" hidden="false" customHeight="false" outlineLevel="0" collapsed="false">
      <c r="C87" s="95" t="s">
        <v>411</v>
      </c>
      <c r="D87" s="36" t="s">
        <v>379</v>
      </c>
      <c r="E87" s="118" t="s">
        <v>77</v>
      </c>
      <c r="F87" s="118" t="s">
        <v>415</v>
      </c>
    </row>
    <row r="89" customFormat="false" ht="15" hidden="false" customHeight="false" outlineLevel="0" collapsed="false">
      <c r="B89" s="31" t="s">
        <v>417</v>
      </c>
    </row>
  </sheetData>
  <mergeCells count="12">
    <mergeCell ref="A1:S1"/>
    <mergeCell ref="B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B60:F60"/>
  </mergeCells>
  <hyperlinks>
    <hyperlink ref="A2" location="MENU!A1" display="◀ 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444"/>
    <pageSetUpPr fitToPage="true"/>
  </sheetPr>
  <dimension ref="A1:E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"/>
  </cols>
  <sheetData>
    <row r="1" customFormat="false" ht="25.5" hidden="false" customHeight="true" outlineLevel="0" collapsed="false">
      <c r="A1" s="29" t="s">
        <v>418</v>
      </c>
      <c r="B1" s="29"/>
      <c r="C1" s="29"/>
      <c r="D1" s="29"/>
      <c r="E1" s="29"/>
    </row>
    <row r="2" customFormat="false" ht="15" hidden="false" customHeight="false" outlineLevel="0" collapsed="false">
      <c r="A2" s="30" t="s">
        <v>34</v>
      </c>
    </row>
    <row r="4" customFormat="false" ht="18.75" hidden="false" customHeight="true" outlineLevel="0" collapsed="false">
      <c r="B4" s="5" t="s">
        <v>419</v>
      </c>
      <c r="C4" s="5"/>
      <c r="D4" s="5"/>
      <c r="E4" s="5"/>
    </row>
    <row r="5" customFormat="false" ht="15" hidden="false" customHeight="false" outlineLevel="0" collapsed="false">
      <c r="C5" s="120" t="s">
        <v>420</v>
      </c>
      <c r="D5" s="120"/>
      <c r="E5" s="120"/>
    </row>
    <row r="6" customFormat="false" ht="15" hidden="false" customHeight="false" outlineLevel="0" collapsed="false">
      <c r="C6" s="120" t="s">
        <v>421</v>
      </c>
      <c r="D6" s="120"/>
      <c r="E6" s="120"/>
    </row>
    <row r="7" customFormat="false" ht="15" hidden="false" customHeight="false" outlineLevel="0" collapsed="false">
      <c r="C7" s="120" t="s">
        <v>422</v>
      </c>
      <c r="D7" s="120"/>
      <c r="E7" s="120"/>
    </row>
    <row r="8" customFormat="false" ht="15" hidden="false" customHeight="false" outlineLevel="0" collapsed="false">
      <c r="C8" s="120" t="s">
        <v>423</v>
      </c>
      <c r="D8" s="120"/>
      <c r="E8" s="120"/>
    </row>
    <row r="9" customFormat="false" ht="15" hidden="false" customHeight="false" outlineLevel="0" collapsed="false">
      <c r="C9" s="120" t="s">
        <v>424</v>
      </c>
      <c r="D9" s="120"/>
      <c r="E9" s="120"/>
    </row>
    <row r="10" customFormat="false" ht="15" hidden="false" customHeight="false" outlineLevel="0" collapsed="false">
      <c r="C10" s="120" t="s">
        <v>425</v>
      </c>
      <c r="D10" s="120"/>
      <c r="E10" s="120"/>
    </row>
    <row r="11" customFormat="false" ht="15" hidden="false" customHeight="false" outlineLevel="0" collapsed="false">
      <c r="C11" s="120" t="s">
        <v>426</v>
      </c>
      <c r="D11" s="120"/>
      <c r="E11" s="120"/>
    </row>
    <row r="12" customFormat="false" ht="15" hidden="false" customHeight="false" outlineLevel="0" collapsed="false">
      <c r="C12" s="120" t="s">
        <v>427</v>
      </c>
      <c r="D12" s="120"/>
      <c r="E12" s="120"/>
    </row>
    <row r="14" customFormat="false" ht="18.75" hidden="false" customHeight="true" outlineLevel="0" collapsed="false">
      <c r="B14" s="5" t="s">
        <v>428</v>
      </c>
      <c r="C14" s="5"/>
      <c r="D14" s="5"/>
      <c r="E14" s="5"/>
    </row>
    <row r="15" customFormat="false" ht="15" hidden="false" customHeight="false" outlineLevel="0" collapsed="false">
      <c r="C15" s="120" t="s">
        <v>429</v>
      </c>
      <c r="D15" s="120"/>
      <c r="E15" s="120"/>
    </row>
    <row r="16" customFormat="false" ht="15" hidden="false" customHeight="false" outlineLevel="0" collapsed="false">
      <c r="C16" s="120" t="s">
        <v>430</v>
      </c>
      <c r="D16" s="120"/>
      <c r="E16" s="120"/>
    </row>
    <row r="17" customFormat="false" ht="15" hidden="false" customHeight="false" outlineLevel="0" collapsed="false">
      <c r="C17" s="120" t="s">
        <v>431</v>
      </c>
      <c r="D17" s="120"/>
      <c r="E17" s="120"/>
    </row>
    <row r="18" customFormat="false" ht="15" hidden="false" customHeight="false" outlineLevel="0" collapsed="false">
      <c r="C18" s="120" t="s">
        <v>432</v>
      </c>
      <c r="D18" s="120"/>
      <c r="E18" s="120"/>
    </row>
    <row r="19" customFormat="false" ht="15" hidden="false" customHeight="false" outlineLevel="0" collapsed="false">
      <c r="C19" s="120" t="s">
        <v>433</v>
      </c>
      <c r="D19" s="120"/>
      <c r="E19" s="120"/>
    </row>
    <row r="20" customFormat="false" ht="15" hidden="false" customHeight="false" outlineLevel="0" collapsed="false">
      <c r="C20" s="120" t="s">
        <v>434</v>
      </c>
      <c r="D20" s="120"/>
      <c r="E20" s="120"/>
    </row>
    <row r="22" customFormat="false" ht="18.75" hidden="false" customHeight="true" outlineLevel="0" collapsed="false">
      <c r="B22" s="5" t="s">
        <v>435</v>
      </c>
      <c r="C22" s="5"/>
      <c r="D22" s="5"/>
      <c r="E22" s="5"/>
    </row>
    <row r="23" customFormat="false" ht="15" hidden="false" customHeight="false" outlineLevel="0" collapsed="false">
      <c r="C23" s="120" t="s">
        <v>436</v>
      </c>
      <c r="D23" s="120"/>
      <c r="E23" s="120"/>
    </row>
    <row r="24" customFormat="false" ht="15" hidden="false" customHeight="false" outlineLevel="0" collapsed="false">
      <c r="C24" s="120" t="s">
        <v>437</v>
      </c>
      <c r="D24" s="120"/>
      <c r="E24" s="120"/>
    </row>
    <row r="25" customFormat="false" ht="15" hidden="false" customHeight="false" outlineLevel="0" collapsed="false">
      <c r="C25" s="120" t="s">
        <v>438</v>
      </c>
      <c r="D25" s="120"/>
      <c r="E25" s="120"/>
    </row>
    <row r="26" customFormat="false" ht="15" hidden="false" customHeight="false" outlineLevel="0" collapsed="false">
      <c r="C26" s="120" t="s">
        <v>439</v>
      </c>
      <c r="D26" s="120"/>
      <c r="E26" s="120"/>
    </row>
    <row r="27" customFormat="false" ht="15" hidden="false" customHeight="false" outlineLevel="0" collapsed="false">
      <c r="C27" s="120" t="s">
        <v>440</v>
      </c>
      <c r="D27" s="120"/>
      <c r="E27" s="120"/>
    </row>
    <row r="28" customFormat="false" ht="15" hidden="false" customHeight="false" outlineLevel="0" collapsed="false">
      <c r="C28" s="120" t="s">
        <v>441</v>
      </c>
      <c r="D28" s="120"/>
      <c r="E28" s="120"/>
    </row>
    <row r="29" customFormat="false" ht="15" hidden="false" customHeight="false" outlineLevel="0" collapsed="false">
      <c r="C29" s="120" t="s">
        <v>442</v>
      </c>
      <c r="D29" s="120"/>
      <c r="E29" s="120"/>
    </row>
    <row r="30" customFormat="false" ht="15" hidden="false" customHeight="false" outlineLevel="0" collapsed="false">
      <c r="C30" s="120" t="s">
        <v>443</v>
      </c>
      <c r="D30" s="120"/>
      <c r="E30" s="120"/>
    </row>
    <row r="31" customFormat="false" ht="15" hidden="false" customHeight="false" outlineLevel="0" collapsed="false">
      <c r="C31" s="120" t="s">
        <v>444</v>
      </c>
      <c r="D31" s="120"/>
      <c r="E31" s="120"/>
    </row>
    <row r="32" customFormat="false" ht="15" hidden="false" customHeight="false" outlineLevel="0" collapsed="false">
      <c r="C32" s="120" t="s">
        <v>445</v>
      </c>
      <c r="D32" s="120"/>
      <c r="E32" s="120"/>
    </row>
    <row r="33" customFormat="false" ht="15" hidden="false" customHeight="false" outlineLevel="0" collapsed="false">
      <c r="C33" s="120" t="s">
        <v>446</v>
      </c>
      <c r="D33" s="120"/>
      <c r="E33" s="120"/>
    </row>
    <row r="34" customFormat="false" ht="15" hidden="false" customHeight="false" outlineLevel="0" collapsed="false">
      <c r="C34" s="120" t="s">
        <v>447</v>
      </c>
      <c r="D34" s="120"/>
      <c r="E34" s="120"/>
    </row>
    <row r="35" customFormat="false" ht="15" hidden="false" customHeight="false" outlineLevel="0" collapsed="false">
      <c r="C35" s="120" t="s">
        <v>448</v>
      </c>
      <c r="D35" s="120"/>
      <c r="E35" s="120"/>
    </row>
    <row r="37" customFormat="false" ht="18.75" hidden="false" customHeight="true" outlineLevel="0" collapsed="false">
      <c r="B37" s="5" t="s">
        <v>449</v>
      </c>
      <c r="C37" s="5"/>
      <c r="D37" s="5"/>
      <c r="E37" s="5"/>
    </row>
    <row r="38" customFormat="false" ht="15" hidden="false" customHeight="false" outlineLevel="0" collapsed="false">
      <c r="C38" s="120" t="s">
        <v>450</v>
      </c>
      <c r="D38" s="120"/>
      <c r="E38" s="120"/>
    </row>
    <row r="39" customFormat="false" ht="15" hidden="false" customHeight="false" outlineLevel="0" collapsed="false">
      <c r="C39" s="120" t="s">
        <v>451</v>
      </c>
      <c r="D39" s="120"/>
      <c r="E39" s="120"/>
    </row>
    <row r="40" customFormat="false" ht="15" hidden="false" customHeight="false" outlineLevel="0" collapsed="false">
      <c r="C40" s="120" t="s">
        <v>452</v>
      </c>
      <c r="D40" s="120"/>
      <c r="E40" s="120"/>
    </row>
    <row r="41" customFormat="false" ht="15" hidden="false" customHeight="false" outlineLevel="0" collapsed="false">
      <c r="C41" s="120" t="s">
        <v>453</v>
      </c>
      <c r="D41" s="120"/>
      <c r="E41" s="120"/>
    </row>
    <row r="42" customFormat="false" ht="15" hidden="false" customHeight="false" outlineLevel="0" collapsed="false">
      <c r="C42" s="120" t="s">
        <v>454</v>
      </c>
      <c r="D42" s="120"/>
      <c r="E42" s="120"/>
    </row>
    <row r="44" customFormat="false" ht="18.75" hidden="false" customHeight="true" outlineLevel="0" collapsed="false">
      <c r="B44" s="5" t="s">
        <v>455</v>
      </c>
      <c r="C44" s="5"/>
      <c r="D44" s="5"/>
      <c r="E44" s="5"/>
    </row>
    <row r="45" customFormat="false" ht="15" hidden="false" customHeight="false" outlineLevel="0" collapsed="false">
      <c r="C45" s="120" t="s">
        <v>456</v>
      </c>
      <c r="D45" s="120"/>
      <c r="E45" s="120"/>
    </row>
    <row r="46" customFormat="false" ht="15" hidden="false" customHeight="false" outlineLevel="0" collapsed="false">
      <c r="C46" s="120" t="s">
        <v>457</v>
      </c>
      <c r="D46" s="120"/>
      <c r="E46" s="120"/>
    </row>
    <row r="47" customFormat="false" ht="15" hidden="false" customHeight="false" outlineLevel="0" collapsed="false">
      <c r="C47" s="120" t="s">
        <v>458</v>
      </c>
      <c r="D47" s="120"/>
      <c r="E47" s="120"/>
    </row>
    <row r="48" customFormat="false" ht="15" hidden="false" customHeight="false" outlineLevel="0" collapsed="false">
      <c r="C48" s="120" t="s">
        <v>459</v>
      </c>
      <c r="D48" s="120"/>
      <c r="E48" s="120"/>
    </row>
    <row r="49" customFormat="false" ht="15" hidden="false" customHeight="false" outlineLevel="0" collapsed="false">
      <c r="C49" s="120" t="s">
        <v>460</v>
      </c>
      <c r="D49" s="120"/>
      <c r="E49" s="120"/>
    </row>
    <row r="50" customFormat="false" ht="15" hidden="false" customHeight="false" outlineLevel="0" collapsed="false">
      <c r="C50" s="120" t="s">
        <v>461</v>
      </c>
      <c r="D50" s="120"/>
      <c r="E50" s="120"/>
    </row>
    <row r="51" customFormat="false" ht="15" hidden="false" customHeight="false" outlineLevel="0" collapsed="false">
      <c r="C51" s="120" t="s">
        <v>462</v>
      </c>
      <c r="D51" s="120"/>
      <c r="E51" s="120"/>
    </row>
    <row r="53" customFormat="false" ht="18.75" hidden="false" customHeight="true" outlineLevel="0" collapsed="false">
      <c r="B53" s="5" t="s">
        <v>463</v>
      </c>
      <c r="C53" s="5"/>
      <c r="D53" s="5"/>
      <c r="E53" s="5"/>
    </row>
    <row r="54" customFormat="false" ht="15" hidden="false" customHeight="false" outlineLevel="0" collapsed="false">
      <c r="C54" s="120" t="s">
        <v>464</v>
      </c>
      <c r="D54" s="120"/>
      <c r="E54" s="120"/>
    </row>
    <row r="55" customFormat="false" ht="15" hidden="false" customHeight="false" outlineLevel="0" collapsed="false">
      <c r="C55" s="120" t="s">
        <v>465</v>
      </c>
      <c r="D55" s="120"/>
      <c r="E55" s="120"/>
    </row>
    <row r="56" customFormat="false" ht="15" hidden="false" customHeight="false" outlineLevel="0" collapsed="false">
      <c r="C56" s="120" t="s">
        <v>466</v>
      </c>
      <c r="D56" s="120"/>
      <c r="E56" s="120"/>
    </row>
    <row r="57" customFormat="false" ht="15" hidden="false" customHeight="false" outlineLevel="0" collapsed="false">
      <c r="C57" s="120" t="s">
        <v>467</v>
      </c>
      <c r="D57" s="120"/>
      <c r="E57" s="120"/>
    </row>
    <row r="58" customFormat="false" ht="15" hidden="false" customHeight="false" outlineLevel="0" collapsed="false">
      <c r="C58" s="120" t="s">
        <v>468</v>
      </c>
      <c r="D58" s="120"/>
      <c r="E58" s="120"/>
    </row>
    <row r="60" customFormat="false" ht="18.75" hidden="false" customHeight="true" outlineLevel="0" collapsed="false">
      <c r="B60" s="5" t="s">
        <v>469</v>
      </c>
      <c r="C60" s="5"/>
      <c r="D60" s="5"/>
      <c r="E60" s="5"/>
    </row>
    <row r="61" customFormat="false" ht="15" hidden="false" customHeight="false" outlineLevel="0" collapsed="false">
      <c r="C61" s="120" t="s">
        <v>470</v>
      </c>
      <c r="D61" s="120"/>
      <c r="E61" s="120"/>
    </row>
    <row r="62" customFormat="false" ht="15" hidden="false" customHeight="false" outlineLevel="0" collapsed="false">
      <c r="C62" s="120" t="s">
        <v>471</v>
      </c>
      <c r="D62" s="120"/>
      <c r="E62" s="120"/>
    </row>
    <row r="63" customFormat="false" ht="15" hidden="false" customHeight="false" outlineLevel="0" collapsed="false">
      <c r="C63" s="120" t="s">
        <v>472</v>
      </c>
      <c r="D63" s="120"/>
      <c r="E63" s="120"/>
    </row>
    <row r="65" customFormat="false" ht="18.75" hidden="false" customHeight="true" outlineLevel="0" collapsed="false">
      <c r="B65" s="5" t="s">
        <v>473</v>
      </c>
      <c r="C65" s="5"/>
      <c r="D65" s="5"/>
      <c r="E65" s="5"/>
    </row>
    <row r="66" customFormat="false" ht="15" hidden="false" customHeight="false" outlineLevel="0" collapsed="false">
      <c r="C66" s="120" t="s">
        <v>474</v>
      </c>
      <c r="D66" s="120"/>
      <c r="E66" s="120"/>
    </row>
    <row r="67" customFormat="false" ht="15" hidden="false" customHeight="false" outlineLevel="0" collapsed="false">
      <c r="C67" s="120" t="s">
        <v>475</v>
      </c>
      <c r="D67" s="120"/>
      <c r="E67" s="120"/>
    </row>
    <row r="68" customFormat="false" ht="15" hidden="false" customHeight="false" outlineLevel="0" collapsed="false">
      <c r="C68" s="120" t="s">
        <v>476</v>
      </c>
      <c r="D68" s="120"/>
      <c r="E68" s="120"/>
    </row>
    <row r="69" customFormat="false" ht="15" hidden="false" customHeight="false" outlineLevel="0" collapsed="false">
      <c r="C69" s="120" t="s">
        <v>477</v>
      </c>
      <c r="D69" s="120"/>
      <c r="E69" s="120"/>
    </row>
    <row r="71" customFormat="false" ht="18.75" hidden="false" customHeight="true" outlineLevel="0" collapsed="false">
      <c r="B71" s="5" t="s">
        <v>478</v>
      </c>
      <c r="C71" s="5"/>
      <c r="D71" s="5"/>
      <c r="E71" s="5"/>
    </row>
    <row r="72" customFormat="false" ht="15" hidden="false" customHeight="false" outlineLevel="0" collapsed="false">
      <c r="C72" s="120" t="s">
        <v>479</v>
      </c>
      <c r="D72" s="120"/>
      <c r="E72" s="120"/>
    </row>
    <row r="73" customFormat="false" ht="15" hidden="false" customHeight="false" outlineLevel="0" collapsed="false">
      <c r="C73" s="120" t="s">
        <v>480</v>
      </c>
      <c r="D73" s="120"/>
      <c r="E73" s="120"/>
    </row>
    <row r="74" customFormat="false" ht="15" hidden="false" customHeight="false" outlineLevel="0" collapsed="false">
      <c r="C74" s="120" t="s">
        <v>481</v>
      </c>
      <c r="D74" s="120"/>
      <c r="E74" s="120"/>
    </row>
    <row r="75" customFormat="false" ht="15" hidden="false" customHeight="false" outlineLevel="0" collapsed="false">
      <c r="C75" s="120" t="s">
        <v>482</v>
      </c>
      <c r="D75" s="120"/>
      <c r="E75" s="120"/>
    </row>
    <row r="77" customFormat="false" ht="18.75" hidden="false" customHeight="true" outlineLevel="0" collapsed="false">
      <c r="B77" s="5" t="s">
        <v>483</v>
      </c>
      <c r="C77" s="5"/>
      <c r="D77" s="5"/>
      <c r="E77" s="5"/>
    </row>
    <row r="78" customFormat="false" ht="15" hidden="false" customHeight="false" outlineLevel="0" collapsed="false">
      <c r="C78" s="120" t="s">
        <v>484</v>
      </c>
      <c r="D78" s="120"/>
      <c r="E78" s="120"/>
    </row>
    <row r="79" customFormat="false" ht="15" hidden="false" customHeight="false" outlineLevel="0" collapsed="false">
      <c r="C79" s="120" t="s">
        <v>485</v>
      </c>
      <c r="D79" s="120"/>
      <c r="E79" s="120"/>
    </row>
    <row r="80" customFormat="false" ht="15" hidden="false" customHeight="false" outlineLevel="0" collapsed="false">
      <c r="C80" s="120" t="s">
        <v>486</v>
      </c>
      <c r="D80" s="120"/>
      <c r="E80" s="120"/>
    </row>
    <row r="81" customFormat="false" ht="15" hidden="false" customHeight="false" outlineLevel="0" collapsed="false">
      <c r="C81" s="120" t="s">
        <v>487</v>
      </c>
      <c r="D81" s="120"/>
      <c r="E81" s="120"/>
    </row>
    <row r="82" customFormat="false" ht="15" hidden="false" customHeight="false" outlineLevel="0" collapsed="false">
      <c r="C82" s="120" t="s">
        <v>488</v>
      </c>
      <c r="D82" s="120"/>
      <c r="E82" s="120"/>
    </row>
    <row r="83" customFormat="false" ht="15" hidden="false" customHeight="false" outlineLevel="0" collapsed="false">
      <c r="C83" s="120" t="s">
        <v>489</v>
      </c>
      <c r="D83" s="120"/>
      <c r="E83" s="120"/>
    </row>
    <row r="85" customFormat="false" ht="15" hidden="false" customHeight="false" outlineLevel="0" collapsed="false">
      <c r="B85" s="121" t="s">
        <v>490</v>
      </c>
      <c r="C85" s="121"/>
      <c r="D85" s="121"/>
      <c r="E85" s="121"/>
    </row>
    <row r="86" customFormat="false" ht="15" hidden="false" customHeight="false" outlineLevel="0" collapsed="false">
      <c r="B86" s="121" t="s">
        <v>491</v>
      </c>
      <c r="C86" s="121"/>
      <c r="D86" s="121"/>
      <c r="E86" s="121"/>
    </row>
    <row r="87" customFormat="false" ht="15" hidden="false" customHeight="false" outlineLevel="0" collapsed="false">
      <c r="B87" s="121" t="s">
        <v>492</v>
      </c>
      <c r="C87" s="121"/>
      <c r="D87" s="121"/>
      <c r="E87" s="121"/>
    </row>
    <row r="88" customFormat="false" ht="15" hidden="false" customHeight="false" outlineLevel="0" collapsed="false">
      <c r="B88" s="121" t="s">
        <v>493</v>
      </c>
      <c r="C88" s="121"/>
      <c r="D88" s="121"/>
      <c r="E88" s="121"/>
    </row>
    <row r="90" customFormat="false" ht="15" hidden="false" customHeight="false" outlineLevel="0" collapsed="false">
      <c r="B90" s="121" t="s">
        <v>494</v>
      </c>
      <c r="C90" s="121"/>
      <c r="D90" s="121"/>
      <c r="E90" s="121"/>
    </row>
    <row r="91" customFormat="false" ht="15" hidden="false" customHeight="false" outlineLevel="0" collapsed="false">
      <c r="B91" s="121" t="s">
        <v>495</v>
      </c>
      <c r="C91" s="121"/>
      <c r="D91" s="121"/>
      <c r="E91" s="121"/>
    </row>
    <row r="92" customFormat="false" ht="15" hidden="false" customHeight="false" outlineLevel="0" collapsed="false">
      <c r="B92" s="121" t="s">
        <v>496</v>
      </c>
      <c r="C92" s="121"/>
      <c r="D92" s="121"/>
      <c r="E92" s="121"/>
    </row>
    <row r="93" customFormat="false" ht="15" hidden="false" customHeight="false" outlineLevel="0" collapsed="false">
      <c r="B93" s="121" t="s">
        <v>497</v>
      </c>
      <c r="C93" s="121"/>
      <c r="D93" s="121"/>
      <c r="E93" s="121"/>
    </row>
    <row r="94" customFormat="false" ht="15" hidden="false" customHeight="false" outlineLevel="0" collapsed="false">
      <c r="B94" s="121" t="s">
        <v>498</v>
      </c>
      <c r="C94" s="121"/>
      <c r="D94" s="121"/>
      <c r="E94" s="121"/>
    </row>
    <row r="95" customFormat="false" ht="15" hidden="false" customHeight="false" outlineLevel="0" collapsed="false">
      <c r="B95" s="121" t="s">
        <v>499</v>
      </c>
      <c r="C95" s="121"/>
      <c r="D95" s="121"/>
      <c r="E95" s="121"/>
    </row>
    <row r="96" customFormat="false" ht="15" hidden="false" customHeight="false" outlineLevel="0" collapsed="false">
      <c r="B96" s="121" t="s">
        <v>500</v>
      </c>
      <c r="C96" s="121"/>
      <c r="D96" s="121"/>
      <c r="E96" s="121"/>
    </row>
    <row r="97" customFormat="false" ht="15" hidden="false" customHeight="false" outlineLevel="0" collapsed="false">
      <c r="B97" s="121" t="s">
        <v>493</v>
      </c>
      <c r="C97" s="121"/>
      <c r="D97" s="121"/>
      <c r="E97" s="121"/>
    </row>
    <row r="99" customFormat="false" ht="15" hidden="false" customHeight="false" outlineLevel="0" collapsed="false">
      <c r="B99" s="121" t="s">
        <v>501</v>
      </c>
      <c r="C99" s="121"/>
      <c r="D99" s="121"/>
      <c r="E99" s="121"/>
    </row>
    <row r="100" customFormat="false" ht="15" hidden="false" customHeight="false" outlineLevel="0" collapsed="false">
      <c r="B100" s="121" t="s">
        <v>502</v>
      </c>
      <c r="C100" s="121"/>
      <c r="D100" s="121"/>
      <c r="E100" s="121"/>
    </row>
    <row r="101" customFormat="false" ht="15" hidden="false" customHeight="false" outlineLevel="0" collapsed="false">
      <c r="B101" s="121" t="s">
        <v>493</v>
      </c>
      <c r="C101" s="121"/>
      <c r="D101" s="121"/>
      <c r="E101" s="121"/>
    </row>
    <row r="103" customFormat="false" ht="15" hidden="false" customHeight="false" outlineLevel="0" collapsed="false">
      <c r="B103" s="5" t="s">
        <v>503</v>
      </c>
      <c r="C103" s="5"/>
      <c r="D103" s="5"/>
      <c r="E103" s="5"/>
    </row>
    <row r="104" customFormat="false" ht="15" hidden="false" customHeight="false" outlineLevel="0" collapsed="false">
      <c r="C104" s="122" t="s">
        <v>504</v>
      </c>
      <c r="D104" s="123" t="s">
        <v>505</v>
      </c>
      <c r="E104" s="122" t="s">
        <v>506</v>
      </c>
    </row>
    <row r="105" customFormat="false" ht="15" hidden="false" customHeight="false" outlineLevel="0" collapsed="false">
      <c r="C105" s="13" t="s">
        <v>39</v>
      </c>
      <c r="D105" s="124" t="s">
        <v>507</v>
      </c>
      <c r="E105" s="13" t="s">
        <v>508</v>
      </c>
    </row>
    <row r="106" customFormat="false" ht="15" hidden="false" customHeight="false" outlineLevel="0" collapsed="false">
      <c r="C106" s="9" t="s">
        <v>509</v>
      </c>
      <c r="D106" s="125" t="s">
        <v>510</v>
      </c>
      <c r="E106" s="9" t="s">
        <v>511</v>
      </c>
    </row>
    <row r="107" customFormat="false" ht="15" hidden="false" customHeight="false" outlineLevel="0" collapsed="false">
      <c r="C107" s="13" t="s">
        <v>42</v>
      </c>
      <c r="D107" s="124" t="s">
        <v>512</v>
      </c>
      <c r="E107" s="13" t="s">
        <v>513</v>
      </c>
    </row>
    <row r="108" customFormat="false" ht="15" hidden="false" customHeight="false" outlineLevel="0" collapsed="false">
      <c r="C108" s="9" t="s">
        <v>24</v>
      </c>
      <c r="D108" s="125" t="s">
        <v>514</v>
      </c>
      <c r="E108" s="9" t="s">
        <v>515</v>
      </c>
    </row>
    <row r="109" customFormat="false" ht="15" hidden="false" customHeight="false" outlineLevel="0" collapsed="false">
      <c r="C109" s="13" t="s">
        <v>43</v>
      </c>
      <c r="D109" s="124" t="s">
        <v>70</v>
      </c>
      <c r="E109" s="13" t="s">
        <v>516</v>
      </c>
    </row>
    <row r="110" customFormat="false" ht="15" hidden="false" customHeight="false" outlineLevel="0" collapsed="false">
      <c r="C110" s="9" t="s">
        <v>49</v>
      </c>
      <c r="D110" s="125" t="s">
        <v>517</v>
      </c>
      <c r="E110" s="9" t="s">
        <v>518</v>
      </c>
    </row>
    <row r="111" customFormat="false" ht="15" hidden="false" customHeight="false" outlineLevel="0" collapsed="false">
      <c r="C111" s="13" t="s">
        <v>50</v>
      </c>
      <c r="D111" s="124" t="s">
        <v>360</v>
      </c>
      <c r="E111" s="13" t="s">
        <v>515</v>
      </c>
    </row>
    <row r="112" customFormat="false" ht="15" hidden="false" customHeight="false" outlineLevel="0" collapsed="false">
      <c r="C112" s="9" t="s">
        <v>51</v>
      </c>
      <c r="D112" s="125" t="s">
        <v>519</v>
      </c>
      <c r="E112" s="9" t="s">
        <v>520</v>
      </c>
    </row>
    <row r="113" customFormat="false" ht="15" hidden="false" customHeight="false" outlineLevel="0" collapsed="false">
      <c r="C113" s="13" t="s">
        <v>45</v>
      </c>
      <c r="D113" s="124" t="s">
        <v>521</v>
      </c>
      <c r="E113" s="13" t="s">
        <v>522</v>
      </c>
    </row>
    <row r="114" customFormat="false" ht="15" hidden="false" customHeight="false" outlineLevel="0" collapsed="false">
      <c r="C114" s="9" t="s">
        <v>52</v>
      </c>
      <c r="D114" s="125" t="s">
        <v>328</v>
      </c>
      <c r="E114" s="9" t="s">
        <v>523</v>
      </c>
    </row>
    <row r="115" customFormat="false" ht="15" hidden="false" customHeight="false" outlineLevel="0" collapsed="false">
      <c r="C115" s="13" t="s">
        <v>53</v>
      </c>
      <c r="D115" s="124" t="s">
        <v>524</v>
      </c>
      <c r="E115" s="13" t="s">
        <v>525</v>
      </c>
    </row>
    <row r="116" customFormat="false" ht="15" hidden="false" customHeight="false" outlineLevel="0" collapsed="false">
      <c r="C116" s="9" t="s">
        <v>54</v>
      </c>
      <c r="D116" s="125" t="s">
        <v>526</v>
      </c>
      <c r="E116" s="9" t="s">
        <v>527</v>
      </c>
    </row>
    <row r="117" customFormat="false" ht="15" hidden="false" customHeight="false" outlineLevel="0" collapsed="false">
      <c r="C117" s="13" t="s">
        <v>55</v>
      </c>
      <c r="D117" s="124" t="s">
        <v>345</v>
      </c>
      <c r="E117" s="13" t="s">
        <v>528</v>
      </c>
    </row>
    <row r="118" customFormat="false" ht="15" hidden="false" customHeight="false" outlineLevel="0" collapsed="false">
      <c r="C118" s="9" t="s">
        <v>56</v>
      </c>
      <c r="D118" s="125" t="s">
        <v>74</v>
      </c>
      <c r="E118" s="9" t="s">
        <v>529</v>
      </c>
    </row>
    <row r="119" customFormat="false" ht="15" hidden="false" customHeight="false" outlineLevel="0" collapsed="false">
      <c r="C119" s="13" t="s">
        <v>57</v>
      </c>
      <c r="D119" s="124" t="s">
        <v>530</v>
      </c>
      <c r="E119" s="13" t="s">
        <v>531</v>
      </c>
    </row>
    <row r="120" customFormat="false" ht="15" hidden="false" customHeight="false" outlineLevel="0" collapsed="false">
      <c r="C120" s="9" t="s">
        <v>58</v>
      </c>
      <c r="D120" s="125" t="s">
        <v>507</v>
      </c>
      <c r="E120" s="9" t="s">
        <v>532</v>
      </c>
    </row>
    <row r="121" customFormat="false" ht="15" hidden="false" customHeight="false" outlineLevel="0" collapsed="false">
      <c r="C121" s="13" t="s">
        <v>59</v>
      </c>
      <c r="D121" s="124" t="s">
        <v>533</v>
      </c>
      <c r="E121" s="13" t="s">
        <v>534</v>
      </c>
    </row>
    <row r="122" customFormat="false" ht="15" hidden="false" customHeight="false" outlineLevel="0" collapsed="false">
      <c r="C122" s="126" t="s">
        <v>535</v>
      </c>
      <c r="D122" s="126"/>
      <c r="E122" s="126"/>
    </row>
  </sheetData>
  <mergeCells count="89">
    <mergeCell ref="A1:E1"/>
    <mergeCell ref="B4:E4"/>
    <mergeCell ref="C5:E5"/>
    <mergeCell ref="C6:E6"/>
    <mergeCell ref="C7:E7"/>
    <mergeCell ref="C8:E8"/>
    <mergeCell ref="C9:E9"/>
    <mergeCell ref="C10:E10"/>
    <mergeCell ref="C11:E11"/>
    <mergeCell ref="C12:E12"/>
    <mergeCell ref="B14:E14"/>
    <mergeCell ref="C15:E15"/>
    <mergeCell ref="C16:E16"/>
    <mergeCell ref="C17:E17"/>
    <mergeCell ref="C18:E18"/>
    <mergeCell ref="C19:E19"/>
    <mergeCell ref="C20:E20"/>
    <mergeCell ref="B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B37:E37"/>
    <mergeCell ref="C38:E38"/>
    <mergeCell ref="C39:E39"/>
    <mergeCell ref="C40:E40"/>
    <mergeCell ref="C41:E41"/>
    <mergeCell ref="C42:E42"/>
    <mergeCell ref="B44:E44"/>
    <mergeCell ref="C45:E45"/>
    <mergeCell ref="C46:E46"/>
    <mergeCell ref="C47:E47"/>
    <mergeCell ref="C48:E48"/>
    <mergeCell ref="C49:E49"/>
    <mergeCell ref="C50:E50"/>
    <mergeCell ref="C51:E51"/>
    <mergeCell ref="B53:E53"/>
    <mergeCell ref="C54:E54"/>
    <mergeCell ref="C55:E55"/>
    <mergeCell ref="C56:E56"/>
    <mergeCell ref="C57:E57"/>
    <mergeCell ref="C58:E58"/>
    <mergeCell ref="B60:E60"/>
    <mergeCell ref="C61:E61"/>
    <mergeCell ref="C62:E62"/>
    <mergeCell ref="C63:E63"/>
    <mergeCell ref="B65:E65"/>
    <mergeCell ref="C66:E66"/>
    <mergeCell ref="C67:E67"/>
    <mergeCell ref="C68:E68"/>
    <mergeCell ref="C69:E69"/>
    <mergeCell ref="B71:E71"/>
    <mergeCell ref="C72:E72"/>
    <mergeCell ref="C73:E73"/>
    <mergeCell ref="C74:E74"/>
    <mergeCell ref="C75:E75"/>
    <mergeCell ref="B77:E77"/>
    <mergeCell ref="C78:E78"/>
    <mergeCell ref="C79:E79"/>
    <mergeCell ref="C80:E80"/>
    <mergeCell ref="C81:E81"/>
    <mergeCell ref="C82:E82"/>
    <mergeCell ref="C83:E83"/>
    <mergeCell ref="B85:E85"/>
    <mergeCell ref="B86:E86"/>
    <mergeCell ref="B87:E87"/>
    <mergeCell ref="B88:E88"/>
    <mergeCell ref="B90:E90"/>
    <mergeCell ref="B91:E91"/>
    <mergeCell ref="B92:E92"/>
    <mergeCell ref="B93:E93"/>
    <mergeCell ref="B94:E94"/>
    <mergeCell ref="B95:E95"/>
    <mergeCell ref="B96:E96"/>
    <mergeCell ref="B97:E97"/>
    <mergeCell ref="B99:E99"/>
    <mergeCell ref="B100:E100"/>
    <mergeCell ref="B101:E101"/>
    <mergeCell ref="B103:E103"/>
    <mergeCell ref="C122:E122"/>
  </mergeCells>
  <hyperlinks>
    <hyperlink ref="A2" location="MENU!A1" display="◀  MENU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2026-08-03T08:57:11Z</dcterms:created>
  <dc:creator>Aplikasi Team Pemenangan</dc:creator>
  <dc:description/>
  <dc:language>en-US</dc:language>
  <cp:lastModifiedBy/>
  <dcterms:modified xsi:type="dcterms:W3CDTF">2026-08-03T08:57:20Z</dcterms:modified>
  <cp:revision>1</cp:revision>
  <dc:subject>Database anggota team pemenangan tingkat desa</dc:subject>
  <dc:title>Aplikasi Team Pemenangan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